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EstaPastaDeTrabalho"/>
  <mc:AlternateContent xmlns:mc="http://schemas.openxmlformats.org/markup-compatibility/2006">
    <mc:Choice Requires="x15">
      <x15ac:absPath xmlns:x15ac="http://schemas.microsoft.com/office/spreadsheetml/2010/11/ac" url="https://d.docs.live.net/3d97c270e6709578/Documentos/Área de Trabalho/Painel/painel-analise-ativos/Localhost_Ciclo de ativos/"/>
    </mc:Choice>
  </mc:AlternateContent>
  <xr:revisionPtr revIDLastSave="24" documentId="14_{A5EABD21-7064-4095-BC14-0AD94CB3E724}" xr6:coauthVersionLast="47" xr6:coauthVersionMax="47" xr10:uidLastSave="{07BD1E43-9C43-4A69-A26E-0B2FC998D954}"/>
  <bookViews>
    <workbookView xWindow="-120" yWindow="-120" windowWidth="20730" windowHeight="11160" xr2:uid="{00000000-000D-0000-FFFF-FFFF00000000}"/>
  </bookViews>
  <sheets>
    <sheet name="Bovespa" sheetId="1" r:id="rId1"/>
    <sheet name="Streamlit" sheetId="9" r:id="rId2"/>
    <sheet name="BDR" sheetId="13" r:id="rId3"/>
    <sheet name="ETF" sheetId="11" r:id="rId4"/>
    <sheet name="FII" sheetId="12" r:id="rId5"/>
    <sheet name="Criptos" sheetId="10" r:id="rId6"/>
    <sheet name="Cotacoes" sheetId="4" r:id="rId7"/>
    <sheet name="Fundamentus" sheetId="6" r:id="rId8"/>
  </sheets>
  <definedNames>
    <definedName name="_xlnm._FilterDatabase" localSheetId="0" hidden="1">Bovespa!$A$5:$FL$271</definedName>
    <definedName name="_xlnm._FilterDatabase" localSheetId="7" hidden="1">Fundamentus!$A$1:$U$425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Z7" i="1" l="1"/>
  <c r="DZ8" i="1"/>
  <c r="DZ9" i="1"/>
  <c r="DZ10" i="1"/>
  <c r="DZ11" i="1"/>
  <c r="DZ12" i="1"/>
  <c r="DZ13" i="1"/>
  <c r="DZ14" i="1"/>
  <c r="DZ15" i="1"/>
  <c r="DZ16" i="1"/>
  <c r="DZ17" i="1"/>
  <c r="DZ18" i="1"/>
  <c r="DZ19" i="1"/>
  <c r="DZ20" i="1"/>
  <c r="DZ21" i="1"/>
  <c r="DZ22" i="1"/>
  <c r="DZ23" i="1"/>
  <c r="DZ24" i="1"/>
  <c r="DZ25" i="1"/>
  <c r="DZ26" i="1"/>
  <c r="DZ27" i="1"/>
  <c r="DZ28" i="1"/>
  <c r="DZ29" i="1"/>
  <c r="DZ30" i="1"/>
  <c r="DZ31" i="1"/>
  <c r="DZ32" i="1"/>
  <c r="DZ33" i="1"/>
  <c r="DZ34" i="1"/>
  <c r="DZ35" i="1"/>
  <c r="DZ36" i="1"/>
  <c r="DZ37" i="1"/>
  <c r="DZ38" i="1"/>
  <c r="DZ39" i="1"/>
  <c r="DZ40" i="1"/>
  <c r="DZ41" i="1"/>
  <c r="DZ42" i="1"/>
  <c r="DZ43" i="1"/>
  <c r="DZ44" i="1"/>
  <c r="DZ45" i="1"/>
  <c r="DZ46" i="1"/>
  <c r="DZ47" i="1"/>
  <c r="DZ48" i="1"/>
  <c r="DZ49" i="1"/>
  <c r="DZ50" i="1"/>
  <c r="DZ51" i="1"/>
  <c r="DZ52" i="1"/>
  <c r="DZ53" i="1"/>
  <c r="DZ54" i="1"/>
  <c r="DZ55" i="1"/>
  <c r="DZ56" i="1"/>
  <c r="DZ57" i="1"/>
  <c r="DZ58" i="1"/>
  <c r="DZ59" i="1"/>
  <c r="DZ60" i="1"/>
  <c r="DZ61" i="1"/>
  <c r="DZ62" i="1"/>
  <c r="DZ63" i="1"/>
  <c r="DZ64" i="1"/>
  <c r="DZ65" i="1"/>
  <c r="DZ66" i="1"/>
  <c r="DZ67" i="1"/>
  <c r="DZ68" i="1"/>
  <c r="DZ69" i="1"/>
  <c r="DZ70" i="1"/>
  <c r="DZ71" i="1"/>
  <c r="DZ72" i="1"/>
  <c r="DZ73" i="1"/>
  <c r="DZ74" i="1"/>
  <c r="DZ75" i="1"/>
  <c r="DZ76" i="1"/>
  <c r="DZ77" i="1"/>
  <c r="DZ78" i="1"/>
  <c r="DZ79" i="1"/>
  <c r="DZ80" i="1"/>
  <c r="DZ81" i="1"/>
  <c r="DZ82" i="1"/>
  <c r="DZ83" i="1"/>
  <c r="DZ84" i="1"/>
  <c r="DZ85" i="1"/>
  <c r="DZ86" i="1"/>
  <c r="DZ87" i="1"/>
  <c r="DZ88" i="1"/>
  <c r="DZ89" i="1"/>
  <c r="DZ90" i="1"/>
  <c r="DZ91" i="1"/>
  <c r="DZ92" i="1"/>
  <c r="DZ93" i="1"/>
  <c r="DZ94" i="1"/>
  <c r="DZ95" i="1"/>
  <c r="DZ96" i="1"/>
  <c r="DZ97" i="1"/>
  <c r="DZ98" i="1"/>
  <c r="DZ99" i="1"/>
  <c r="DZ100" i="1"/>
  <c r="DZ101" i="1"/>
  <c r="DZ102" i="1"/>
  <c r="DZ103" i="1"/>
  <c r="DZ104" i="1"/>
  <c r="DZ105" i="1"/>
  <c r="DZ106" i="1"/>
  <c r="DZ107" i="1"/>
  <c r="DZ108" i="1"/>
  <c r="DZ109" i="1"/>
  <c r="DZ110" i="1"/>
  <c r="DZ111" i="1"/>
  <c r="DZ112" i="1"/>
  <c r="DZ113" i="1"/>
  <c r="DZ114" i="1"/>
  <c r="DZ115" i="1"/>
  <c r="DZ116" i="1"/>
  <c r="DZ117" i="1"/>
  <c r="DZ118" i="1"/>
  <c r="DZ119" i="1"/>
  <c r="DZ120" i="1"/>
  <c r="DZ121" i="1"/>
  <c r="DZ122" i="1"/>
  <c r="DZ123" i="1"/>
  <c r="DZ124" i="1"/>
  <c r="DZ125" i="1"/>
  <c r="DZ126" i="1"/>
  <c r="DZ127" i="1"/>
  <c r="DZ128" i="1"/>
  <c r="DZ129" i="1"/>
  <c r="DZ130" i="1"/>
  <c r="DZ131" i="1"/>
  <c r="DZ132" i="1"/>
  <c r="DZ133" i="1"/>
  <c r="DZ134" i="1"/>
  <c r="DZ135" i="1"/>
  <c r="DZ136" i="1"/>
  <c r="DZ137" i="1"/>
  <c r="DZ138" i="1"/>
  <c r="DZ139" i="1"/>
  <c r="DZ140" i="1"/>
  <c r="DZ141" i="1"/>
  <c r="DZ142" i="1"/>
  <c r="DZ143" i="1"/>
  <c r="DZ144" i="1"/>
  <c r="DZ145" i="1"/>
  <c r="DZ146" i="1"/>
  <c r="DZ147" i="1"/>
  <c r="DZ148" i="1"/>
  <c r="DZ149" i="1"/>
  <c r="DZ150" i="1"/>
  <c r="DZ151" i="1"/>
  <c r="DZ152" i="1"/>
  <c r="DZ153" i="1"/>
  <c r="DZ154" i="1"/>
  <c r="DZ155" i="1"/>
  <c r="DZ156" i="1"/>
  <c r="DZ157" i="1"/>
  <c r="DZ158" i="1"/>
  <c r="DZ159" i="1"/>
  <c r="DZ160" i="1"/>
  <c r="DZ161" i="1"/>
  <c r="DZ162" i="1"/>
  <c r="DZ163" i="1"/>
  <c r="DZ164" i="1"/>
  <c r="DZ165" i="1"/>
  <c r="DZ166" i="1"/>
  <c r="DZ167" i="1"/>
  <c r="DZ168" i="1"/>
  <c r="DZ169" i="1"/>
  <c r="DZ170" i="1"/>
  <c r="DZ171" i="1"/>
  <c r="DZ172" i="1"/>
  <c r="DZ173" i="1"/>
  <c r="DZ174" i="1"/>
  <c r="DZ175" i="1"/>
  <c r="DZ176" i="1"/>
  <c r="DZ177" i="1"/>
  <c r="DZ178" i="1"/>
  <c r="DZ179" i="1"/>
  <c r="DZ180" i="1"/>
  <c r="DZ181" i="1"/>
  <c r="DZ182" i="1"/>
  <c r="DZ183" i="1"/>
  <c r="DZ184" i="1"/>
  <c r="DZ185" i="1"/>
  <c r="DZ186" i="1"/>
  <c r="DZ187" i="1"/>
  <c r="DZ188" i="1"/>
  <c r="DZ189" i="1"/>
  <c r="DZ190" i="1"/>
  <c r="DZ191" i="1"/>
  <c r="DZ192" i="1"/>
  <c r="DZ193" i="1"/>
  <c r="DZ194" i="1"/>
  <c r="DZ195" i="1"/>
  <c r="DZ196" i="1"/>
  <c r="DZ197" i="1"/>
  <c r="DZ198" i="1"/>
  <c r="DZ199" i="1"/>
  <c r="DZ200" i="1"/>
  <c r="DZ201" i="1"/>
  <c r="DZ202" i="1"/>
  <c r="DZ203" i="1"/>
  <c r="DZ204" i="1"/>
  <c r="DZ205" i="1"/>
  <c r="DZ206" i="1"/>
  <c r="DZ207" i="1"/>
  <c r="DZ208" i="1"/>
  <c r="DZ209" i="1"/>
  <c r="DZ210" i="1"/>
  <c r="DZ211" i="1"/>
  <c r="DZ212" i="1"/>
  <c r="DZ213" i="1"/>
  <c r="DZ214" i="1"/>
  <c r="DZ215" i="1"/>
  <c r="DZ216" i="1"/>
  <c r="DZ217" i="1"/>
  <c r="DZ218" i="1"/>
  <c r="DZ219" i="1"/>
  <c r="DZ220" i="1"/>
  <c r="DZ221" i="1"/>
  <c r="DZ222" i="1"/>
  <c r="DZ223" i="1"/>
  <c r="DZ224" i="1"/>
  <c r="DZ225" i="1"/>
  <c r="DZ226" i="1"/>
  <c r="DZ227" i="1"/>
  <c r="DZ228" i="1"/>
  <c r="DZ229" i="1"/>
  <c r="DZ230" i="1"/>
  <c r="DZ231" i="1"/>
  <c r="DZ232" i="1"/>
  <c r="DZ233" i="1"/>
  <c r="DZ234" i="1"/>
  <c r="DZ235" i="1"/>
  <c r="DZ236" i="1"/>
  <c r="DZ237" i="1"/>
  <c r="DZ238" i="1"/>
  <c r="DZ239" i="1"/>
  <c r="DZ240" i="1"/>
  <c r="DZ241" i="1"/>
  <c r="DZ242" i="1"/>
  <c r="DZ243" i="1"/>
  <c r="DZ244" i="1"/>
  <c r="DZ245" i="1"/>
  <c r="DZ246" i="1"/>
  <c r="DZ247" i="1"/>
  <c r="DZ248" i="1"/>
  <c r="DZ249" i="1"/>
  <c r="DZ250" i="1"/>
  <c r="DZ251" i="1"/>
  <c r="DZ252" i="1"/>
  <c r="DZ253" i="1"/>
  <c r="DZ254" i="1"/>
  <c r="DZ255" i="1"/>
  <c r="DZ256" i="1"/>
  <c r="DZ257" i="1"/>
  <c r="DZ258" i="1"/>
  <c r="DZ259" i="1"/>
  <c r="DZ260" i="1"/>
  <c r="DZ261" i="1"/>
  <c r="DZ262" i="1"/>
  <c r="DZ263" i="1"/>
  <c r="DZ264" i="1"/>
  <c r="DZ265" i="1"/>
  <c r="DZ266" i="1"/>
  <c r="DZ267" i="1"/>
  <c r="DZ268" i="1"/>
  <c r="DZ269" i="1"/>
  <c r="DZ270" i="1"/>
  <c r="DZ271" i="1"/>
  <c r="DZ6" i="1"/>
  <c r="CJ7" i="1"/>
  <c r="CJ8" i="1"/>
  <c r="CJ9" i="1"/>
  <c r="CJ10" i="1"/>
  <c r="CJ11" i="1"/>
  <c r="CJ12" i="1"/>
  <c r="CJ13" i="1"/>
  <c r="CJ14" i="1"/>
  <c r="CJ15" i="1"/>
  <c r="CJ16" i="1"/>
  <c r="CJ17" i="1"/>
  <c r="CJ18" i="1"/>
  <c r="CJ19" i="1"/>
  <c r="CJ20" i="1"/>
  <c r="CJ21" i="1"/>
  <c r="CJ22" i="1"/>
  <c r="CJ23" i="1"/>
  <c r="CJ24" i="1"/>
  <c r="CJ25" i="1"/>
  <c r="CJ26" i="1"/>
  <c r="CJ27" i="1"/>
  <c r="CJ28" i="1"/>
  <c r="CJ29" i="1"/>
  <c r="CJ30" i="1"/>
  <c r="CJ31" i="1"/>
  <c r="CJ32" i="1"/>
  <c r="CJ33" i="1"/>
  <c r="CJ34" i="1"/>
  <c r="CJ35" i="1"/>
  <c r="CJ36" i="1"/>
  <c r="CJ37" i="1"/>
  <c r="CJ38" i="1"/>
  <c r="CJ39" i="1"/>
  <c r="CJ40" i="1"/>
  <c r="CJ41" i="1"/>
  <c r="CJ42" i="1"/>
  <c r="CJ43" i="1"/>
  <c r="CJ44" i="1"/>
  <c r="CJ45" i="1"/>
  <c r="CJ46" i="1"/>
  <c r="CJ47" i="1"/>
  <c r="CJ48" i="1"/>
  <c r="CJ49" i="1"/>
  <c r="CJ50" i="1"/>
  <c r="CJ51" i="1"/>
  <c r="CJ52" i="1"/>
  <c r="CJ53" i="1"/>
  <c r="CJ54" i="1"/>
  <c r="CJ55" i="1"/>
  <c r="CJ56" i="1"/>
  <c r="CJ57" i="1"/>
  <c r="CJ58" i="1"/>
  <c r="CJ59" i="1"/>
  <c r="CJ60" i="1"/>
  <c r="CJ61" i="1"/>
  <c r="CJ62" i="1"/>
  <c r="CJ63" i="1"/>
  <c r="CJ64" i="1"/>
  <c r="CJ65" i="1"/>
  <c r="CJ66" i="1"/>
  <c r="CJ67" i="1"/>
  <c r="CJ68" i="1"/>
  <c r="CJ69" i="1"/>
  <c r="CJ70" i="1"/>
  <c r="CJ71" i="1"/>
  <c r="CJ72" i="1"/>
  <c r="CJ73" i="1"/>
  <c r="CJ74" i="1"/>
  <c r="CJ75" i="1"/>
  <c r="CJ76" i="1"/>
  <c r="CJ77" i="1"/>
  <c r="CJ78" i="1"/>
  <c r="CJ79" i="1"/>
  <c r="CJ80" i="1"/>
  <c r="CJ81" i="1"/>
  <c r="CJ82" i="1"/>
  <c r="CJ83" i="1"/>
  <c r="CJ84" i="1"/>
  <c r="CJ85" i="1"/>
  <c r="CJ86" i="1"/>
  <c r="CJ87" i="1"/>
  <c r="CJ88" i="1"/>
  <c r="CJ89" i="1"/>
  <c r="CJ90" i="1"/>
  <c r="CJ91" i="1"/>
  <c r="CJ92" i="1"/>
  <c r="CJ93" i="1"/>
  <c r="CJ94" i="1"/>
  <c r="CJ95" i="1"/>
  <c r="CJ96" i="1"/>
  <c r="CJ97" i="1"/>
  <c r="CJ98" i="1"/>
  <c r="CJ99" i="1"/>
  <c r="CJ100" i="1"/>
  <c r="CJ101" i="1"/>
  <c r="CJ102" i="1"/>
  <c r="CJ103" i="1"/>
  <c r="CJ104" i="1"/>
  <c r="CJ105" i="1"/>
  <c r="CJ106" i="1"/>
  <c r="CJ107" i="1"/>
  <c r="CJ108" i="1"/>
  <c r="CJ109" i="1"/>
  <c r="CJ110" i="1"/>
  <c r="CJ111" i="1"/>
  <c r="CJ112" i="1"/>
  <c r="CJ113" i="1"/>
  <c r="CJ114" i="1"/>
  <c r="CJ115" i="1"/>
  <c r="CJ116" i="1"/>
  <c r="CJ117" i="1"/>
  <c r="CJ118" i="1"/>
  <c r="CJ119" i="1"/>
  <c r="CJ120" i="1"/>
  <c r="CJ121" i="1"/>
  <c r="CJ122" i="1"/>
  <c r="CJ123" i="1"/>
  <c r="CJ124" i="1"/>
  <c r="CJ125" i="1"/>
  <c r="CJ126" i="1"/>
  <c r="CJ127" i="1"/>
  <c r="CJ128" i="1"/>
  <c r="CJ129" i="1"/>
  <c r="CJ130" i="1"/>
  <c r="CJ131" i="1"/>
  <c r="CJ132" i="1"/>
  <c r="CJ133" i="1"/>
  <c r="CJ134" i="1"/>
  <c r="CJ135" i="1"/>
  <c r="CJ136" i="1"/>
  <c r="CJ137" i="1"/>
  <c r="CJ138" i="1"/>
  <c r="CJ139" i="1"/>
  <c r="CJ140" i="1"/>
  <c r="CJ141" i="1"/>
  <c r="CJ142" i="1"/>
  <c r="CJ143" i="1"/>
  <c r="CJ144" i="1"/>
  <c r="CJ145" i="1"/>
  <c r="CJ146" i="1"/>
  <c r="CJ147" i="1"/>
  <c r="CJ148" i="1"/>
  <c r="CJ149" i="1"/>
  <c r="CJ150" i="1"/>
  <c r="CJ151" i="1"/>
  <c r="CJ152" i="1"/>
  <c r="CJ153" i="1"/>
  <c r="CJ154" i="1"/>
  <c r="CJ155" i="1"/>
  <c r="CJ156" i="1"/>
  <c r="CJ157" i="1"/>
  <c r="CJ158" i="1"/>
  <c r="CJ159" i="1"/>
  <c r="CJ160" i="1"/>
  <c r="CJ161" i="1"/>
  <c r="CJ162" i="1"/>
  <c r="CJ163" i="1"/>
  <c r="CJ164" i="1"/>
  <c r="CJ165" i="1"/>
  <c r="CJ166" i="1"/>
  <c r="CJ167" i="1"/>
  <c r="CJ168" i="1"/>
  <c r="CJ169" i="1"/>
  <c r="CJ170" i="1"/>
  <c r="CJ171" i="1"/>
  <c r="CJ172" i="1"/>
  <c r="CJ173" i="1"/>
  <c r="CJ174" i="1"/>
  <c r="CJ175" i="1"/>
  <c r="CJ176" i="1"/>
  <c r="CJ177" i="1"/>
  <c r="CJ178" i="1"/>
  <c r="CJ179" i="1"/>
  <c r="CJ180" i="1"/>
  <c r="CJ181" i="1"/>
  <c r="CJ182" i="1"/>
  <c r="CJ183" i="1"/>
  <c r="CJ184" i="1"/>
  <c r="CJ185" i="1"/>
  <c r="CJ186" i="1"/>
  <c r="CJ187" i="1"/>
  <c r="CJ188" i="1"/>
  <c r="CJ189" i="1"/>
  <c r="CJ190" i="1"/>
  <c r="CJ191" i="1"/>
  <c r="CJ192" i="1"/>
  <c r="CJ193" i="1"/>
  <c r="CJ194" i="1"/>
  <c r="CJ195" i="1"/>
  <c r="CJ196" i="1"/>
  <c r="CJ197" i="1"/>
  <c r="CJ198" i="1"/>
  <c r="CJ199" i="1"/>
  <c r="CJ200" i="1"/>
  <c r="CJ201" i="1"/>
  <c r="CJ202" i="1"/>
  <c r="CJ203" i="1"/>
  <c r="CJ204" i="1"/>
  <c r="CJ205" i="1"/>
  <c r="CJ206" i="1"/>
  <c r="CJ207" i="1"/>
  <c r="CJ208" i="1"/>
  <c r="CJ209" i="1"/>
  <c r="CJ210" i="1"/>
  <c r="CJ211" i="1"/>
  <c r="CJ212" i="1"/>
  <c r="CJ213" i="1"/>
  <c r="CJ214" i="1"/>
  <c r="CJ215" i="1"/>
  <c r="CJ216" i="1"/>
  <c r="CJ217" i="1"/>
  <c r="CJ218" i="1"/>
  <c r="CJ219" i="1"/>
  <c r="CJ220" i="1"/>
  <c r="CJ221" i="1"/>
  <c r="CJ222" i="1"/>
  <c r="CJ223" i="1"/>
  <c r="CJ224" i="1"/>
  <c r="CJ225" i="1"/>
  <c r="CJ226" i="1"/>
  <c r="CJ227" i="1"/>
  <c r="CJ228" i="1"/>
  <c r="CJ229" i="1"/>
  <c r="CJ230" i="1"/>
  <c r="CJ231" i="1"/>
  <c r="CJ232" i="1"/>
  <c r="CJ233" i="1"/>
  <c r="CJ234" i="1"/>
  <c r="CJ235" i="1"/>
  <c r="CJ236" i="1"/>
  <c r="CJ237" i="1"/>
  <c r="CJ238" i="1"/>
  <c r="CJ239" i="1"/>
  <c r="CJ240" i="1"/>
  <c r="CJ241" i="1"/>
  <c r="CJ242" i="1"/>
  <c r="CJ243" i="1"/>
  <c r="CJ244" i="1"/>
  <c r="CJ245" i="1"/>
  <c r="CJ246" i="1"/>
  <c r="CJ247" i="1"/>
  <c r="CJ248" i="1"/>
  <c r="CJ249" i="1"/>
  <c r="CJ250" i="1"/>
  <c r="CJ251" i="1"/>
  <c r="CJ252" i="1"/>
  <c r="CJ253" i="1"/>
  <c r="CJ254" i="1"/>
  <c r="CJ255" i="1"/>
  <c r="CJ256" i="1"/>
  <c r="CJ257" i="1"/>
  <c r="CJ258" i="1"/>
  <c r="CJ259" i="1"/>
  <c r="CJ260" i="1"/>
  <c r="CJ261" i="1"/>
  <c r="CJ262" i="1"/>
  <c r="CJ263" i="1"/>
  <c r="CJ264" i="1"/>
  <c r="CJ265" i="1"/>
  <c r="CJ266" i="1"/>
  <c r="CJ267" i="1"/>
  <c r="CJ268" i="1"/>
  <c r="CJ269" i="1"/>
  <c r="CJ270" i="1"/>
  <c r="CJ271" i="1"/>
  <c r="CJ6" i="1"/>
  <c r="CE7" i="1"/>
  <c r="CF7" i="1"/>
  <c r="CQ7" i="1" s="1"/>
  <c r="CG7" i="1"/>
  <c r="CE8" i="1"/>
  <c r="CF8" i="1"/>
  <c r="CG8" i="1"/>
  <c r="CE9" i="1"/>
  <c r="CF9" i="1"/>
  <c r="CQ9" i="1" s="1"/>
  <c r="CG9" i="1"/>
  <c r="CE10" i="1"/>
  <c r="CF10" i="1"/>
  <c r="CG10" i="1"/>
  <c r="CE11" i="1"/>
  <c r="CF11" i="1"/>
  <c r="CQ11" i="1" s="1"/>
  <c r="CG11" i="1"/>
  <c r="CE12" i="1"/>
  <c r="CF12" i="1"/>
  <c r="CG12" i="1"/>
  <c r="CE13" i="1"/>
  <c r="CF13" i="1"/>
  <c r="CQ13" i="1" s="1"/>
  <c r="CG13" i="1"/>
  <c r="CE14" i="1"/>
  <c r="CF14" i="1"/>
  <c r="CG14" i="1"/>
  <c r="CE15" i="1"/>
  <c r="CF15" i="1"/>
  <c r="CQ15" i="1" s="1"/>
  <c r="CG15" i="1"/>
  <c r="CE16" i="1"/>
  <c r="CF16" i="1"/>
  <c r="CG16" i="1"/>
  <c r="CE17" i="1"/>
  <c r="CF17" i="1"/>
  <c r="CQ17" i="1" s="1"/>
  <c r="CG17" i="1"/>
  <c r="CE18" i="1"/>
  <c r="CF18" i="1"/>
  <c r="CG18" i="1"/>
  <c r="CE19" i="1"/>
  <c r="CF19" i="1"/>
  <c r="CQ19" i="1" s="1"/>
  <c r="CG19" i="1"/>
  <c r="CE20" i="1"/>
  <c r="CF20" i="1"/>
  <c r="CG20" i="1"/>
  <c r="CE21" i="1"/>
  <c r="CF21" i="1"/>
  <c r="CQ21" i="1" s="1"/>
  <c r="CG21" i="1"/>
  <c r="CE22" i="1"/>
  <c r="CF22" i="1"/>
  <c r="CG22" i="1"/>
  <c r="CE23" i="1"/>
  <c r="CF23" i="1"/>
  <c r="CQ23" i="1" s="1"/>
  <c r="CG23" i="1"/>
  <c r="CE24" i="1"/>
  <c r="CF24" i="1"/>
  <c r="CG24" i="1"/>
  <c r="CE25" i="1"/>
  <c r="CF25" i="1"/>
  <c r="CQ25" i="1" s="1"/>
  <c r="CG25" i="1"/>
  <c r="CE26" i="1"/>
  <c r="CF26" i="1"/>
  <c r="CG26" i="1"/>
  <c r="CE27" i="1"/>
  <c r="CF27" i="1"/>
  <c r="CQ27" i="1" s="1"/>
  <c r="CG27" i="1"/>
  <c r="CE28" i="1"/>
  <c r="CF28" i="1"/>
  <c r="CG28" i="1"/>
  <c r="CE29" i="1"/>
  <c r="CF29" i="1"/>
  <c r="CQ29" i="1" s="1"/>
  <c r="CG29" i="1"/>
  <c r="CE30" i="1"/>
  <c r="CF30" i="1"/>
  <c r="CG30" i="1"/>
  <c r="CE31" i="1"/>
  <c r="CF31" i="1"/>
  <c r="CQ31" i="1" s="1"/>
  <c r="CG31" i="1"/>
  <c r="CE32" i="1"/>
  <c r="CF32" i="1"/>
  <c r="CG32" i="1"/>
  <c r="CE33" i="1"/>
  <c r="CF33" i="1"/>
  <c r="CQ33" i="1" s="1"/>
  <c r="CG33" i="1"/>
  <c r="CE34" i="1"/>
  <c r="CF34" i="1"/>
  <c r="CG34" i="1"/>
  <c r="CE35" i="1"/>
  <c r="CF35" i="1"/>
  <c r="CQ35" i="1" s="1"/>
  <c r="CG35" i="1"/>
  <c r="CE36" i="1"/>
  <c r="CF36" i="1"/>
  <c r="CG36" i="1"/>
  <c r="CE37" i="1"/>
  <c r="CF37" i="1"/>
  <c r="CQ37" i="1" s="1"/>
  <c r="CG37" i="1"/>
  <c r="CE38" i="1"/>
  <c r="CF38" i="1"/>
  <c r="CG38" i="1"/>
  <c r="CE39" i="1"/>
  <c r="CF39" i="1"/>
  <c r="CQ39" i="1" s="1"/>
  <c r="CG39" i="1"/>
  <c r="CE40" i="1"/>
  <c r="CF40" i="1"/>
  <c r="CG40" i="1"/>
  <c r="CE41" i="1"/>
  <c r="CF41" i="1"/>
  <c r="CQ41" i="1" s="1"/>
  <c r="CG41" i="1"/>
  <c r="CE42" i="1"/>
  <c r="CF42" i="1"/>
  <c r="CG42" i="1"/>
  <c r="CE43" i="1"/>
  <c r="CF43" i="1"/>
  <c r="CQ43" i="1" s="1"/>
  <c r="CG43" i="1"/>
  <c r="CE44" i="1"/>
  <c r="CF44" i="1"/>
  <c r="CG44" i="1"/>
  <c r="CE45" i="1"/>
  <c r="CF45" i="1"/>
  <c r="CQ45" i="1" s="1"/>
  <c r="CG45" i="1"/>
  <c r="CE46" i="1"/>
  <c r="CF46" i="1"/>
  <c r="CG46" i="1"/>
  <c r="CE47" i="1"/>
  <c r="CF47" i="1"/>
  <c r="CQ47" i="1" s="1"/>
  <c r="CG47" i="1"/>
  <c r="CE48" i="1"/>
  <c r="CF48" i="1"/>
  <c r="CG48" i="1"/>
  <c r="CE49" i="1"/>
  <c r="CF49" i="1"/>
  <c r="CQ49" i="1" s="1"/>
  <c r="CG49" i="1"/>
  <c r="CE50" i="1"/>
  <c r="CF50" i="1"/>
  <c r="CG50" i="1"/>
  <c r="CE51" i="1"/>
  <c r="CF51" i="1"/>
  <c r="CQ51" i="1" s="1"/>
  <c r="CG51" i="1"/>
  <c r="CE52" i="1"/>
  <c r="CF52" i="1"/>
  <c r="CG52" i="1"/>
  <c r="CE53" i="1"/>
  <c r="CF53" i="1"/>
  <c r="CQ53" i="1" s="1"/>
  <c r="CG53" i="1"/>
  <c r="CE54" i="1"/>
  <c r="CF54" i="1"/>
  <c r="CG54" i="1"/>
  <c r="CE55" i="1"/>
  <c r="CF55" i="1"/>
  <c r="CQ55" i="1" s="1"/>
  <c r="CG55" i="1"/>
  <c r="CE56" i="1"/>
  <c r="CF56" i="1"/>
  <c r="CG56" i="1"/>
  <c r="CE57" i="1"/>
  <c r="CF57" i="1"/>
  <c r="CQ57" i="1" s="1"/>
  <c r="CG57" i="1"/>
  <c r="CE58" i="1"/>
  <c r="CF58" i="1"/>
  <c r="CG58" i="1"/>
  <c r="CE59" i="1"/>
  <c r="CF59" i="1"/>
  <c r="CQ59" i="1" s="1"/>
  <c r="CG59" i="1"/>
  <c r="CE60" i="1"/>
  <c r="CF60" i="1"/>
  <c r="CG60" i="1"/>
  <c r="CE61" i="1"/>
  <c r="CF61" i="1"/>
  <c r="CQ61" i="1" s="1"/>
  <c r="CG61" i="1"/>
  <c r="CE62" i="1"/>
  <c r="CF62" i="1"/>
  <c r="CG62" i="1"/>
  <c r="CE63" i="1"/>
  <c r="CF63" i="1"/>
  <c r="CQ63" i="1" s="1"/>
  <c r="CG63" i="1"/>
  <c r="CE64" i="1"/>
  <c r="CF64" i="1"/>
  <c r="CG64" i="1"/>
  <c r="CE65" i="1"/>
  <c r="CF65" i="1"/>
  <c r="CQ65" i="1" s="1"/>
  <c r="CG65" i="1"/>
  <c r="CE66" i="1"/>
  <c r="CF66" i="1"/>
  <c r="CG66" i="1"/>
  <c r="CE67" i="1"/>
  <c r="CF67" i="1"/>
  <c r="CQ67" i="1" s="1"/>
  <c r="CG67" i="1"/>
  <c r="CE68" i="1"/>
  <c r="CF68" i="1"/>
  <c r="CG68" i="1"/>
  <c r="CE69" i="1"/>
  <c r="CF69" i="1"/>
  <c r="CQ69" i="1" s="1"/>
  <c r="CG69" i="1"/>
  <c r="CE70" i="1"/>
  <c r="CF70" i="1"/>
  <c r="CG70" i="1"/>
  <c r="CE71" i="1"/>
  <c r="CF71" i="1"/>
  <c r="CQ71" i="1" s="1"/>
  <c r="CG71" i="1"/>
  <c r="CE72" i="1"/>
  <c r="CF72" i="1"/>
  <c r="CG72" i="1"/>
  <c r="CE73" i="1"/>
  <c r="CF73" i="1"/>
  <c r="CQ73" i="1" s="1"/>
  <c r="CG73" i="1"/>
  <c r="CE74" i="1"/>
  <c r="CF74" i="1"/>
  <c r="CG74" i="1"/>
  <c r="CE75" i="1"/>
  <c r="CF75" i="1"/>
  <c r="CQ75" i="1" s="1"/>
  <c r="CG75" i="1"/>
  <c r="CE76" i="1"/>
  <c r="CF76" i="1"/>
  <c r="CG76" i="1"/>
  <c r="CE77" i="1"/>
  <c r="CF77" i="1"/>
  <c r="CQ77" i="1" s="1"/>
  <c r="CG77" i="1"/>
  <c r="CE78" i="1"/>
  <c r="CF78" i="1"/>
  <c r="CG78" i="1"/>
  <c r="CE79" i="1"/>
  <c r="CF79" i="1"/>
  <c r="CQ79" i="1" s="1"/>
  <c r="CG79" i="1"/>
  <c r="CE80" i="1"/>
  <c r="CF80" i="1"/>
  <c r="CG80" i="1"/>
  <c r="CE81" i="1"/>
  <c r="CF81" i="1"/>
  <c r="CQ81" i="1" s="1"/>
  <c r="CG81" i="1"/>
  <c r="CE82" i="1"/>
  <c r="CF82" i="1"/>
  <c r="CG82" i="1"/>
  <c r="CE83" i="1"/>
  <c r="CF83" i="1"/>
  <c r="CQ83" i="1" s="1"/>
  <c r="CG83" i="1"/>
  <c r="CE84" i="1"/>
  <c r="CF84" i="1"/>
  <c r="CG84" i="1"/>
  <c r="CE85" i="1"/>
  <c r="CF85" i="1"/>
  <c r="CQ85" i="1" s="1"/>
  <c r="CG85" i="1"/>
  <c r="CE86" i="1"/>
  <c r="CF86" i="1"/>
  <c r="CG86" i="1"/>
  <c r="CE87" i="1"/>
  <c r="CF87" i="1"/>
  <c r="CQ87" i="1" s="1"/>
  <c r="CG87" i="1"/>
  <c r="CE88" i="1"/>
  <c r="CF88" i="1"/>
  <c r="CG88" i="1"/>
  <c r="CE89" i="1"/>
  <c r="CF89" i="1"/>
  <c r="CQ89" i="1" s="1"/>
  <c r="CG89" i="1"/>
  <c r="CE90" i="1"/>
  <c r="CF90" i="1"/>
  <c r="CG90" i="1"/>
  <c r="CE91" i="1"/>
  <c r="CF91" i="1"/>
  <c r="CQ91" i="1" s="1"/>
  <c r="CG91" i="1"/>
  <c r="CE92" i="1"/>
  <c r="CF92" i="1"/>
  <c r="CG92" i="1"/>
  <c r="CE93" i="1"/>
  <c r="CF93" i="1"/>
  <c r="CQ93" i="1" s="1"/>
  <c r="CG93" i="1"/>
  <c r="CE94" i="1"/>
  <c r="CF94" i="1"/>
  <c r="CG94" i="1"/>
  <c r="CE95" i="1"/>
  <c r="CF95" i="1"/>
  <c r="CQ95" i="1" s="1"/>
  <c r="CG95" i="1"/>
  <c r="CE96" i="1"/>
  <c r="CF96" i="1"/>
  <c r="CG96" i="1"/>
  <c r="CE97" i="1"/>
  <c r="CF97" i="1"/>
  <c r="CQ97" i="1" s="1"/>
  <c r="CG97" i="1"/>
  <c r="CE98" i="1"/>
  <c r="CF98" i="1"/>
  <c r="CG98" i="1"/>
  <c r="CE99" i="1"/>
  <c r="CF99" i="1"/>
  <c r="CQ99" i="1" s="1"/>
  <c r="CG99" i="1"/>
  <c r="CE100" i="1"/>
  <c r="CF100" i="1"/>
  <c r="CG100" i="1"/>
  <c r="CE101" i="1"/>
  <c r="CF101" i="1"/>
  <c r="CQ101" i="1" s="1"/>
  <c r="CG101" i="1"/>
  <c r="CE102" i="1"/>
  <c r="CF102" i="1"/>
  <c r="CG102" i="1"/>
  <c r="CE103" i="1"/>
  <c r="CF103" i="1"/>
  <c r="CQ103" i="1" s="1"/>
  <c r="CG103" i="1"/>
  <c r="CE104" i="1"/>
  <c r="CF104" i="1"/>
  <c r="CG104" i="1"/>
  <c r="CE105" i="1"/>
  <c r="CF105" i="1"/>
  <c r="CQ105" i="1" s="1"/>
  <c r="CG105" i="1"/>
  <c r="CE106" i="1"/>
  <c r="CF106" i="1"/>
  <c r="CG106" i="1"/>
  <c r="CE107" i="1"/>
  <c r="CF107" i="1"/>
  <c r="CQ107" i="1" s="1"/>
  <c r="CG107" i="1"/>
  <c r="CE108" i="1"/>
  <c r="CF108" i="1"/>
  <c r="CG108" i="1"/>
  <c r="CE109" i="1"/>
  <c r="CF109" i="1"/>
  <c r="CQ109" i="1" s="1"/>
  <c r="CG109" i="1"/>
  <c r="CE110" i="1"/>
  <c r="CF110" i="1"/>
  <c r="CG110" i="1"/>
  <c r="CE111" i="1"/>
  <c r="CF111" i="1"/>
  <c r="CQ111" i="1" s="1"/>
  <c r="CG111" i="1"/>
  <c r="CE112" i="1"/>
  <c r="CF112" i="1"/>
  <c r="CG112" i="1"/>
  <c r="CE113" i="1"/>
  <c r="CF113" i="1"/>
  <c r="CQ113" i="1" s="1"/>
  <c r="CG113" i="1"/>
  <c r="CE114" i="1"/>
  <c r="CF114" i="1"/>
  <c r="CG114" i="1"/>
  <c r="CE115" i="1"/>
  <c r="CF115" i="1"/>
  <c r="CQ115" i="1" s="1"/>
  <c r="CG115" i="1"/>
  <c r="CE116" i="1"/>
  <c r="CF116" i="1"/>
  <c r="CG116" i="1"/>
  <c r="CE117" i="1"/>
  <c r="CF117" i="1"/>
  <c r="CQ117" i="1" s="1"/>
  <c r="CG117" i="1"/>
  <c r="CE118" i="1"/>
  <c r="CF118" i="1"/>
  <c r="CG118" i="1"/>
  <c r="CE119" i="1"/>
  <c r="CF119" i="1"/>
  <c r="CQ119" i="1" s="1"/>
  <c r="CG119" i="1"/>
  <c r="CE120" i="1"/>
  <c r="CF120" i="1"/>
  <c r="CG120" i="1"/>
  <c r="CE121" i="1"/>
  <c r="CF121" i="1"/>
  <c r="CQ121" i="1" s="1"/>
  <c r="CG121" i="1"/>
  <c r="CE122" i="1"/>
  <c r="CF122" i="1"/>
  <c r="CG122" i="1"/>
  <c r="CE123" i="1"/>
  <c r="CF123" i="1"/>
  <c r="CQ123" i="1" s="1"/>
  <c r="CG123" i="1"/>
  <c r="CE124" i="1"/>
  <c r="CF124" i="1"/>
  <c r="CG124" i="1"/>
  <c r="CE125" i="1"/>
  <c r="CF125" i="1"/>
  <c r="CQ125" i="1" s="1"/>
  <c r="CG125" i="1"/>
  <c r="CE126" i="1"/>
  <c r="CF126" i="1"/>
  <c r="CG126" i="1"/>
  <c r="CE127" i="1"/>
  <c r="CF127" i="1"/>
  <c r="CQ127" i="1" s="1"/>
  <c r="CG127" i="1"/>
  <c r="CE128" i="1"/>
  <c r="CF128" i="1"/>
  <c r="CG128" i="1"/>
  <c r="CE129" i="1"/>
  <c r="CF129" i="1"/>
  <c r="CQ129" i="1" s="1"/>
  <c r="CG129" i="1"/>
  <c r="CE130" i="1"/>
  <c r="CF130" i="1"/>
  <c r="CG130" i="1"/>
  <c r="CE131" i="1"/>
  <c r="CF131" i="1"/>
  <c r="CQ131" i="1" s="1"/>
  <c r="CG131" i="1"/>
  <c r="CE132" i="1"/>
  <c r="CF132" i="1"/>
  <c r="CG132" i="1"/>
  <c r="CE133" i="1"/>
  <c r="CF133" i="1"/>
  <c r="CQ133" i="1" s="1"/>
  <c r="CG133" i="1"/>
  <c r="CE134" i="1"/>
  <c r="CF134" i="1"/>
  <c r="CG134" i="1"/>
  <c r="CE135" i="1"/>
  <c r="CF135" i="1"/>
  <c r="CQ135" i="1" s="1"/>
  <c r="CG135" i="1"/>
  <c r="CE136" i="1"/>
  <c r="CF136" i="1"/>
  <c r="CG136" i="1"/>
  <c r="CE137" i="1"/>
  <c r="CF137" i="1"/>
  <c r="CQ137" i="1" s="1"/>
  <c r="CG137" i="1"/>
  <c r="CE138" i="1"/>
  <c r="CF138" i="1"/>
  <c r="CG138" i="1"/>
  <c r="CE139" i="1"/>
  <c r="CF139" i="1"/>
  <c r="CQ139" i="1" s="1"/>
  <c r="CG139" i="1"/>
  <c r="CE140" i="1"/>
  <c r="CF140" i="1"/>
  <c r="CG140" i="1"/>
  <c r="CE141" i="1"/>
  <c r="CF141" i="1"/>
  <c r="CQ141" i="1" s="1"/>
  <c r="CG141" i="1"/>
  <c r="CE142" i="1"/>
  <c r="CF142" i="1"/>
  <c r="CG142" i="1"/>
  <c r="CE143" i="1"/>
  <c r="CF143" i="1"/>
  <c r="CQ143" i="1" s="1"/>
  <c r="CG143" i="1"/>
  <c r="CE144" i="1"/>
  <c r="CF144" i="1"/>
  <c r="CG144" i="1"/>
  <c r="CE145" i="1"/>
  <c r="CF145" i="1"/>
  <c r="CQ145" i="1" s="1"/>
  <c r="CG145" i="1"/>
  <c r="CE146" i="1"/>
  <c r="CF146" i="1"/>
  <c r="CG146" i="1"/>
  <c r="CE147" i="1"/>
  <c r="CF147" i="1"/>
  <c r="CQ147" i="1" s="1"/>
  <c r="CG147" i="1"/>
  <c r="CE148" i="1"/>
  <c r="CF148" i="1"/>
  <c r="CG148" i="1"/>
  <c r="CE149" i="1"/>
  <c r="CF149" i="1"/>
  <c r="CQ149" i="1" s="1"/>
  <c r="CG149" i="1"/>
  <c r="CE150" i="1"/>
  <c r="CF150" i="1"/>
  <c r="CG150" i="1"/>
  <c r="CE151" i="1"/>
  <c r="CF151" i="1"/>
  <c r="CQ151" i="1" s="1"/>
  <c r="CG151" i="1"/>
  <c r="CE152" i="1"/>
  <c r="CF152" i="1"/>
  <c r="CG152" i="1"/>
  <c r="CE153" i="1"/>
  <c r="CF153" i="1"/>
  <c r="CQ153" i="1" s="1"/>
  <c r="CG153" i="1"/>
  <c r="CE154" i="1"/>
  <c r="CF154" i="1"/>
  <c r="CG154" i="1"/>
  <c r="CE155" i="1"/>
  <c r="CF155" i="1"/>
  <c r="CG155" i="1"/>
  <c r="CE156" i="1"/>
  <c r="CF156" i="1"/>
  <c r="CG156" i="1"/>
  <c r="CE157" i="1"/>
  <c r="CF157" i="1"/>
  <c r="CQ157" i="1" s="1"/>
  <c r="CG157" i="1"/>
  <c r="CE158" i="1"/>
  <c r="CF158" i="1"/>
  <c r="CG158" i="1"/>
  <c r="CE159" i="1"/>
  <c r="CF159" i="1"/>
  <c r="CQ159" i="1" s="1"/>
  <c r="CG159" i="1"/>
  <c r="CE160" i="1"/>
  <c r="CF160" i="1"/>
  <c r="CG160" i="1"/>
  <c r="CE161" i="1"/>
  <c r="CF161" i="1"/>
  <c r="CQ161" i="1" s="1"/>
  <c r="CG161" i="1"/>
  <c r="CE162" i="1"/>
  <c r="CF162" i="1"/>
  <c r="CG162" i="1"/>
  <c r="CE163" i="1"/>
  <c r="CF163" i="1"/>
  <c r="CQ163" i="1" s="1"/>
  <c r="CG163" i="1"/>
  <c r="CE164" i="1"/>
  <c r="CF164" i="1"/>
  <c r="CG164" i="1"/>
  <c r="CE165" i="1"/>
  <c r="CF165" i="1"/>
  <c r="CQ165" i="1" s="1"/>
  <c r="CG165" i="1"/>
  <c r="CE166" i="1"/>
  <c r="CF166" i="1"/>
  <c r="CG166" i="1"/>
  <c r="CE167" i="1"/>
  <c r="CF167" i="1"/>
  <c r="CQ167" i="1" s="1"/>
  <c r="CG167" i="1"/>
  <c r="CE168" i="1"/>
  <c r="CF168" i="1"/>
  <c r="CG168" i="1"/>
  <c r="CE169" i="1"/>
  <c r="CF169" i="1"/>
  <c r="CQ169" i="1" s="1"/>
  <c r="CG169" i="1"/>
  <c r="CE170" i="1"/>
  <c r="CF170" i="1"/>
  <c r="CG170" i="1"/>
  <c r="CE171" i="1"/>
  <c r="CF171" i="1"/>
  <c r="CQ171" i="1" s="1"/>
  <c r="CG171" i="1"/>
  <c r="CE172" i="1"/>
  <c r="CF172" i="1"/>
  <c r="CG172" i="1"/>
  <c r="CE173" i="1"/>
  <c r="CF173" i="1"/>
  <c r="CQ173" i="1" s="1"/>
  <c r="CG173" i="1"/>
  <c r="CE174" i="1"/>
  <c r="CF174" i="1"/>
  <c r="CG174" i="1"/>
  <c r="CE175" i="1"/>
  <c r="CF175" i="1"/>
  <c r="CQ175" i="1" s="1"/>
  <c r="CG175" i="1"/>
  <c r="CE176" i="1"/>
  <c r="CF176" i="1"/>
  <c r="CG176" i="1"/>
  <c r="CE177" i="1"/>
  <c r="CF177" i="1"/>
  <c r="CQ177" i="1" s="1"/>
  <c r="CG177" i="1"/>
  <c r="CE178" i="1"/>
  <c r="CF178" i="1"/>
  <c r="CG178" i="1"/>
  <c r="CE179" i="1"/>
  <c r="CF179" i="1"/>
  <c r="CQ179" i="1" s="1"/>
  <c r="CG179" i="1"/>
  <c r="CE180" i="1"/>
  <c r="CF180" i="1"/>
  <c r="CG180" i="1"/>
  <c r="CE181" i="1"/>
  <c r="CF181" i="1"/>
  <c r="CQ181" i="1" s="1"/>
  <c r="CG181" i="1"/>
  <c r="CE182" i="1"/>
  <c r="CF182" i="1"/>
  <c r="CG182" i="1"/>
  <c r="CE183" i="1"/>
  <c r="CF183" i="1"/>
  <c r="CQ183" i="1" s="1"/>
  <c r="CG183" i="1"/>
  <c r="CE184" i="1"/>
  <c r="CF184" i="1"/>
  <c r="CG184" i="1"/>
  <c r="CE185" i="1"/>
  <c r="CF185" i="1"/>
  <c r="CQ185" i="1" s="1"/>
  <c r="CG185" i="1"/>
  <c r="CE186" i="1"/>
  <c r="CF186" i="1"/>
  <c r="CG186" i="1"/>
  <c r="CE187" i="1"/>
  <c r="CF187" i="1"/>
  <c r="CQ187" i="1" s="1"/>
  <c r="CG187" i="1"/>
  <c r="CE188" i="1"/>
  <c r="CF188" i="1"/>
  <c r="CG188" i="1"/>
  <c r="CE189" i="1"/>
  <c r="CF189" i="1"/>
  <c r="CQ189" i="1" s="1"/>
  <c r="CG189" i="1"/>
  <c r="CE190" i="1"/>
  <c r="CF190" i="1"/>
  <c r="CG190" i="1"/>
  <c r="CE191" i="1"/>
  <c r="CF191" i="1"/>
  <c r="CQ191" i="1" s="1"/>
  <c r="CG191" i="1"/>
  <c r="CE192" i="1"/>
  <c r="CF192" i="1"/>
  <c r="CG192" i="1"/>
  <c r="CE193" i="1"/>
  <c r="CF193" i="1"/>
  <c r="CQ193" i="1" s="1"/>
  <c r="CG193" i="1"/>
  <c r="CE194" i="1"/>
  <c r="CF194" i="1"/>
  <c r="CG194" i="1"/>
  <c r="CE195" i="1"/>
  <c r="CF195" i="1"/>
  <c r="CQ195" i="1" s="1"/>
  <c r="CG195" i="1"/>
  <c r="CE196" i="1"/>
  <c r="CF196" i="1"/>
  <c r="CG196" i="1"/>
  <c r="CE197" i="1"/>
  <c r="CF197" i="1"/>
  <c r="CQ197" i="1" s="1"/>
  <c r="CG197" i="1"/>
  <c r="CE198" i="1"/>
  <c r="CF198" i="1"/>
  <c r="CG198" i="1"/>
  <c r="CE199" i="1"/>
  <c r="CF199" i="1"/>
  <c r="CQ199" i="1" s="1"/>
  <c r="CG199" i="1"/>
  <c r="CE200" i="1"/>
  <c r="CF200" i="1"/>
  <c r="CG200" i="1"/>
  <c r="CE201" i="1"/>
  <c r="CF201" i="1"/>
  <c r="CQ201" i="1" s="1"/>
  <c r="CG201" i="1"/>
  <c r="CE202" i="1"/>
  <c r="CF202" i="1"/>
  <c r="CG202" i="1"/>
  <c r="CE203" i="1"/>
  <c r="CF203" i="1"/>
  <c r="CQ203" i="1" s="1"/>
  <c r="CG203" i="1"/>
  <c r="CE204" i="1"/>
  <c r="CF204" i="1"/>
  <c r="CG204" i="1"/>
  <c r="CE205" i="1"/>
  <c r="CF205" i="1"/>
  <c r="CQ205" i="1" s="1"/>
  <c r="CG205" i="1"/>
  <c r="CE206" i="1"/>
  <c r="CF206" i="1"/>
  <c r="CG206" i="1"/>
  <c r="CE207" i="1"/>
  <c r="CF207" i="1"/>
  <c r="CQ207" i="1" s="1"/>
  <c r="CG207" i="1"/>
  <c r="CE208" i="1"/>
  <c r="CF208" i="1"/>
  <c r="CG208" i="1"/>
  <c r="CE209" i="1"/>
  <c r="CF209" i="1"/>
  <c r="CQ209" i="1" s="1"/>
  <c r="CG209" i="1"/>
  <c r="CE210" i="1"/>
  <c r="CF210" i="1"/>
  <c r="CG210" i="1"/>
  <c r="CE211" i="1"/>
  <c r="CF211" i="1"/>
  <c r="CQ211" i="1" s="1"/>
  <c r="CG211" i="1"/>
  <c r="CE212" i="1"/>
  <c r="CF212" i="1"/>
  <c r="CG212" i="1"/>
  <c r="CE213" i="1"/>
  <c r="CF213" i="1"/>
  <c r="CQ213" i="1" s="1"/>
  <c r="CG213" i="1"/>
  <c r="CE214" i="1"/>
  <c r="CF214" i="1"/>
  <c r="CG214" i="1"/>
  <c r="CE215" i="1"/>
  <c r="CF215" i="1"/>
  <c r="CQ215" i="1" s="1"/>
  <c r="CG215" i="1"/>
  <c r="CE216" i="1"/>
  <c r="CF216" i="1"/>
  <c r="CG216" i="1"/>
  <c r="CE217" i="1"/>
  <c r="CF217" i="1"/>
  <c r="CQ217" i="1" s="1"/>
  <c r="CG217" i="1"/>
  <c r="CE218" i="1"/>
  <c r="CF218" i="1"/>
  <c r="CG218" i="1"/>
  <c r="CE219" i="1"/>
  <c r="CF219" i="1"/>
  <c r="CQ219" i="1" s="1"/>
  <c r="CG219" i="1"/>
  <c r="CE220" i="1"/>
  <c r="CF220" i="1"/>
  <c r="CG220" i="1"/>
  <c r="CE221" i="1"/>
  <c r="CF221" i="1"/>
  <c r="CQ221" i="1" s="1"/>
  <c r="CG221" i="1"/>
  <c r="CE222" i="1"/>
  <c r="CF222" i="1"/>
  <c r="CG222" i="1"/>
  <c r="CE223" i="1"/>
  <c r="CF223" i="1"/>
  <c r="CQ223" i="1" s="1"/>
  <c r="CG223" i="1"/>
  <c r="CE224" i="1"/>
  <c r="CF224" i="1"/>
  <c r="CG224" i="1"/>
  <c r="CE225" i="1"/>
  <c r="CF225" i="1"/>
  <c r="CQ225" i="1" s="1"/>
  <c r="CG225" i="1"/>
  <c r="CE226" i="1"/>
  <c r="CF226" i="1"/>
  <c r="CG226" i="1"/>
  <c r="CE227" i="1"/>
  <c r="CF227" i="1"/>
  <c r="CQ227" i="1" s="1"/>
  <c r="CG227" i="1"/>
  <c r="CE228" i="1"/>
  <c r="CF228" i="1"/>
  <c r="CG228" i="1"/>
  <c r="CE229" i="1"/>
  <c r="CF229" i="1"/>
  <c r="CQ229" i="1" s="1"/>
  <c r="CG229" i="1"/>
  <c r="CE230" i="1"/>
  <c r="CF230" i="1"/>
  <c r="CG230" i="1"/>
  <c r="CE231" i="1"/>
  <c r="CF231" i="1"/>
  <c r="CQ231" i="1" s="1"/>
  <c r="CG231" i="1"/>
  <c r="CE232" i="1"/>
  <c r="CF232" i="1"/>
  <c r="CG232" i="1"/>
  <c r="CE233" i="1"/>
  <c r="CF233" i="1"/>
  <c r="CQ233" i="1" s="1"/>
  <c r="CG233" i="1"/>
  <c r="CE234" i="1"/>
  <c r="CF234" i="1"/>
  <c r="CG234" i="1"/>
  <c r="CE235" i="1"/>
  <c r="CF235" i="1"/>
  <c r="CQ235" i="1" s="1"/>
  <c r="CG235" i="1"/>
  <c r="CE236" i="1"/>
  <c r="CF236" i="1"/>
  <c r="CG236" i="1"/>
  <c r="CE237" i="1"/>
  <c r="CF237" i="1"/>
  <c r="CQ237" i="1" s="1"/>
  <c r="CG237" i="1"/>
  <c r="CE238" i="1"/>
  <c r="CF238" i="1"/>
  <c r="CG238" i="1"/>
  <c r="CE239" i="1"/>
  <c r="CF239" i="1"/>
  <c r="CQ239" i="1" s="1"/>
  <c r="CG239" i="1"/>
  <c r="CE240" i="1"/>
  <c r="CF240" i="1"/>
  <c r="CG240" i="1"/>
  <c r="CE241" i="1"/>
  <c r="CF241" i="1"/>
  <c r="CQ241" i="1" s="1"/>
  <c r="CG241" i="1"/>
  <c r="CE242" i="1"/>
  <c r="CF242" i="1"/>
  <c r="CG242" i="1"/>
  <c r="CE243" i="1"/>
  <c r="CF243" i="1"/>
  <c r="CQ243" i="1" s="1"/>
  <c r="CG243" i="1"/>
  <c r="CE244" i="1"/>
  <c r="CF244" i="1"/>
  <c r="CG244" i="1"/>
  <c r="CE245" i="1"/>
  <c r="CF245" i="1"/>
  <c r="CQ245" i="1" s="1"/>
  <c r="CG245" i="1"/>
  <c r="CE246" i="1"/>
  <c r="CF246" i="1"/>
  <c r="CG246" i="1"/>
  <c r="CE247" i="1"/>
  <c r="CF247" i="1"/>
  <c r="CQ247" i="1" s="1"/>
  <c r="CG247" i="1"/>
  <c r="CE248" i="1"/>
  <c r="CF248" i="1"/>
  <c r="CG248" i="1"/>
  <c r="CE249" i="1"/>
  <c r="CF249" i="1"/>
  <c r="CQ249" i="1" s="1"/>
  <c r="CG249" i="1"/>
  <c r="CE250" i="1"/>
  <c r="CF250" i="1"/>
  <c r="CG250" i="1"/>
  <c r="CE251" i="1"/>
  <c r="CF251" i="1"/>
  <c r="CQ251" i="1" s="1"/>
  <c r="CG251" i="1"/>
  <c r="CE252" i="1"/>
  <c r="CF252" i="1"/>
  <c r="CG252" i="1"/>
  <c r="CE253" i="1"/>
  <c r="CF253" i="1"/>
  <c r="CQ253" i="1" s="1"/>
  <c r="CG253" i="1"/>
  <c r="CE254" i="1"/>
  <c r="CF254" i="1"/>
  <c r="CG254" i="1"/>
  <c r="CE255" i="1"/>
  <c r="CF255" i="1"/>
  <c r="CQ255" i="1" s="1"/>
  <c r="CG255" i="1"/>
  <c r="CE256" i="1"/>
  <c r="CF256" i="1"/>
  <c r="CG256" i="1"/>
  <c r="CE257" i="1"/>
  <c r="CF257" i="1"/>
  <c r="CQ257" i="1" s="1"/>
  <c r="CG257" i="1"/>
  <c r="CE258" i="1"/>
  <c r="CF258" i="1"/>
  <c r="CG258" i="1"/>
  <c r="CE259" i="1"/>
  <c r="CF259" i="1"/>
  <c r="CQ259" i="1" s="1"/>
  <c r="CG259" i="1"/>
  <c r="CE260" i="1"/>
  <c r="CF260" i="1"/>
  <c r="CG260" i="1"/>
  <c r="CE261" i="1"/>
  <c r="CF261" i="1"/>
  <c r="CQ261" i="1" s="1"/>
  <c r="CG261" i="1"/>
  <c r="CE262" i="1"/>
  <c r="CF262" i="1"/>
  <c r="CG262" i="1"/>
  <c r="CE263" i="1"/>
  <c r="CF263" i="1"/>
  <c r="CQ263" i="1" s="1"/>
  <c r="CG263" i="1"/>
  <c r="CE264" i="1"/>
  <c r="CF264" i="1"/>
  <c r="CG264" i="1"/>
  <c r="CE265" i="1"/>
  <c r="CF265" i="1"/>
  <c r="CQ265" i="1" s="1"/>
  <c r="CG265" i="1"/>
  <c r="CE266" i="1"/>
  <c r="CF266" i="1"/>
  <c r="CG266" i="1"/>
  <c r="CE267" i="1"/>
  <c r="CF267" i="1"/>
  <c r="CQ267" i="1" s="1"/>
  <c r="CG267" i="1"/>
  <c r="CE268" i="1"/>
  <c r="CF268" i="1"/>
  <c r="CG268" i="1"/>
  <c r="CE269" i="1"/>
  <c r="CF269" i="1"/>
  <c r="CQ269" i="1" s="1"/>
  <c r="CG269" i="1"/>
  <c r="CE270" i="1"/>
  <c r="CF270" i="1"/>
  <c r="CG270" i="1"/>
  <c r="CE271" i="1"/>
  <c r="CF271" i="1"/>
  <c r="CQ271" i="1" s="1"/>
  <c r="CG271" i="1"/>
  <c r="CG6" i="1"/>
  <c r="CF6" i="1"/>
  <c r="CE6" i="1"/>
  <c r="CQ6" i="1" s="1"/>
  <c r="CC113" i="1"/>
  <c r="D109" i="9"/>
  <c r="BV66" i="1" a="1"/>
  <c r="BV66" i="1" s="1"/>
  <c r="BV90" i="1" a="1"/>
  <c r="BV90" i="1" s="1"/>
  <c r="BV132" i="1" a="1"/>
  <c r="BV132" i="1" s="1"/>
  <c r="BV180" i="1" a="1"/>
  <c r="BV180" i="1" s="1"/>
  <c r="BV191" i="1" a="1"/>
  <c r="BV191" i="1" s="1"/>
  <c r="BP132" i="1" a="1"/>
  <c r="BP132" i="1" s="1"/>
  <c r="CC132" i="1" s="1"/>
  <c r="BV2" i="1" a="1"/>
  <c r="BV2" i="1" s="1"/>
  <c r="BV4" i="1" a="1"/>
  <c r="BV4" i="1" s="1"/>
  <c r="BH2" i="1"/>
  <c r="BI2" i="1"/>
  <c r="BG2" i="1"/>
  <c r="BP1" i="1" a="1"/>
  <c r="BP1" i="1" s="1"/>
  <c r="BP2" i="1" s="1"/>
  <c r="BI4" i="1"/>
  <c r="BH4" i="1"/>
  <c r="BG4" i="1"/>
  <c r="BP90" i="1" a="1"/>
  <c r="BP90" i="1" s="1"/>
  <c r="CC90" i="1" s="1"/>
  <c r="BP124" i="1" a="1"/>
  <c r="BP124" i="1" s="1"/>
  <c r="CC124" i="1" s="1"/>
  <c r="BP180" i="1" a="1"/>
  <c r="BP180" i="1" s="1"/>
  <c r="CC180" i="1" s="1"/>
  <c r="CA113" i="1"/>
  <c r="BP3" i="1" a="1"/>
  <c r="BP3" i="1" s="1"/>
  <c r="BR67" i="1" a="1"/>
  <c r="BR67" i="1" s="1"/>
  <c r="BR68" i="1" a="1"/>
  <c r="BR68" i="1" s="1"/>
  <c r="BR69" i="1" a="1"/>
  <c r="BR69" i="1" s="1"/>
  <c r="BR70" i="1" a="1"/>
  <c r="BR70" i="1" s="1"/>
  <c r="BR71" i="1" a="1"/>
  <c r="BR71" i="1" s="1"/>
  <c r="BR72" i="1" a="1"/>
  <c r="BR72" i="1" s="1"/>
  <c r="BR73" i="1" a="1"/>
  <c r="BR73" i="1" s="1"/>
  <c r="BR74" i="1" a="1"/>
  <c r="BR74" i="1" s="1"/>
  <c r="BR75" i="1" a="1"/>
  <c r="BR75" i="1" s="1"/>
  <c r="BR76" i="1" a="1"/>
  <c r="BR76" i="1" s="1"/>
  <c r="BR77" i="1" a="1"/>
  <c r="BR77" i="1" s="1"/>
  <c r="BR78" i="1" a="1"/>
  <c r="BR78" i="1" s="1"/>
  <c r="BR79" i="1" a="1"/>
  <c r="BR79" i="1" s="1"/>
  <c r="BR80" i="1" a="1"/>
  <c r="BR80" i="1" s="1"/>
  <c r="BR81" i="1" a="1"/>
  <c r="BR81" i="1" s="1"/>
  <c r="BR82" i="1" a="1"/>
  <c r="BR82" i="1" s="1"/>
  <c r="BR83" i="1" a="1"/>
  <c r="BR83" i="1" s="1"/>
  <c r="BR84" i="1" a="1"/>
  <c r="BR84" i="1" s="1"/>
  <c r="BR85" i="1" a="1"/>
  <c r="BR85" i="1" s="1"/>
  <c r="BR86" i="1" a="1"/>
  <c r="BR86" i="1" s="1"/>
  <c r="BR87" i="1" a="1"/>
  <c r="BR87" i="1" s="1"/>
  <c r="BR88" i="1" a="1"/>
  <c r="BR88" i="1" s="1"/>
  <c r="BR89" i="1" a="1"/>
  <c r="BR89" i="1" s="1"/>
  <c r="BR90" i="1" a="1"/>
  <c r="BR90" i="1" s="1"/>
  <c r="BR91" i="1" a="1"/>
  <c r="BR91" i="1" s="1"/>
  <c r="BR92" i="1" a="1"/>
  <c r="BR92" i="1" s="1"/>
  <c r="BR93" i="1" a="1"/>
  <c r="BR93" i="1" s="1"/>
  <c r="BR94" i="1" a="1"/>
  <c r="BR94" i="1" s="1"/>
  <c r="BR95" i="1" a="1"/>
  <c r="BR95" i="1" s="1"/>
  <c r="BR96" i="1" a="1"/>
  <c r="BR96" i="1" s="1"/>
  <c r="BR97" i="1" a="1"/>
  <c r="BR97" i="1" s="1"/>
  <c r="BR98" i="1" a="1"/>
  <c r="BR98" i="1" s="1"/>
  <c r="BR99" i="1" a="1"/>
  <c r="BR99" i="1" s="1"/>
  <c r="BR100" i="1" a="1"/>
  <c r="BR100" i="1" s="1"/>
  <c r="BR101" i="1" a="1"/>
  <c r="BR101" i="1" s="1"/>
  <c r="BR102" i="1" a="1"/>
  <c r="BR102" i="1" s="1"/>
  <c r="BR103" i="1" a="1"/>
  <c r="BR103" i="1" s="1"/>
  <c r="BR104" i="1" a="1"/>
  <c r="BR104" i="1" s="1"/>
  <c r="BR105" i="1" a="1"/>
  <c r="BR105" i="1" s="1"/>
  <c r="BR106" i="1" a="1"/>
  <c r="BR106" i="1" s="1"/>
  <c r="BR107" i="1" a="1"/>
  <c r="BR107" i="1" s="1"/>
  <c r="BR108" i="1" a="1"/>
  <c r="BR108" i="1" s="1"/>
  <c r="BR109" i="1" a="1"/>
  <c r="BR109" i="1" s="1"/>
  <c r="BR110" i="1" a="1"/>
  <c r="BR110" i="1" s="1"/>
  <c r="BR111" i="1" a="1"/>
  <c r="BR111" i="1" s="1"/>
  <c r="BR112" i="1" a="1"/>
  <c r="BR112" i="1" s="1"/>
  <c r="BR113" i="1" a="1"/>
  <c r="BR113" i="1" s="1"/>
  <c r="BR114" i="1" a="1"/>
  <c r="BR114" i="1" s="1"/>
  <c r="BR115" i="1" a="1"/>
  <c r="BR115" i="1" s="1"/>
  <c r="BR116" i="1" a="1"/>
  <c r="BR116" i="1" s="1"/>
  <c r="BR117" i="1" a="1"/>
  <c r="BR117" i="1" s="1"/>
  <c r="BR118" i="1" a="1"/>
  <c r="BR118" i="1" s="1"/>
  <c r="BR119" i="1" a="1"/>
  <c r="BR119" i="1" s="1"/>
  <c r="BR120" i="1" a="1"/>
  <c r="BR120" i="1" s="1"/>
  <c r="BR121" i="1" a="1"/>
  <c r="BR121" i="1" s="1"/>
  <c r="BR122" i="1" a="1"/>
  <c r="BR122" i="1" s="1"/>
  <c r="BR123" i="1" a="1"/>
  <c r="BR123" i="1" s="1"/>
  <c r="BR124" i="1" a="1"/>
  <c r="BR124" i="1" s="1"/>
  <c r="BR125" i="1" a="1"/>
  <c r="BR125" i="1" s="1"/>
  <c r="BR126" i="1" a="1"/>
  <c r="BR126" i="1" s="1"/>
  <c r="BR127" i="1" a="1"/>
  <c r="BR127" i="1" s="1"/>
  <c r="BR128" i="1" a="1"/>
  <c r="BR128" i="1" s="1"/>
  <c r="BR129" i="1" a="1"/>
  <c r="BR129" i="1" s="1"/>
  <c r="BR130" i="1" a="1"/>
  <c r="BR130" i="1" s="1"/>
  <c r="BR131" i="1" a="1"/>
  <c r="BR131" i="1" s="1"/>
  <c r="BR132" i="1" a="1"/>
  <c r="BR132" i="1" s="1"/>
  <c r="BR133" i="1" a="1"/>
  <c r="BR133" i="1" s="1"/>
  <c r="BR134" i="1" a="1"/>
  <c r="BR134" i="1" s="1"/>
  <c r="BR135" i="1" a="1"/>
  <c r="BR135" i="1" s="1"/>
  <c r="BR136" i="1" a="1"/>
  <c r="BR136" i="1" s="1"/>
  <c r="BR137" i="1" a="1"/>
  <c r="BR137" i="1" s="1"/>
  <c r="BR138" i="1" a="1"/>
  <c r="BR138" i="1" s="1"/>
  <c r="BR139" i="1" a="1"/>
  <c r="BR139" i="1" s="1"/>
  <c r="BR140" i="1" a="1"/>
  <c r="BR140" i="1" s="1"/>
  <c r="BR141" i="1" a="1"/>
  <c r="BR141" i="1" s="1"/>
  <c r="BR142" i="1" a="1"/>
  <c r="BR142" i="1" s="1"/>
  <c r="BR143" i="1" a="1"/>
  <c r="BR143" i="1" s="1"/>
  <c r="BR144" i="1" a="1"/>
  <c r="BR144" i="1" s="1"/>
  <c r="BR145" i="1" a="1"/>
  <c r="BR145" i="1" s="1"/>
  <c r="BR146" i="1" a="1"/>
  <c r="BR146" i="1" s="1"/>
  <c r="BR147" i="1" a="1"/>
  <c r="BR147" i="1" s="1"/>
  <c r="BR148" i="1" a="1"/>
  <c r="BR148" i="1" s="1"/>
  <c r="BR149" i="1" a="1"/>
  <c r="BR149" i="1" s="1"/>
  <c r="BR150" i="1" a="1"/>
  <c r="BR150" i="1" s="1"/>
  <c r="BR151" i="1" a="1"/>
  <c r="BR151" i="1" s="1"/>
  <c r="BR152" i="1" a="1"/>
  <c r="BR152" i="1" s="1"/>
  <c r="BR153" i="1" a="1"/>
  <c r="BR153" i="1" s="1"/>
  <c r="BR154" i="1" a="1"/>
  <c r="BR154" i="1" s="1"/>
  <c r="BR155" i="1" a="1"/>
  <c r="BR155" i="1" s="1"/>
  <c r="BR156" i="1" a="1"/>
  <c r="BR156" i="1" s="1"/>
  <c r="BR157" i="1" a="1"/>
  <c r="BR157" i="1" s="1"/>
  <c r="BR158" i="1" a="1"/>
  <c r="BR158" i="1" s="1"/>
  <c r="BR159" i="1" a="1"/>
  <c r="BR159" i="1" s="1"/>
  <c r="BR160" i="1" a="1"/>
  <c r="BR160" i="1" s="1"/>
  <c r="BR161" i="1" a="1"/>
  <c r="BR161" i="1" s="1"/>
  <c r="BR162" i="1" a="1"/>
  <c r="BR162" i="1" s="1"/>
  <c r="BR163" i="1" a="1"/>
  <c r="BR163" i="1" s="1"/>
  <c r="BR164" i="1" a="1"/>
  <c r="BR164" i="1" s="1"/>
  <c r="BR165" i="1" a="1"/>
  <c r="BR165" i="1" s="1"/>
  <c r="BR166" i="1" a="1"/>
  <c r="BR166" i="1" s="1"/>
  <c r="BR167" i="1" a="1"/>
  <c r="BR167" i="1" s="1"/>
  <c r="BR168" i="1" a="1"/>
  <c r="BR168" i="1" s="1"/>
  <c r="BR169" i="1" a="1"/>
  <c r="BR169" i="1" s="1"/>
  <c r="BR170" i="1" a="1"/>
  <c r="BR170" i="1" s="1"/>
  <c r="BR171" i="1" a="1"/>
  <c r="BR171" i="1" s="1"/>
  <c r="BR172" i="1" a="1"/>
  <c r="BR172" i="1" s="1"/>
  <c r="BR173" i="1" a="1"/>
  <c r="BR173" i="1" s="1"/>
  <c r="BR174" i="1" a="1"/>
  <c r="BR174" i="1" s="1"/>
  <c r="BR175" i="1" a="1"/>
  <c r="BR175" i="1" s="1"/>
  <c r="BR176" i="1" a="1"/>
  <c r="BR176" i="1" s="1"/>
  <c r="BR177" i="1" a="1"/>
  <c r="BR177" i="1" s="1"/>
  <c r="BR178" i="1" a="1"/>
  <c r="BR178" i="1" s="1"/>
  <c r="BR179" i="1" a="1"/>
  <c r="BR179" i="1" s="1"/>
  <c r="BR180" i="1" a="1"/>
  <c r="BR180" i="1" s="1"/>
  <c r="BR181" i="1" a="1"/>
  <c r="BR181" i="1" s="1"/>
  <c r="BR182" i="1" a="1"/>
  <c r="BR182" i="1" s="1"/>
  <c r="BR183" i="1" a="1"/>
  <c r="BR183" i="1" s="1"/>
  <c r="BR184" i="1" a="1"/>
  <c r="BR184" i="1" s="1"/>
  <c r="BR185" i="1" a="1"/>
  <c r="BR185" i="1" s="1"/>
  <c r="BR186" i="1" a="1"/>
  <c r="BR186" i="1" s="1"/>
  <c r="BR187" i="1" a="1"/>
  <c r="BR187" i="1" s="1"/>
  <c r="BR188" i="1" a="1"/>
  <c r="BR188" i="1" s="1"/>
  <c r="BR189" i="1" a="1"/>
  <c r="BR189" i="1" s="1"/>
  <c r="BR190" i="1" a="1"/>
  <c r="BR190" i="1" s="1"/>
  <c r="BR191" i="1" a="1"/>
  <c r="BR191" i="1" s="1"/>
  <c r="BR192" i="1" a="1"/>
  <c r="BR192" i="1" s="1"/>
  <c r="BR193" i="1" a="1"/>
  <c r="BR193" i="1" s="1"/>
  <c r="BR194" i="1" a="1"/>
  <c r="BR194" i="1" s="1"/>
  <c r="BR195" i="1" a="1"/>
  <c r="BR195" i="1" s="1"/>
  <c r="BR196" i="1" a="1"/>
  <c r="BR196" i="1" s="1"/>
  <c r="BR197" i="1" a="1"/>
  <c r="BR197" i="1" s="1"/>
  <c r="BR198" i="1" a="1"/>
  <c r="BR198" i="1" s="1"/>
  <c r="BR199" i="1" a="1"/>
  <c r="BR199" i="1" s="1"/>
  <c r="BR200" i="1" a="1"/>
  <c r="BR200" i="1" s="1"/>
  <c r="BR201" i="1" a="1"/>
  <c r="BR201" i="1" s="1"/>
  <c r="BR202" i="1" a="1"/>
  <c r="BR202" i="1" s="1"/>
  <c r="BR203" i="1" a="1"/>
  <c r="BR203" i="1" s="1"/>
  <c r="BR204" i="1" a="1"/>
  <c r="BR204" i="1" s="1"/>
  <c r="BR205" i="1" a="1"/>
  <c r="BR205" i="1" s="1"/>
  <c r="BR206" i="1" a="1"/>
  <c r="BR206" i="1" s="1"/>
  <c r="BR207" i="1" a="1"/>
  <c r="BR207" i="1" s="1"/>
  <c r="BR208" i="1" a="1"/>
  <c r="BR208" i="1" s="1"/>
  <c r="BR209" i="1" a="1"/>
  <c r="BR209" i="1" s="1"/>
  <c r="BR210" i="1" a="1"/>
  <c r="BR210" i="1" s="1"/>
  <c r="BR211" i="1" a="1"/>
  <c r="BR211" i="1" s="1"/>
  <c r="BR212" i="1" a="1"/>
  <c r="BR212" i="1" s="1"/>
  <c r="BR213" i="1" a="1"/>
  <c r="BR213" i="1" s="1"/>
  <c r="BR214" i="1" a="1"/>
  <c r="BR214" i="1" s="1"/>
  <c r="BR215" i="1" a="1"/>
  <c r="BR215" i="1" s="1"/>
  <c r="BR216" i="1" a="1"/>
  <c r="BR216" i="1" s="1"/>
  <c r="BR217" i="1" a="1"/>
  <c r="BR217" i="1" s="1"/>
  <c r="BR218" i="1" a="1"/>
  <c r="BR218" i="1" s="1"/>
  <c r="BR219" i="1" a="1"/>
  <c r="BR219" i="1" s="1"/>
  <c r="BR220" i="1" a="1"/>
  <c r="BR220" i="1" s="1"/>
  <c r="BR221" i="1" a="1"/>
  <c r="BR221" i="1" s="1"/>
  <c r="BR222" i="1" a="1"/>
  <c r="BR222" i="1" s="1"/>
  <c r="BR223" i="1" a="1"/>
  <c r="BR223" i="1" s="1"/>
  <c r="BR224" i="1" a="1"/>
  <c r="BR224" i="1" s="1"/>
  <c r="BR225" i="1" a="1"/>
  <c r="BR225" i="1" s="1"/>
  <c r="BR226" i="1" a="1"/>
  <c r="BR226" i="1" s="1"/>
  <c r="BR227" i="1" a="1"/>
  <c r="BR227" i="1" s="1"/>
  <c r="BR228" i="1" a="1"/>
  <c r="BR228" i="1" s="1"/>
  <c r="BR229" i="1" a="1"/>
  <c r="BR229" i="1" s="1"/>
  <c r="BR230" i="1" a="1"/>
  <c r="BR230" i="1" s="1"/>
  <c r="BR231" i="1" a="1"/>
  <c r="BR231" i="1" s="1"/>
  <c r="BR232" i="1" a="1"/>
  <c r="BR232" i="1" s="1"/>
  <c r="BR233" i="1" a="1"/>
  <c r="BR233" i="1" s="1"/>
  <c r="BR234" i="1" a="1"/>
  <c r="BR234" i="1" s="1"/>
  <c r="BR235" i="1" a="1"/>
  <c r="BR235" i="1" s="1"/>
  <c r="BR236" i="1" a="1"/>
  <c r="BR236" i="1" s="1"/>
  <c r="BR237" i="1" a="1"/>
  <c r="BR237" i="1" s="1"/>
  <c r="BR238" i="1" a="1"/>
  <c r="BR238" i="1" s="1"/>
  <c r="BR239" i="1" a="1"/>
  <c r="BR239" i="1" s="1"/>
  <c r="BR240" i="1" a="1"/>
  <c r="BR240" i="1" s="1"/>
  <c r="BR241" i="1" a="1"/>
  <c r="BR241" i="1" s="1"/>
  <c r="BR242" i="1" a="1"/>
  <c r="BR242" i="1" s="1"/>
  <c r="BR243" i="1" a="1"/>
  <c r="BR243" i="1" s="1"/>
  <c r="BR244" i="1" a="1"/>
  <c r="BR244" i="1" s="1"/>
  <c r="BR245" i="1" a="1"/>
  <c r="BR245" i="1" s="1"/>
  <c r="BR246" i="1" a="1"/>
  <c r="BR246" i="1" s="1"/>
  <c r="BR247" i="1" a="1"/>
  <c r="BR247" i="1" s="1"/>
  <c r="BR248" i="1" a="1"/>
  <c r="BR248" i="1" s="1"/>
  <c r="BR249" i="1" a="1"/>
  <c r="BR249" i="1" s="1"/>
  <c r="BR250" i="1" a="1"/>
  <c r="BR250" i="1" s="1"/>
  <c r="BR251" i="1" a="1"/>
  <c r="BR251" i="1" s="1"/>
  <c r="BR252" i="1" a="1"/>
  <c r="BR252" i="1" s="1"/>
  <c r="BR253" i="1" a="1"/>
  <c r="BR253" i="1" s="1"/>
  <c r="BR254" i="1" a="1"/>
  <c r="BR254" i="1" s="1"/>
  <c r="BR255" i="1" a="1"/>
  <c r="BR255" i="1" s="1"/>
  <c r="BR256" i="1" a="1"/>
  <c r="BR256" i="1" s="1"/>
  <c r="BR257" i="1" a="1"/>
  <c r="BR257" i="1" s="1"/>
  <c r="BR258" i="1" a="1"/>
  <c r="BR258" i="1" s="1"/>
  <c r="BR259" i="1" a="1"/>
  <c r="BR259" i="1" s="1"/>
  <c r="BR260" i="1" a="1"/>
  <c r="BR260" i="1" s="1"/>
  <c r="BR261" i="1" a="1"/>
  <c r="BR261" i="1" s="1"/>
  <c r="BR262" i="1" a="1"/>
  <c r="BR262" i="1" s="1"/>
  <c r="BR263" i="1" a="1"/>
  <c r="BR263" i="1" s="1"/>
  <c r="BR264" i="1" a="1"/>
  <c r="BR264" i="1" s="1"/>
  <c r="BR265" i="1" a="1"/>
  <c r="BR265" i="1" s="1"/>
  <c r="BR266" i="1" a="1"/>
  <c r="BR266" i="1" s="1"/>
  <c r="BR267" i="1" a="1"/>
  <c r="BR267" i="1" s="1"/>
  <c r="BR268" i="1" a="1"/>
  <c r="BR268" i="1" s="1"/>
  <c r="BR269" i="1" a="1"/>
  <c r="BR269" i="1" s="1"/>
  <c r="BR270" i="1" a="1"/>
  <c r="BR270" i="1" s="1"/>
  <c r="BR271" i="1" a="1"/>
  <c r="BR271" i="1" s="1"/>
  <c r="BR6" i="1" a="1"/>
  <c r="BR6" i="1" s="1"/>
  <c r="BR7" i="1" a="1"/>
  <c r="BR7" i="1" s="1"/>
  <c r="BR8" i="1" a="1"/>
  <c r="BR8" i="1" s="1"/>
  <c r="BR9" i="1" a="1"/>
  <c r="BR9" i="1" s="1"/>
  <c r="BR10" i="1" a="1"/>
  <c r="BR10" i="1" s="1"/>
  <c r="BR11" i="1" a="1"/>
  <c r="BR11" i="1" s="1"/>
  <c r="BR12" i="1" a="1"/>
  <c r="BR12" i="1" s="1"/>
  <c r="BR13" i="1" a="1"/>
  <c r="BR13" i="1" s="1"/>
  <c r="BR14" i="1" a="1"/>
  <c r="BR14" i="1" s="1"/>
  <c r="BR15" i="1" a="1"/>
  <c r="BR15" i="1" s="1"/>
  <c r="BR16" i="1" a="1"/>
  <c r="BR16" i="1" s="1"/>
  <c r="BR17" i="1" a="1"/>
  <c r="BR17" i="1" s="1"/>
  <c r="BR18" i="1" a="1"/>
  <c r="BR18" i="1" s="1"/>
  <c r="BR19" i="1" a="1"/>
  <c r="BR19" i="1" s="1"/>
  <c r="BR20" i="1" a="1"/>
  <c r="BR20" i="1" s="1"/>
  <c r="BR21" i="1" a="1"/>
  <c r="BR21" i="1" s="1"/>
  <c r="BR22" i="1" a="1"/>
  <c r="BR22" i="1" s="1"/>
  <c r="BR23" i="1" a="1"/>
  <c r="BR23" i="1" s="1"/>
  <c r="BR24" i="1" a="1"/>
  <c r="BR24" i="1" s="1"/>
  <c r="BR25" i="1" a="1"/>
  <c r="BR25" i="1" s="1"/>
  <c r="BR26" i="1" a="1"/>
  <c r="BR26" i="1" s="1"/>
  <c r="BR27" i="1" a="1"/>
  <c r="BR27" i="1" s="1"/>
  <c r="BR28" i="1" a="1"/>
  <c r="BR28" i="1" s="1"/>
  <c r="BR29" i="1" a="1"/>
  <c r="BR29" i="1" s="1"/>
  <c r="BR30" i="1" a="1"/>
  <c r="BR30" i="1" s="1"/>
  <c r="BR31" i="1" a="1"/>
  <c r="BR31" i="1" s="1"/>
  <c r="BR32" i="1" a="1"/>
  <c r="BR32" i="1" s="1"/>
  <c r="BR33" i="1" a="1"/>
  <c r="BR33" i="1" s="1"/>
  <c r="BR34" i="1" a="1"/>
  <c r="BR34" i="1" s="1"/>
  <c r="BR35" i="1" a="1"/>
  <c r="BR35" i="1" s="1"/>
  <c r="BR36" i="1" a="1"/>
  <c r="BR36" i="1" s="1"/>
  <c r="BR37" i="1" a="1"/>
  <c r="BR37" i="1" s="1"/>
  <c r="BR38" i="1" a="1"/>
  <c r="BR38" i="1" s="1"/>
  <c r="BR39" i="1" a="1"/>
  <c r="BR39" i="1" s="1"/>
  <c r="BR40" i="1" a="1"/>
  <c r="BR40" i="1" s="1"/>
  <c r="BR41" i="1" a="1"/>
  <c r="BR41" i="1" s="1"/>
  <c r="BR42" i="1" a="1"/>
  <c r="BR42" i="1" s="1"/>
  <c r="BR43" i="1" a="1"/>
  <c r="BR43" i="1" s="1"/>
  <c r="BR44" i="1" a="1"/>
  <c r="BR44" i="1" s="1"/>
  <c r="BR45" i="1" a="1"/>
  <c r="BR45" i="1" s="1"/>
  <c r="BR46" i="1" a="1"/>
  <c r="BR46" i="1" s="1"/>
  <c r="BR47" i="1" a="1"/>
  <c r="BR47" i="1" s="1"/>
  <c r="BR48" i="1" a="1"/>
  <c r="BR48" i="1" s="1"/>
  <c r="BR49" i="1" a="1"/>
  <c r="BR49" i="1" s="1"/>
  <c r="BR50" i="1" a="1"/>
  <c r="BR50" i="1" s="1"/>
  <c r="BR51" i="1" a="1"/>
  <c r="BR51" i="1" s="1"/>
  <c r="BR52" i="1" a="1"/>
  <c r="BR52" i="1" s="1"/>
  <c r="BR53" i="1" a="1"/>
  <c r="BR53" i="1" s="1"/>
  <c r="BR54" i="1" a="1"/>
  <c r="BR54" i="1" s="1"/>
  <c r="BR55" i="1" a="1"/>
  <c r="BR55" i="1" s="1"/>
  <c r="BR56" i="1" a="1"/>
  <c r="BR56" i="1" s="1"/>
  <c r="BR57" i="1" a="1"/>
  <c r="BR57" i="1" s="1"/>
  <c r="BR58" i="1" a="1"/>
  <c r="BR58" i="1" s="1"/>
  <c r="BR59" i="1" a="1"/>
  <c r="BR59" i="1" s="1"/>
  <c r="BR60" i="1" a="1"/>
  <c r="BR60" i="1" s="1"/>
  <c r="BR61" i="1" a="1"/>
  <c r="BR61" i="1" s="1"/>
  <c r="BR62" i="1" a="1"/>
  <c r="BR62" i="1" s="1"/>
  <c r="BR63" i="1" a="1"/>
  <c r="BR63" i="1" s="1"/>
  <c r="BR64" i="1" a="1"/>
  <c r="BR64" i="1" s="1"/>
  <c r="BR65" i="1" a="1"/>
  <c r="BR65" i="1" s="1"/>
  <c r="BR66" i="1" a="1"/>
  <c r="BR66" i="1" s="1"/>
  <c r="BP186" i="1" a="1"/>
  <c r="BP186" i="1" s="1"/>
  <c r="CC186" i="1" s="1"/>
  <c r="DO180" i="1" a="1"/>
  <c r="DO180" i="1" s="1"/>
  <c r="BP6" i="1" a="1"/>
  <c r="BP6" i="1" s="1"/>
  <c r="CC6" i="1" s="1"/>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47" i="9"/>
  <c r="A48" i="9"/>
  <c r="A49" i="9"/>
  <c r="A50" i="9"/>
  <c r="A51" i="9"/>
  <c r="A52" i="9"/>
  <c r="A53" i="9"/>
  <c r="A54" i="9"/>
  <c r="A55" i="9"/>
  <c r="A56" i="9"/>
  <c r="A57" i="9"/>
  <c r="A58" i="9"/>
  <c r="A59" i="9"/>
  <c r="A60" i="9"/>
  <c r="A61" i="9"/>
  <c r="A62" i="9"/>
  <c r="A63" i="9"/>
  <c r="A64" i="9"/>
  <c r="A65" i="9"/>
  <c r="A66" i="9"/>
  <c r="A67" i="9"/>
  <c r="A68" i="9"/>
  <c r="A69" i="9"/>
  <c r="A70" i="9"/>
  <c r="A71" i="9"/>
  <c r="A72" i="9"/>
  <c r="A73" i="9"/>
  <c r="A74" i="9"/>
  <c r="A75" i="9"/>
  <c r="A76" i="9"/>
  <c r="A77" i="9"/>
  <c r="A78" i="9"/>
  <c r="A79" i="9"/>
  <c r="A80" i="9"/>
  <c r="A81" i="9"/>
  <c r="A82" i="9"/>
  <c r="A83" i="9"/>
  <c r="A84" i="9"/>
  <c r="A85" i="9"/>
  <c r="A86" i="9"/>
  <c r="A87" i="9"/>
  <c r="A88" i="9"/>
  <c r="A89" i="9"/>
  <c r="A90" i="9"/>
  <c r="A91" i="9"/>
  <c r="A92" i="9"/>
  <c r="A93" i="9"/>
  <c r="A94" i="9"/>
  <c r="A95" i="9"/>
  <c r="A96" i="9"/>
  <c r="A97" i="9"/>
  <c r="A98" i="9"/>
  <c r="A99" i="9"/>
  <c r="A100" i="9"/>
  <c r="A101" i="9"/>
  <c r="A102" i="9"/>
  <c r="A103" i="9"/>
  <c r="A104" i="9"/>
  <c r="A105" i="9"/>
  <c r="A106" i="9"/>
  <c r="A107" i="9"/>
  <c r="A108" i="9"/>
  <c r="A109" i="9"/>
  <c r="A110" i="9"/>
  <c r="A111" i="9"/>
  <c r="A112" i="9"/>
  <c r="A113" i="9"/>
  <c r="A114" i="9"/>
  <c r="A115" i="9"/>
  <c r="A116" i="9"/>
  <c r="A117" i="9"/>
  <c r="A118" i="9"/>
  <c r="A119" i="9"/>
  <c r="A120" i="9"/>
  <c r="A121" i="9"/>
  <c r="A122" i="9"/>
  <c r="A123" i="9"/>
  <c r="A124" i="9"/>
  <c r="A125" i="9"/>
  <c r="A126" i="9"/>
  <c r="A127" i="9"/>
  <c r="A128" i="9"/>
  <c r="A129" i="9"/>
  <c r="A130" i="9"/>
  <c r="A131" i="9"/>
  <c r="A132" i="9"/>
  <c r="A133" i="9"/>
  <c r="A134" i="9"/>
  <c r="A135" i="9"/>
  <c r="A136" i="9"/>
  <c r="A137" i="9"/>
  <c r="A138" i="9"/>
  <c r="A139" i="9"/>
  <c r="A140" i="9"/>
  <c r="A141" i="9"/>
  <c r="A142" i="9"/>
  <c r="A143" i="9"/>
  <c r="A144" i="9"/>
  <c r="A145" i="9"/>
  <c r="A146" i="9"/>
  <c r="A147" i="9"/>
  <c r="A148" i="9"/>
  <c r="A149" i="9"/>
  <c r="A150" i="9"/>
  <c r="A151" i="9"/>
  <c r="A152" i="9"/>
  <c r="A153" i="9"/>
  <c r="A154" i="9"/>
  <c r="A155" i="9"/>
  <c r="A156" i="9"/>
  <c r="A157" i="9"/>
  <c r="A158" i="9"/>
  <c r="A159" i="9"/>
  <c r="A160" i="9"/>
  <c r="A161" i="9"/>
  <c r="A162" i="9"/>
  <c r="A163" i="9"/>
  <c r="A164" i="9"/>
  <c r="A165" i="9"/>
  <c r="A166" i="9"/>
  <c r="A167" i="9"/>
  <c r="A168" i="9"/>
  <c r="A169" i="9"/>
  <c r="A170" i="9"/>
  <c r="A171" i="9"/>
  <c r="A172" i="9"/>
  <c r="A173" i="9"/>
  <c r="A174" i="9"/>
  <c r="A175" i="9"/>
  <c r="A176" i="9"/>
  <c r="A177" i="9"/>
  <c r="A178" i="9"/>
  <c r="A179" i="9"/>
  <c r="A180" i="9"/>
  <c r="A181" i="9"/>
  <c r="A182" i="9"/>
  <c r="A183" i="9"/>
  <c r="A184" i="9"/>
  <c r="A185" i="9"/>
  <c r="A186" i="9"/>
  <c r="A187" i="9"/>
  <c r="A188" i="9"/>
  <c r="A189" i="9"/>
  <c r="A190" i="9"/>
  <c r="A191" i="9"/>
  <c r="A192" i="9"/>
  <c r="A193" i="9"/>
  <c r="A194" i="9"/>
  <c r="A195" i="9"/>
  <c r="A196" i="9"/>
  <c r="A197" i="9"/>
  <c r="A198" i="9"/>
  <c r="A199" i="9"/>
  <c r="A200" i="9"/>
  <c r="A201" i="9"/>
  <c r="A202" i="9"/>
  <c r="A203" i="9"/>
  <c r="A204" i="9"/>
  <c r="A205" i="9"/>
  <c r="A206" i="9"/>
  <c r="A207" i="9"/>
  <c r="A208" i="9"/>
  <c r="A209" i="9"/>
  <c r="A210" i="9"/>
  <c r="A211" i="9"/>
  <c r="A212" i="9"/>
  <c r="A213" i="9"/>
  <c r="A214" i="9"/>
  <c r="A215" i="9"/>
  <c r="A216" i="9"/>
  <c r="A217" i="9"/>
  <c r="A218" i="9"/>
  <c r="A219" i="9"/>
  <c r="A220" i="9"/>
  <c r="A221" i="9"/>
  <c r="A222" i="9"/>
  <c r="A223" i="9"/>
  <c r="A224" i="9"/>
  <c r="A225" i="9"/>
  <c r="A226" i="9"/>
  <c r="A227" i="9"/>
  <c r="A228" i="9"/>
  <c r="A229" i="9"/>
  <c r="A230" i="9"/>
  <c r="A231" i="9"/>
  <c r="A232" i="9"/>
  <c r="A233" i="9"/>
  <c r="A234" i="9"/>
  <c r="A235" i="9"/>
  <c r="A236" i="9"/>
  <c r="A237" i="9"/>
  <c r="A238" i="9"/>
  <c r="A239" i="9"/>
  <c r="A240" i="9"/>
  <c r="A241" i="9"/>
  <c r="A242" i="9"/>
  <c r="A243" i="9"/>
  <c r="A244" i="9"/>
  <c r="A245" i="9"/>
  <c r="A246" i="9"/>
  <c r="A247" i="9"/>
  <c r="A248" i="9"/>
  <c r="A249" i="9"/>
  <c r="A250" i="9"/>
  <c r="A251" i="9"/>
  <c r="A252" i="9"/>
  <c r="A253" i="9"/>
  <c r="A254" i="9"/>
  <c r="A255" i="9"/>
  <c r="A256" i="9"/>
  <c r="A257" i="9"/>
  <c r="A258" i="9"/>
  <c r="A259" i="9"/>
  <c r="A260" i="9"/>
  <c r="A261" i="9"/>
  <c r="A262" i="9"/>
  <c r="A263" i="9"/>
  <c r="A264" i="9"/>
  <c r="A265" i="9"/>
  <c r="A266" i="9"/>
  <c r="A267" i="9"/>
  <c r="A2" i="9"/>
  <c r="BP70" i="1" a="1"/>
  <c r="BP70" i="1" s="1"/>
  <c r="CC70" i="1" s="1"/>
  <c r="BP209" i="1" a="1"/>
  <c r="BP209" i="1" s="1"/>
  <c r="CC209" i="1" s="1"/>
  <c r="BP155" i="1" a="1"/>
  <c r="BP155" i="1" s="1"/>
  <c r="CC155" i="1" s="1"/>
  <c r="ES90" i="1"/>
  <c r="EO6" i="1"/>
  <c r="EU6" i="1"/>
  <c r="EO7" i="1"/>
  <c r="EO8" i="1"/>
  <c r="EO9" i="1"/>
  <c r="EO10" i="1"/>
  <c r="EO11" i="1"/>
  <c r="EO12" i="1"/>
  <c r="EO13" i="1"/>
  <c r="EO14" i="1"/>
  <c r="EO15" i="1"/>
  <c r="EO16" i="1"/>
  <c r="EO17" i="1"/>
  <c r="EO18" i="1"/>
  <c r="EO90" i="1"/>
  <c r="EO20" i="1"/>
  <c r="EO21" i="1"/>
  <c r="EO22" i="1"/>
  <c r="EO23" i="1"/>
  <c r="EO24" i="1"/>
  <c r="EO25" i="1"/>
  <c r="EO26" i="1"/>
  <c r="EO27" i="1"/>
  <c r="EO28" i="1"/>
  <c r="EO29" i="1"/>
  <c r="EO30" i="1"/>
  <c r="EO31" i="1"/>
  <c r="EO32" i="1"/>
  <c r="EO33" i="1"/>
  <c r="EO34" i="1"/>
  <c r="EO35" i="1"/>
  <c r="EO36" i="1"/>
  <c r="EO37" i="1"/>
  <c r="EO38" i="1"/>
  <c r="EO39" i="1"/>
  <c r="EO40" i="1"/>
  <c r="EO41" i="1"/>
  <c r="EO42" i="1"/>
  <c r="EO43" i="1"/>
  <c r="EO44" i="1"/>
  <c r="EO45" i="1"/>
  <c r="EO46" i="1"/>
  <c r="EO47" i="1"/>
  <c r="EO48" i="1"/>
  <c r="EO49" i="1"/>
  <c r="EO50" i="1"/>
  <c r="EO51" i="1"/>
  <c r="EO52" i="1"/>
  <c r="EO53" i="1"/>
  <c r="EO54" i="1"/>
  <c r="EO55" i="1"/>
  <c r="EO56" i="1"/>
  <c r="EO57" i="1"/>
  <c r="EO58" i="1"/>
  <c r="EO59" i="1"/>
  <c r="EO60" i="1"/>
  <c r="EO61" i="1"/>
  <c r="EO62" i="1"/>
  <c r="EO63" i="1"/>
  <c r="EO64" i="1"/>
  <c r="EO65" i="1"/>
  <c r="EO66" i="1"/>
  <c r="EO121" i="1"/>
  <c r="EO68" i="1"/>
  <c r="EO69" i="1"/>
  <c r="EO155" i="1"/>
  <c r="EO71" i="1"/>
  <c r="EO72" i="1"/>
  <c r="EO73" i="1"/>
  <c r="EO74" i="1"/>
  <c r="EO75" i="1"/>
  <c r="EO76" i="1"/>
  <c r="EO77" i="1"/>
  <c r="EO78" i="1"/>
  <c r="EO79" i="1"/>
  <c r="EO80" i="1"/>
  <c r="EO81" i="1"/>
  <c r="EO82" i="1"/>
  <c r="EO83" i="1"/>
  <c r="EO84" i="1"/>
  <c r="EO85" i="1"/>
  <c r="EO86" i="1"/>
  <c r="EO87" i="1"/>
  <c r="EO88" i="1"/>
  <c r="EO114" i="1"/>
  <c r="EO186" i="1"/>
  <c r="EO91" i="1"/>
  <c r="EO92" i="1"/>
  <c r="EO93" i="1"/>
  <c r="EO94" i="1"/>
  <c r="EO95" i="1"/>
  <c r="EO96" i="1"/>
  <c r="EO97" i="1"/>
  <c r="EO98" i="1"/>
  <c r="EO99" i="1"/>
  <c r="EO100" i="1"/>
  <c r="EO101" i="1"/>
  <c r="EO102" i="1"/>
  <c r="EO103" i="1"/>
  <c r="EO104" i="1"/>
  <c r="EO105" i="1"/>
  <c r="EO106" i="1"/>
  <c r="EO107" i="1"/>
  <c r="EO108" i="1"/>
  <c r="EO109" i="1"/>
  <c r="EO110" i="1"/>
  <c r="EO111" i="1"/>
  <c r="EO112" i="1"/>
  <c r="EO113" i="1"/>
  <c r="EO153" i="1"/>
  <c r="EO115" i="1"/>
  <c r="EO116" i="1"/>
  <c r="EO117" i="1"/>
  <c r="EO118" i="1"/>
  <c r="EO119" i="1"/>
  <c r="EO67" i="1"/>
  <c r="EO70" i="1"/>
  <c r="EO122" i="1"/>
  <c r="EO123" i="1"/>
  <c r="EO124" i="1"/>
  <c r="EO125" i="1"/>
  <c r="EO126" i="1"/>
  <c r="EO127" i="1"/>
  <c r="EO128" i="1"/>
  <c r="EO129" i="1"/>
  <c r="EO130" i="1"/>
  <c r="EO131" i="1"/>
  <c r="EO132" i="1"/>
  <c r="EO133" i="1"/>
  <c r="EO134" i="1"/>
  <c r="EO135" i="1"/>
  <c r="EO136" i="1"/>
  <c r="EO137" i="1"/>
  <c r="EO138" i="1"/>
  <c r="EO139" i="1"/>
  <c r="EO140" i="1"/>
  <c r="EO141" i="1"/>
  <c r="EO142" i="1"/>
  <c r="EO143" i="1"/>
  <c r="EO144" i="1"/>
  <c r="EO145" i="1"/>
  <c r="EO146" i="1"/>
  <c r="EO147" i="1"/>
  <c r="EO148" i="1"/>
  <c r="EO149" i="1"/>
  <c r="EO150" i="1"/>
  <c r="EO151" i="1"/>
  <c r="EO152" i="1"/>
  <c r="EO120" i="1"/>
  <c r="EO154" i="1"/>
  <c r="EO89" i="1"/>
  <c r="EO156" i="1"/>
  <c r="EO157" i="1"/>
  <c r="EO158" i="1"/>
  <c r="EO159" i="1"/>
  <c r="EO160" i="1"/>
  <c r="EO161" i="1"/>
  <c r="EO162" i="1"/>
  <c r="EO163" i="1"/>
  <c r="EO164" i="1"/>
  <c r="EO165" i="1"/>
  <c r="EO166" i="1"/>
  <c r="EO167" i="1"/>
  <c r="EO168" i="1"/>
  <c r="EO169" i="1"/>
  <c r="EO170" i="1"/>
  <c r="EO171" i="1"/>
  <c r="EO172" i="1"/>
  <c r="EO173" i="1"/>
  <c r="EO174" i="1"/>
  <c r="EO175" i="1"/>
  <c r="EO176" i="1"/>
  <c r="EO177" i="1"/>
  <c r="EO178" i="1"/>
  <c r="EO179" i="1"/>
  <c r="EO180" i="1"/>
  <c r="EO181" i="1"/>
  <c r="EO182" i="1"/>
  <c r="EO183" i="1"/>
  <c r="EO184" i="1"/>
  <c r="EO185" i="1"/>
  <c r="EO19" i="1"/>
  <c r="EO187" i="1"/>
  <c r="EO188" i="1"/>
  <c r="EO189" i="1"/>
  <c r="EO190" i="1"/>
  <c r="EO191" i="1"/>
  <c r="EO192" i="1"/>
  <c r="EO193" i="1"/>
  <c r="EO194" i="1"/>
  <c r="EO195" i="1"/>
  <c r="EO196" i="1"/>
  <c r="EO197" i="1"/>
  <c r="EO198" i="1"/>
  <c r="EO199" i="1"/>
  <c r="EO200" i="1"/>
  <c r="EO201" i="1"/>
  <c r="EO202" i="1"/>
  <c r="EO203" i="1"/>
  <c r="EO204" i="1"/>
  <c r="EO205" i="1"/>
  <c r="EO206" i="1"/>
  <c r="EO207" i="1"/>
  <c r="EO208" i="1"/>
  <c r="EO209" i="1"/>
  <c r="EO210" i="1"/>
  <c r="EO211" i="1"/>
  <c r="EO212" i="1"/>
  <c r="EO213" i="1"/>
  <c r="EO214" i="1"/>
  <c r="EO215" i="1"/>
  <c r="EO216" i="1"/>
  <c r="EO217" i="1"/>
  <c r="EO218" i="1"/>
  <c r="EO219" i="1"/>
  <c r="EO220" i="1"/>
  <c r="EO221" i="1"/>
  <c r="EO222" i="1"/>
  <c r="EO223" i="1"/>
  <c r="EO224" i="1"/>
  <c r="EO225" i="1"/>
  <c r="EO226" i="1"/>
  <c r="EO227" i="1"/>
  <c r="EO228" i="1"/>
  <c r="EO229" i="1"/>
  <c r="EO230" i="1"/>
  <c r="EO231" i="1"/>
  <c r="EO232" i="1"/>
  <c r="EO233" i="1"/>
  <c r="EO234" i="1"/>
  <c r="EO235" i="1"/>
  <c r="EO236" i="1"/>
  <c r="EO237" i="1"/>
  <c r="EO238" i="1"/>
  <c r="EO239" i="1"/>
  <c r="EO240" i="1"/>
  <c r="EO241" i="1"/>
  <c r="EO242" i="1"/>
  <c r="EO243" i="1"/>
  <c r="EO244" i="1"/>
  <c r="EO245" i="1"/>
  <c r="EO246" i="1"/>
  <c r="EO247" i="1"/>
  <c r="EO248" i="1"/>
  <c r="EO249" i="1"/>
  <c r="EO250" i="1"/>
  <c r="EO251" i="1"/>
  <c r="EO252" i="1"/>
  <c r="EO253" i="1"/>
  <c r="EO254" i="1"/>
  <c r="EO255" i="1"/>
  <c r="EO256" i="1"/>
  <c r="EO257" i="1"/>
  <c r="EO258" i="1"/>
  <c r="EO259" i="1"/>
  <c r="EO260" i="1"/>
  <c r="EO261" i="1"/>
  <c r="EO262" i="1"/>
  <c r="EO263" i="1"/>
  <c r="EO264" i="1"/>
  <c r="EO265" i="1"/>
  <c r="EO266" i="1"/>
  <c r="EO267" i="1"/>
  <c r="EO268" i="1"/>
  <c r="EO269" i="1"/>
  <c r="EO270" i="1"/>
  <c r="EO271" i="1"/>
  <c r="EW6" i="1"/>
  <c r="EU7" i="1"/>
  <c r="EU8" i="1"/>
  <c r="EU9" i="1"/>
  <c r="EU10" i="1"/>
  <c r="EU11" i="1"/>
  <c r="EU12" i="1"/>
  <c r="EU13" i="1"/>
  <c r="EU14" i="1"/>
  <c r="EU15" i="1"/>
  <c r="EU16" i="1"/>
  <c r="EU17" i="1"/>
  <c r="EU18" i="1"/>
  <c r="EU90" i="1"/>
  <c r="EU20" i="1"/>
  <c r="EU21" i="1"/>
  <c r="EU22" i="1"/>
  <c r="EU23" i="1"/>
  <c r="EU24" i="1"/>
  <c r="EU25" i="1"/>
  <c r="EU26" i="1"/>
  <c r="EU27" i="1"/>
  <c r="EU28" i="1"/>
  <c r="EU29" i="1"/>
  <c r="EU30" i="1"/>
  <c r="EU31" i="1"/>
  <c r="EU32" i="1"/>
  <c r="EU33" i="1"/>
  <c r="EU34" i="1"/>
  <c r="EU35" i="1"/>
  <c r="EU36" i="1"/>
  <c r="EU37" i="1"/>
  <c r="EU38" i="1"/>
  <c r="EU39" i="1"/>
  <c r="EU40" i="1"/>
  <c r="EU41" i="1"/>
  <c r="EU42" i="1"/>
  <c r="EU43" i="1"/>
  <c r="EU44" i="1"/>
  <c r="EU45" i="1"/>
  <c r="EU46" i="1"/>
  <c r="EU47" i="1"/>
  <c r="EU48" i="1"/>
  <c r="EU49" i="1"/>
  <c r="EU50" i="1"/>
  <c r="EU51" i="1"/>
  <c r="EU52" i="1"/>
  <c r="EU53" i="1"/>
  <c r="EU54" i="1"/>
  <c r="EU55" i="1"/>
  <c r="EU56" i="1"/>
  <c r="EU57" i="1"/>
  <c r="EU58" i="1"/>
  <c r="EU59" i="1"/>
  <c r="EU60" i="1"/>
  <c r="EU61" i="1"/>
  <c r="EU62" i="1"/>
  <c r="EU63" i="1"/>
  <c r="EU64" i="1"/>
  <c r="EU65" i="1"/>
  <c r="EU66" i="1"/>
  <c r="EU121" i="1"/>
  <c r="EU68" i="1"/>
  <c r="EU69" i="1"/>
  <c r="EU155" i="1"/>
  <c r="EU71" i="1"/>
  <c r="EU72" i="1"/>
  <c r="EU73" i="1"/>
  <c r="EU74" i="1"/>
  <c r="EU75" i="1"/>
  <c r="EU76" i="1"/>
  <c r="EU77" i="1"/>
  <c r="EU78" i="1"/>
  <c r="EU79" i="1"/>
  <c r="EU80" i="1"/>
  <c r="EU81" i="1"/>
  <c r="EU82" i="1"/>
  <c r="EU83" i="1"/>
  <c r="EU84" i="1"/>
  <c r="EU85" i="1"/>
  <c r="EU86" i="1"/>
  <c r="EU87" i="1"/>
  <c r="EU88" i="1"/>
  <c r="EU114" i="1"/>
  <c r="EU186" i="1"/>
  <c r="EU91" i="1"/>
  <c r="EU92" i="1"/>
  <c r="EU93" i="1"/>
  <c r="EU94" i="1"/>
  <c r="EU95" i="1"/>
  <c r="EU96" i="1"/>
  <c r="EU97" i="1"/>
  <c r="EU98" i="1"/>
  <c r="EU99" i="1"/>
  <c r="EU100" i="1"/>
  <c r="EU101" i="1"/>
  <c r="EU102" i="1"/>
  <c r="EU103" i="1"/>
  <c r="EU104" i="1"/>
  <c r="EU105" i="1"/>
  <c r="EU106" i="1"/>
  <c r="EU107" i="1"/>
  <c r="EU108" i="1"/>
  <c r="EU109" i="1"/>
  <c r="EU110" i="1"/>
  <c r="EU111" i="1"/>
  <c r="EU112" i="1"/>
  <c r="EU113" i="1"/>
  <c r="EU153" i="1"/>
  <c r="EU115" i="1"/>
  <c r="EU116" i="1"/>
  <c r="EU117" i="1"/>
  <c r="EU118" i="1"/>
  <c r="EU119" i="1"/>
  <c r="EU67" i="1"/>
  <c r="EU70" i="1"/>
  <c r="EU122" i="1"/>
  <c r="EU123" i="1"/>
  <c r="EU124" i="1"/>
  <c r="EU125" i="1"/>
  <c r="EU126" i="1"/>
  <c r="EU127" i="1"/>
  <c r="EU128" i="1"/>
  <c r="EU129" i="1"/>
  <c r="EU130" i="1"/>
  <c r="EU131" i="1"/>
  <c r="EU132" i="1"/>
  <c r="EU133" i="1"/>
  <c r="EU134" i="1"/>
  <c r="EU135" i="1"/>
  <c r="EU136" i="1"/>
  <c r="EU137" i="1"/>
  <c r="EU138" i="1"/>
  <c r="EU139" i="1"/>
  <c r="EU140" i="1"/>
  <c r="EU141" i="1"/>
  <c r="EU142" i="1"/>
  <c r="EU143" i="1"/>
  <c r="EU144" i="1"/>
  <c r="EU145" i="1"/>
  <c r="EU146" i="1"/>
  <c r="EU147" i="1"/>
  <c r="EU148" i="1"/>
  <c r="EU149" i="1"/>
  <c r="EU150" i="1"/>
  <c r="EU151" i="1"/>
  <c r="EU152" i="1"/>
  <c r="EU120" i="1"/>
  <c r="EU154" i="1"/>
  <c r="EU89" i="1"/>
  <c r="EU156" i="1"/>
  <c r="EU157" i="1"/>
  <c r="EU158" i="1"/>
  <c r="EU159" i="1"/>
  <c r="EU160" i="1"/>
  <c r="EU161" i="1"/>
  <c r="EU162" i="1"/>
  <c r="EU163" i="1"/>
  <c r="EU164" i="1"/>
  <c r="EU165" i="1"/>
  <c r="EU166" i="1"/>
  <c r="EU167" i="1"/>
  <c r="EU168" i="1"/>
  <c r="EU169" i="1"/>
  <c r="EU170" i="1"/>
  <c r="EU171" i="1"/>
  <c r="EU172" i="1"/>
  <c r="EU173" i="1"/>
  <c r="EU174" i="1"/>
  <c r="EU175" i="1"/>
  <c r="EU176" i="1"/>
  <c r="EU177" i="1"/>
  <c r="EU178" i="1"/>
  <c r="EU179" i="1"/>
  <c r="EU180" i="1"/>
  <c r="EU181" i="1"/>
  <c r="EU182" i="1"/>
  <c r="EU183" i="1"/>
  <c r="EU184" i="1"/>
  <c r="EU185" i="1"/>
  <c r="EU19" i="1"/>
  <c r="EU187" i="1"/>
  <c r="EU188" i="1"/>
  <c r="EU189" i="1"/>
  <c r="EU190" i="1"/>
  <c r="EU191" i="1"/>
  <c r="EU192" i="1"/>
  <c r="EU193" i="1"/>
  <c r="EU194" i="1"/>
  <c r="EU195" i="1"/>
  <c r="EU196" i="1"/>
  <c r="EU197" i="1"/>
  <c r="EU198" i="1"/>
  <c r="EU199" i="1"/>
  <c r="EU200" i="1"/>
  <c r="EU201" i="1"/>
  <c r="EU202" i="1"/>
  <c r="EU203" i="1"/>
  <c r="EU204" i="1"/>
  <c r="EU205" i="1"/>
  <c r="EU206" i="1"/>
  <c r="EU207" i="1"/>
  <c r="EU208" i="1"/>
  <c r="EU209" i="1"/>
  <c r="EU210" i="1"/>
  <c r="EU211" i="1"/>
  <c r="EU212" i="1"/>
  <c r="EU213" i="1"/>
  <c r="EU214" i="1"/>
  <c r="EU215" i="1"/>
  <c r="EU216" i="1"/>
  <c r="EU217" i="1"/>
  <c r="EU218" i="1"/>
  <c r="EU219" i="1"/>
  <c r="EU220" i="1"/>
  <c r="EU221" i="1"/>
  <c r="EU222" i="1"/>
  <c r="EU223" i="1"/>
  <c r="EU224" i="1"/>
  <c r="EU225" i="1"/>
  <c r="EU226" i="1"/>
  <c r="EU227" i="1"/>
  <c r="EU228" i="1"/>
  <c r="EU229" i="1"/>
  <c r="EU230" i="1"/>
  <c r="EU231" i="1"/>
  <c r="EU232" i="1"/>
  <c r="EU233" i="1"/>
  <c r="EU234" i="1"/>
  <c r="EU235" i="1"/>
  <c r="EU236" i="1"/>
  <c r="EU237" i="1"/>
  <c r="EU238" i="1"/>
  <c r="EU239" i="1"/>
  <c r="EU240" i="1"/>
  <c r="EU241" i="1"/>
  <c r="EU242" i="1"/>
  <c r="EU243" i="1"/>
  <c r="EU244" i="1"/>
  <c r="EU245" i="1"/>
  <c r="EU246" i="1"/>
  <c r="EU247" i="1"/>
  <c r="EU248" i="1"/>
  <c r="EU249" i="1"/>
  <c r="EU250" i="1"/>
  <c r="EU251" i="1"/>
  <c r="EU252" i="1"/>
  <c r="EU253" i="1"/>
  <c r="EU254" i="1"/>
  <c r="EU255" i="1"/>
  <c r="EU256" i="1"/>
  <c r="EU257" i="1"/>
  <c r="EU258" i="1"/>
  <c r="EU259" i="1"/>
  <c r="EU260" i="1"/>
  <c r="EU261" i="1"/>
  <c r="EU262" i="1"/>
  <c r="EU263" i="1"/>
  <c r="EU264" i="1"/>
  <c r="EU265" i="1"/>
  <c r="EU266" i="1"/>
  <c r="EU267" i="1"/>
  <c r="EU268" i="1"/>
  <c r="EU269" i="1"/>
  <c r="EU270" i="1"/>
  <c r="EU271" i="1"/>
  <c r="ET6" i="1"/>
  <c r="ES7" i="1"/>
  <c r="ES8" i="1"/>
  <c r="ES9" i="1"/>
  <c r="ES10" i="1"/>
  <c r="ES11" i="1"/>
  <c r="ES12" i="1"/>
  <c r="ES13" i="1"/>
  <c r="ES14" i="1"/>
  <c r="ES15" i="1"/>
  <c r="ES16" i="1"/>
  <c r="ES17" i="1"/>
  <c r="ES18" i="1"/>
  <c r="ES20" i="1"/>
  <c r="ES21" i="1"/>
  <c r="ES22" i="1"/>
  <c r="ES23" i="1"/>
  <c r="ES24" i="1"/>
  <c r="ES25" i="1"/>
  <c r="ES26" i="1"/>
  <c r="ES27" i="1"/>
  <c r="ES28" i="1"/>
  <c r="ES29" i="1"/>
  <c r="ES30" i="1"/>
  <c r="ES31" i="1"/>
  <c r="ES32" i="1"/>
  <c r="ES33" i="1"/>
  <c r="ES34" i="1"/>
  <c r="ES35" i="1"/>
  <c r="ES36" i="1"/>
  <c r="ES37" i="1"/>
  <c r="ES38" i="1"/>
  <c r="ES39" i="1"/>
  <c r="ES40" i="1"/>
  <c r="ES41" i="1"/>
  <c r="ES42" i="1"/>
  <c r="ES43" i="1"/>
  <c r="ES44" i="1"/>
  <c r="ES45" i="1"/>
  <c r="ES46" i="1"/>
  <c r="ES47" i="1"/>
  <c r="ES48" i="1"/>
  <c r="ES49" i="1"/>
  <c r="ES50" i="1"/>
  <c r="ES51" i="1"/>
  <c r="ES52" i="1"/>
  <c r="ES53" i="1"/>
  <c r="ES54" i="1"/>
  <c r="ES55" i="1"/>
  <c r="ES56" i="1"/>
  <c r="ES57" i="1"/>
  <c r="ES58" i="1"/>
  <c r="ES59" i="1"/>
  <c r="ES60" i="1"/>
  <c r="ES61" i="1"/>
  <c r="ES62" i="1"/>
  <c r="ES63" i="1"/>
  <c r="ES64" i="1"/>
  <c r="ES65" i="1"/>
  <c r="ES66" i="1"/>
  <c r="ES121" i="1"/>
  <c r="ES68" i="1"/>
  <c r="ES69" i="1"/>
  <c r="ES155" i="1"/>
  <c r="ES71" i="1"/>
  <c r="ES72" i="1"/>
  <c r="ES73" i="1"/>
  <c r="ES74" i="1"/>
  <c r="ES75" i="1"/>
  <c r="ES76" i="1"/>
  <c r="ES77" i="1"/>
  <c r="ES78" i="1"/>
  <c r="ES79" i="1"/>
  <c r="ES80" i="1"/>
  <c r="ES81" i="1"/>
  <c r="ES82" i="1"/>
  <c r="ES83" i="1"/>
  <c r="ES84" i="1"/>
  <c r="ES85" i="1"/>
  <c r="ES86" i="1"/>
  <c r="ES87" i="1"/>
  <c r="ES88" i="1"/>
  <c r="ES114" i="1"/>
  <c r="ES186" i="1"/>
  <c r="ES91" i="1"/>
  <c r="ES92" i="1"/>
  <c r="ES93" i="1"/>
  <c r="ES94" i="1"/>
  <c r="ES95" i="1"/>
  <c r="ES96" i="1"/>
  <c r="ES97" i="1"/>
  <c r="ES98" i="1"/>
  <c r="ES99" i="1"/>
  <c r="ES100" i="1"/>
  <c r="ES101" i="1"/>
  <c r="ES102" i="1"/>
  <c r="ES103" i="1"/>
  <c r="ES104" i="1"/>
  <c r="ES105" i="1"/>
  <c r="ES106" i="1"/>
  <c r="ES107" i="1"/>
  <c r="ES108" i="1"/>
  <c r="ES109" i="1"/>
  <c r="ES110" i="1"/>
  <c r="ES111" i="1"/>
  <c r="ES112" i="1"/>
  <c r="ES113" i="1"/>
  <c r="ES153" i="1"/>
  <c r="ES115" i="1"/>
  <c r="ES116" i="1"/>
  <c r="ES117" i="1"/>
  <c r="ES118" i="1"/>
  <c r="ES119" i="1"/>
  <c r="ES67" i="1"/>
  <c r="ES70" i="1"/>
  <c r="ES122" i="1"/>
  <c r="ES123" i="1"/>
  <c r="ES124" i="1"/>
  <c r="ES125" i="1"/>
  <c r="ES126" i="1"/>
  <c r="ES127" i="1"/>
  <c r="ES128" i="1"/>
  <c r="ES129" i="1"/>
  <c r="ES130" i="1"/>
  <c r="ES131" i="1"/>
  <c r="ES132" i="1"/>
  <c r="ES133" i="1"/>
  <c r="ES134" i="1"/>
  <c r="ES135" i="1"/>
  <c r="ES136" i="1"/>
  <c r="ES137" i="1"/>
  <c r="ES138" i="1"/>
  <c r="ES139" i="1"/>
  <c r="ES140" i="1"/>
  <c r="ES141" i="1"/>
  <c r="ES142" i="1"/>
  <c r="ES143" i="1"/>
  <c r="ES144" i="1"/>
  <c r="ES145" i="1"/>
  <c r="ES146" i="1"/>
  <c r="ES147" i="1"/>
  <c r="ES148" i="1"/>
  <c r="ES149" i="1"/>
  <c r="ES150" i="1"/>
  <c r="ES151" i="1"/>
  <c r="ES152" i="1"/>
  <c r="ES120" i="1"/>
  <c r="ES154" i="1"/>
  <c r="ES89" i="1"/>
  <c r="ES156" i="1"/>
  <c r="ES157" i="1"/>
  <c r="ES158" i="1"/>
  <c r="ES159" i="1"/>
  <c r="ES160" i="1"/>
  <c r="ES161" i="1"/>
  <c r="ES162" i="1"/>
  <c r="ES163" i="1"/>
  <c r="ES164" i="1"/>
  <c r="ES165" i="1"/>
  <c r="ES166" i="1"/>
  <c r="ES167" i="1"/>
  <c r="ES168" i="1"/>
  <c r="ES169" i="1"/>
  <c r="ES170" i="1"/>
  <c r="ES171" i="1"/>
  <c r="ES172" i="1"/>
  <c r="ES173" i="1"/>
  <c r="ES174" i="1"/>
  <c r="ES175" i="1"/>
  <c r="ES176" i="1"/>
  <c r="ES177" i="1"/>
  <c r="ES178" i="1"/>
  <c r="ES179" i="1"/>
  <c r="ES180" i="1"/>
  <c r="ES181" i="1"/>
  <c r="ES182" i="1"/>
  <c r="ES183" i="1"/>
  <c r="ES184" i="1"/>
  <c r="ES185" i="1"/>
  <c r="ES19" i="1"/>
  <c r="ES187" i="1"/>
  <c r="ES188" i="1"/>
  <c r="ES189" i="1"/>
  <c r="ES190" i="1"/>
  <c r="ES191" i="1"/>
  <c r="ES192" i="1"/>
  <c r="ES193" i="1"/>
  <c r="ES194" i="1"/>
  <c r="ES195" i="1"/>
  <c r="ES196" i="1"/>
  <c r="ES197" i="1"/>
  <c r="ES198" i="1"/>
  <c r="ES199" i="1"/>
  <c r="ES200" i="1"/>
  <c r="ES201" i="1"/>
  <c r="ES202" i="1"/>
  <c r="ES203" i="1"/>
  <c r="ES204" i="1"/>
  <c r="ES205" i="1"/>
  <c r="ES206" i="1"/>
  <c r="ES207" i="1"/>
  <c r="ES208" i="1"/>
  <c r="ES209" i="1"/>
  <c r="ES210" i="1"/>
  <c r="ES211" i="1"/>
  <c r="ES212" i="1"/>
  <c r="ES213" i="1"/>
  <c r="ES214" i="1"/>
  <c r="ES215" i="1"/>
  <c r="ES216" i="1"/>
  <c r="ES217" i="1"/>
  <c r="ES218" i="1"/>
  <c r="ES219" i="1"/>
  <c r="ES220" i="1"/>
  <c r="ES221" i="1"/>
  <c r="ES222" i="1"/>
  <c r="ES223" i="1"/>
  <c r="ES224" i="1"/>
  <c r="ES225" i="1"/>
  <c r="ES226" i="1"/>
  <c r="ES227" i="1"/>
  <c r="ES228" i="1"/>
  <c r="ES229" i="1"/>
  <c r="ES230" i="1"/>
  <c r="ES231" i="1"/>
  <c r="ES232" i="1"/>
  <c r="ES233" i="1"/>
  <c r="ES234" i="1"/>
  <c r="ES235" i="1"/>
  <c r="ES236" i="1"/>
  <c r="ES237" i="1"/>
  <c r="ES238" i="1"/>
  <c r="ES239" i="1"/>
  <c r="ES240" i="1"/>
  <c r="ES241" i="1"/>
  <c r="ES242" i="1"/>
  <c r="ES243" i="1"/>
  <c r="ES244" i="1"/>
  <c r="ES245" i="1"/>
  <c r="ES246" i="1"/>
  <c r="ES247" i="1"/>
  <c r="ES248" i="1"/>
  <c r="ES249" i="1"/>
  <c r="ES250" i="1"/>
  <c r="ES251" i="1"/>
  <c r="ES252" i="1"/>
  <c r="ES253" i="1"/>
  <c r="ES254" i="1"/>
  <c r="ES255" i="1"/>
  <c r="ES256" i="1"/>
  <c r="ES257" i="1"/>
  <c r="ES258" i="1"/>
  <c r="ES259" i="1"/>
  <c r="ES260" i="1"/>
  <c r="ES261" i="1"/>
  <c r="ES262" i="1"/>
  <c r="ES263" i="1"/>
  <c r="ES264" i="1"/>
  <c r="ES265" i="1"/>
  <c r="ES266" i="1"/>
  <c r="ES267" i="1"/>
  <c r="ES268" i="1"/>
  <c r="ES269" i="1"/>
  <c r="ES270" i="1"/>
  <c r="ES271" i="1"/>
  <c r="ES6" i="1"/>
  <c r="ET7" i="1"/>
  <c r="ET8" i="1"/>
  <c r="ET9" i="1"/>
  <c r="ET10" i="1"/>
  <c r="ET11" i="1"/>
  <c r="ET12" i="1"/>
  <c r="ET13" i="1"/>
  <c r="ET14" i="1"/>
  <c r="ET15" i="1"/>
  <c r="ET16" i="1"/>
  <c r="ET17" i="1"/>
  <c r="ET18" i="1"/>
  <c r="ET90" i="1"/>
  <c r="ET20" i="1"/>
  <c r="ET21" i="1"/>
  <c r="ET22" i="1"/>
  <c r="ET23" i="1"/>
  <c r="ET24" i="1"/>
  <c r="ET25" i="1"/>
  <c r="ET26" i="1"/>
  <c r="ET27" i="1"/>
  <c r="ET28" i="1"/>
  <c r="ET29" i="1"/>
  <c r="ET30" i="1"/>
  <c r="ET31" i="1"/>
  <c r="ET32" i="1"/>
  <c r="ET33" i="1"/>
  <c r="ET34" i="1"/>
  <c r="ET35" i="1"/>
  <c r="ET36" i="1"/>
  <c r="ET37" i="1"/>
  <c r="ET38" i="1"/>
  <c r="ET39" i="1"/>
  <c r="ET40" i="1"/>
  <c r="ET41" i="1"/>
  <c r="ET42" i="1"/>
  <c r="ET43" i="1"/>
  <c r="ET44" i="1"/>
  <c r="ET45" i="1"/>
  <c r="ET46" i="1"/>
  <c r="ET47" i="1"/>
  <c r="ET48" i="1"/>
  <c r="ET49" i="1"/>
  <c r="ET50" i="1"/>
  <c r="ET51" i="1"/>
  <c r="ET52" i="1"/>
  <c r="ET53" i="1"/>
  <c r="ET54" i="1"/>
  <c r="ET55" i="1"/>
  <c r="ET56" i="1"/>
  <c r="ET57" i="1"/>
  <c r="ET58" i="1"/>
  <c r="ET59" i="1"/>
  <c r="ET60" i="1"/>
  <c r="ET61" i="1"/>
  <c r="ET62" i="1"/>
  <c r="ET63" i="1"/>
  <c r="ET64" i="1"/>
  <c r="ET65" i="1"/>
  <c r="ET66" i="1"/>
  <c r="ET121" i="1"/>
  <c r="ET68" i="1"/>
  <c r="ET69" i="1"/>
  <c r="ET155" i="1"/>
  <c r="ET71" i="1"/>
  <c r="ET72" i="1"/>
  <c r="ET73" i="1"/>
  <c r="ET74" i="1"/>
  <c r="ET75" i="1"/>
  <c r="ET76" i="1"/>
  <c r="ET77" i="1"/>
  <c r="ET78" i="1"/>
  <c r="ET79" i="1"/>
  <c r="ET80" i="1"/>
  <c r="ET81" i="1"/>
  <c r="ET82" i="1"/>
  <c r="ET83" i="1"/>
  <c r="ET84" i="1"/>
  <c r="ET85" i="1"/>
  <c r="ET86" i="1"/>
  <c r="ET87" i="1"/>
  <c r="ET88" i="1"/>
  <c r="ET114" i="1"/>
  <c r="ET186" i="1"/>
  <c r="ET91" i="1"/>
  <c r="ET92" i="1"/>
  <c r="ET93" i="1"/>
  <c r="ET94" i="1"/>
  <c r="ET95" i="1"/>
  <c r="ET96" i="1"/>
  <c r="ET97" i="1"/>
  <c r="ET98" i="1"/>
  <c r="ET99" i="1"/>
  <c r="ET100" i="1"/>
  <c r="ET101" i="1"/>
  <c r="ET102" i="1"/>
  <c r="ET103" i="1"/>
  <c r="ET104" i="1"/>
  <c r="ET105" i="1"/>
  <c r="ET106" i="1"/>
  <c r="ET107" i="1"/>
  <c r="ET108" i="1"/>
  <c r="ET109" i="1"/>
  <c r="ET110" i="1"/>
  <c r="ET111" i="1"/>
  <c r="ET112" i="1"/>
  <c r="ET113" i="1"/>
  <c r="ET153" i="1"/>
  <c r="ET115" i="1"/>
  <c r="ET116" i="1"/>
  <c r="ET117" i="1"/>
  <c r="ET118" i="1"/>
  <c r="ET119" i="1"/>
  <c r="ET67" i="1"/>
  <c r="ET70" i="1"/>
  <c r="ET122" i="1"/>
  <c r="ET123" i="1"/>
  <c r="ET124" i="1"/>
  <c r="ET125" i="1"/>
  <c r="ET126" i="1"/>
  <c r="ET127" i="1"/>
  <c r="ET128" i="1"/>
  <c r="ET129" i="1"/>
  <c r="ET130" i="1"/>
  <c r="ET131" i="1"/>
  <c r="ET132" i="1"/>
  <c r="ET133" i="1"/>
  <c r="ET134" i="1"/>
  <c r="ET135" i="1"/>
  <c r="ET136" i="1"/>
  <c r="ET137" i="1"/>
  <c r="ET138" i="1"/>
  <c r="ET139" i="1"/>
  <c r="ET140" i="1"/>
  <c r="ET141" i="1"/>
  <c r="ET142" i="1"/>
  <c r="ET143" i="1"/>
  <c r="ET144" i="1"/>
  <c r="ET145" i="1"/>
  <c r="ET146" i="1"/>
  <c r="ET147" i="1"/>
  <c r="ET148" i="1"/>
  <c r="ET149" i="1"/>
  <c r="ET150" i="1"/>
  <c r="ET151" i="1"/>
  <c r="ET152" i="1"/>
  <c r="ET120" i="1"/>
  <c r="ET154" i="1"/>
  <c r="ET89" i="1"/>
  <c r="ET156" i="1"/>
  <c r="ET157" i="1"/>
  <c r="ET158" i="1"/>
  <c r="ET159" i="1"/>
  <c r="ET160" i="1"/>
  <c r="ET161" i="1"/>
  <c r="ET162" i="1"/>
  <c r="ET163" i="1"/>
  <c r="ET164" i="1"/>
  <c r="ET165" i="1"/>
  <c r="ET166" i="1"/>
  <c r="ET167" i="1"/>
  <c r="ET168" i="1"/>
  <c r="ET169" i="1"/>
  <c r="ET170" i="1"/>
  <c r="ET171" i="1"/>
  <c r="ET172" i="1"/>
  <c r="ET173" i="1"/>
  <c r="ET174" i="1"/>
  <c r="ET175" i="1"/>
  <c r="ET176" i="1"/>
  <c r="ET177" i="1"/>
  <c r="ET178" i="1"/>
  <c r="ET179" i="1"/>
  <c r="ET180" i="1"/>
  <c r="ET181" i="1"/>
  <c r="ET182" i="1"/>
  <c r="ET183" i="1"/>
  <c r="ET184" i="1"/>
  <c r="ET185" i="1"/>
  <c r="ET19" i="1"/>
  <c r="ET187" i="1"/>
  <c r="ET188" i="1"/>
  <c r="ET189" i="1"/>
  <c r="ET190" i="1"/>
  <c r="ET191" i="1"/>
  <c r="ET192" i="1"/>
  <c r="ET193" i="1"/>
  <c r="ET194" i="1"/>
  <c r="ET195" i="1"/>
  <c r="ET196" i="1"/>
  <c r="ET197" i="1"/>
  <c r="ET198" i="1"/>
  <c r="ET199" i="1"/>
  <c r="ET200" i="1"/>
  <c r="ET201" i="1"/>
  <c r="ET202" i="1"/>
  <c r="ET203" i="1"/>
  <c r="ET204" i="1"/>
  <c r="ET205" i="1"/>
  <c r="ET206" i="1"/>
  <c r="ET207" i="1"/>
  <c r="ET208" i="1"/>
  <c r="ET209" i="1"/>
  <c r="ET210" i="1"/>
  <c r="ET211" i="1"/>
  <c r="ET212" i="1"/>
  <c r="ET213" i="1"/>
  <c r="ET214" i="1"/>
  <c r="ET215" i="1"/>
  <c r="ET216" i="1"/>
  <c r="ET217" i="1"/>
  <c r="ET218" i="1"/>
  <c r="ET219" i="1"/>
  <c r="ET220" i="1"/>
  <c r="ET221" i="1"/>
  <c r="ET222" i="1"/>
  <c r="ET223" i="1"/>
  <c r="ET224" i="1"/>
  <c r="ET225" i="1"/>
  <c r="ET226" i="1"/>
  <c r="ET227" i="1"/>
  <c r="ET228" i="1"/>
  <c r="ET229" i="1"/>
  <c r="ET230" i="1"/>
  <c r="ET231" i="1"/>
  <c r="ET232" i="1"/>
  <c r="ET233" i="1"/>
  <c r="ET234" i="1"/>
  <c r="ET235" i="1"/>
  <c r="ET236" i="1"/>
  <c r="ET237" i="1"/>
  <c r="ET238" i="1"/>
  <c r="ET239" i="1"/>
  <c r="ET240" i="1"/>
  <c r="ET241" i="1"/>
  <c r="ET242" i="1"/>
  <c r="ET243" i="1"/>
  <c r="ET244" i="1"/>
  <c r="ET245" i="1"/>
  <c r="ET246" i="1"/>
  <c r="ET247" i="1"/>
  <c r="ET248" i="1"/>
  <c r="ET249" i="1"/>
  <c r="ET250" i="1"/>
  <c r="ET251" i="1"/>
  <c r="ET252" i="1"/>
  <c r="ET253" i="1"/>
  <c r="ET254" i="1"/>
  <c r="ET255" i="1"/>
  <c r="ET256" i="1"/>
  <c r="ET257" i="1"/>
  <c r="ET258" i="1"/>
  <c r="ET259" i="1"/>
  <c r="ET260" i="1"/>
  <c r="ET261" i="1"/>
  <c r="ET262" i="1"/>
  <c r="ET263" i="1"/>
  <c r="ET264" i="1"/>
  <c r="ET265" i="1"/>
  <c r="ET266" i="1"/>
  <c r="ET267" i="1"/>
  <c r="ET268" i="1"/>
  <c r="ET269" i="1"/>
  <c r="ET270" i="1"/>
  <c r="ET271" i="1"/>
  <c r="EM6" i="1"/>
  <c r="EM7" i="1"/>
  <c r="EN7" i="1"/>
  <c r="EM8" i="1"/>
  <c r="EN8" i="1"/>
  <c r="EM9" i="1"/>
  <c r="EN9" i="1"/>
  <c r="EM10" i="1"/>
  <c r="EN10" i="1"/>
  <c r="EM11" i="1"/>
  <c r="EN11" i="1"/>
  <c r="EM12" i="1"/>
  <c r="EN12" i="1"/>
  <c r="EM13" i="1"/>
  <c r="EN13" i="1"/>
  <c r="EM14" i="1"/>
  <c r="EN14" i="1"/>
  <c r="EM15" i="1"/>
  <c r="EN15" i="1"/>
  <c r="EM16" i="1"/>
  <c r="EN16" i="1"/>
  <c r="EM17" i="1"/>
  <c r="EN17" i="1"/>
  <c r="EM18" i="1"/>
  <c r="EN18" i="1"/>
  <c r="EM90" i="1"/>
  <c r="EN90" i="1"/>
  <c r="EM20" i="1"/>
  <c r="EN20" i="1"/>
  <c r="EM21" i="1"/>
  <c r="EN21" i="1"/>
  <c r="EM22" i="1"/>
  <c r="EN22" i="1"/>
  <c r="EM23" i="1"/>
  <c r="EN23" i="1"/>
  <c r="EM24" i="1"/>
  <c r="EN24" i="1"/>
  <c r="EM25" i="1"/>
  <c r="EN25" i="1"/>
  <c r="EM26" i="1"/>
  <c r="EN26" i="1"/>
  <c r="EM27" i="1"/>
  <c r="EN27" i="1"/>
  <c r="EM28" i="1"/>
  <c r="EN28" i="1"/>
  <c r="EM29" i="1"/>
  <c r="EN29" i="1"/>
  <c r="EM30" i="1"/>
  <c r="EN30" i="1"/>
  <c r="EM31" i="1"/>
  <c r="EN31" i="1"/>
  <c r="EM32" i="1"/>
  <c r="EN32" i="1"/>
  <c r="EM33" i="1"/>
  <c r="EN33" i="1"/>
  <c r="EM34" i="1"/>
  <c r="EN34" i="1"/>
  <c r="EM35" i="1"/>
  <c r="EN35" i="1"/>
  <c r="EM36" i="1"/>
  <c r="EN36" i="1"/>
  <c r="EM37" i="1"/>
  <c r="EN37" i="1"/>
  <c r="EM38" i="1"/>
  <c r="EN38" i="1"/>
  <c r="EM39" i="1"/>
  <c r="EN39" i="1"/>
  <c r="EM40" i="1"/>
  <c r="EN40" i="1"/>
  <c r="EM41" i="1"/>
  <c r="EN41" i="1"/>
  <c r="EM42" i="1"/>
  <c r="EN42" i="1"/>
  <c r="EM43" i="1"/>
  <c r="EN43" i="1"/>
  <c r="EM44" i="1"/>
  <c r="EN44" i="1"/>
  <c r="EM45" i="1"/>
  <c r="EN45" i="1"/>
  <c r="EM46" i="1"/>
  <c r="EN46" i="1"/>
  <c r="EM47" i="1"/>
  <c r="EN47" i="1"/>
  <c r="EM48" i="1"/>
  <c r="EN48" i="1"/>
  <c r="EM49" i="1"/>
  <c r="EN49" i="1"/>
  <c r="EM50" i="1"/>
  <c r="EN50" i="1"/>
  <c r="EM51" i="1"/>
  <c r="EN51" i="1"/>
  <c r="EM52" i="1"/>
  <c r="EN52" i="1"/>
  <c r="EM53" i="1"/>
  <c r="EN53" i="1"/>
  <c r="EM54" i="1"/>
  <c r="EN54" i="1"/>
  <c r="EM55" i="1"/>
  <c r="EN55" i="1"/>
  <c r="EM56" i="1"/>
  <c r="EN56" i="1"/>
  <c r="EM57" i="1"/>
  <c r="EN57" i="1"/>
  <c r="EM58" i="1"/>
  <c r="EN58" i="1"/>
  <c r="EM59" i="1"/>
  <c r="EN59" i="1"/>
  <c r="EM60" i="1"/>
  <c r="EN60" i="1"/>
  <c r="EM61" i="1"/>
  <c r="EN61" i="1"/>
  <c r="EM62" i="1"/>
  <c r="EN62" i="1"/>
  <c r="EM63" i="1"/>
  <c r="EN63" i="1"/>
  <c r="EM64" i="1"/>
  <c r="EN64" i="1"/>
  <c r="EM65" i="1"/>
  <c r="EN65" i="1"/>
  <c r="EM66" i="1"/>
  <c r="EN66" i="1"/>
  <c r="EM121" i="1"/>
  <c r="EN121" i="1"/>
  <c r="EM68" i="1"/>
  <c r="EN68" i="1"/>
  <c r="EM69" i="1"/>
  <c r="EN69" i="1"/>
  <c r="EM155" i="1"/>
  <c r="EN155" i="1"/>
  <c r="EM71" i="1"/>
  <c r="EN71" i="1"/>
  <c r="EM72" i="1"/>
  <c r="EN72" i="1"/>
  <c r="EM73" i="1"/>
  <c r="EN73" i="1"/>
  <c r="EM74" i="1"/>
  <c r="EN74" i="1"/>
  <c r="EM75" i="1"/>
  <c r="EN75" i="1"/>
  <c r="EM76" i="1"/>
  <c r="EN76" i="1"/>
  <c r="EM77" i="1"/>
  <c r="EN77" i="1"/>
  <c r="EM78" i="1"/>
  <c r="EN78" i="1"/>
  <c r="EM79" i="1"/>
  <c r="EN79" i="1"/>
  <c r="EM80" i="1"/>
  <c r="EN80" i="1"/>
  <c r="EM81" i="1"/>
  <c r="EN81" i="1"/>
  <c r="EM82" i="1"/>
  <c r="EN82" i="1"/>
  <c r="EM83" i="1"/>
  <c r="EN83" i="1"/>
  <c r="EM84" i="1"/>
  <c r="EN84" i="1"/>
  <c r="EM85" i="1"/>
  <c r="EN85" i="1"/>
  <c r="EM86" i="1"/>
  <c r="EN86" i="1"/>
  <c r="EM87" i="1"/>
  <c r="EN87" i="1"/>
  <c r="EM88" i="1"/>
  <c r="EN88" i="1"/>
  <c r="EM114" i="1"/>
  <c r="EN114" i="1"/>
  <c r="EM186" i="1"/>
  <c r="EN186" i="1"/>
  <c r="EM91" i="1"/>
  <c r="EN91" i="1"/>
  <c r="EM92" i="1"/>
  <c r="EN92" i="1"/>
  <c r="EM93" i="1"/>
  <c r="EN93" i="1"/>
  <c r="EM94" i="1"/>
  <c r="EN94" i="1"/>
  <c r="EM95" i="1"/>
  <c r="EN95" i="1"/>
  <c r="EM96" i="1"/>
  <c r="EN96" i="1"/>
  <c r="EM97" i="1"/>
  <c r="EN97" i="1"/>
  <c r="EM98" i="1"/>
  <c r="EN98" i="1"/>
  <c r="EM99" i="1"/>
  <c r="EN99" i="1"/>
  <c r="EM100" i="1"/>
  <c r="EN100" i="1"/>
  <c r="EM101" i="1"/>
  <c r="EN101" i="1"/>
  <c r="EM102" i="1"/>
  <c r="EN102" i="1"/>
  <c r="EM103" i="1"/>
  <c r="EN103" i="1"/>
  <c r="EM104" i="1"/>
  <c r="EN104" i="1"/>
  <c r="EM105" i="1"/>
  <c r="EN105" i="1"/>
  <c r="EM106" i="1"/>
  <c r="EN106" i="1"/>
  <c r="EM107" i="1"/>
  <c r="EN107" i="1"/>
  <c r="EM108" i="1"/>
  <c r="EN108" i="1"/>
  <c r="EM109" i="1"/>
  <c r="EN109" i="1"/>
  <c r="EM110" i="1"/>
  <c r="EN110" i="1"/>
  <c r="EM111" i="1"/>
  <c r="EN111" i="1"/>
  <c r="EM112" i="1"/>
  <c r="EN112" i="1"/>
  <c r="EM113" i="1"/>
  <c r="EN113" i="1"/>
  <c r="EM153" i="1"/>
  <c r="EN153" i="1"/>
  <c r="EM115" i="1"/>
  <c r="EN115" i="1"/>
  <c r="EM116" i="1"/>
  <c r="EN116" i="1"/>
  <c r="EM117" i="1"/>
  <c r="EN117" i="1"/>
  <c r="EM118" i="1"/>
  <c r="EN118" i="1"/>
  <c r="EM119" i="1"/>
  <c r="EN119" i="1"/>
  <c r="EM67" i="1"/>
  <c r="EN67" i="1"/>
  <c r="EM70" i="1"/>
  <c r="EN70" i="1"/>
  <c r="EM122" i="1"/>
  <c r="EN122" i="1"/>
  <c r="EM123" i="1"/>
  <c r="EN123" i="1"/>
  <c r="EM124" i="1"/>
  <c r="EN124" i="1"/>
  <c r="EM125" i="1"/>
  <c r="EN125" i="1"/>
  <c r="EM126" i="1"/>
  <c r="EN126" i="1"/>
  <c r="EM127" i="1"/>
  <c r="EN127" i="1"/>
  <c r="EM128" i="1"/>
  <c r="EN128" i="1"/>
  <c r="EM129" i="1"/>
  <c r="EN129" i="1"/>
  <c r="EM130" i="1"/>
  <c r="EN130" i="1"/>
  <c r="EM131" i="1"/>
  <c r="EN131" i="1"/>
  <c r="EM132" i="1"/>
  <c r="EN132" i="1"/>
  <c r="EM133" i="1"/>
  <c r="EN133" i="1"/>
  <c r="EM134" i="1"/>
  <c r="EN134" i="1"/>
  <c r="EM135" i="1"/>
  <c r="EN135" i="1"/>
  <c r="EM136" i="1"/>
  <c r="EN136" i="1"/>
  <c r="EM137" i="1"/>
  <c r="EN137" i="1"/>
  <c r="EM138" i="1"/>
  <c r="EN138" i="1"/>
  <c r="EM139" i="1"/>
  <c r="EN139" i="1"/>
  <c r="EM140" i="1"/>
  <c r="EN140" i="1"/>
  <c r="EM141" i="1"/>
  <c r="EN141" i="1"/>
  <c r="EM142" i="1"/>
  <c r="EN142" i="1"/>
  <c r="EM143" i="1"/>
  <c r="EN143" i="1"/>
  <c r="EM144" i="1"/>
  <c r="EN144" i="1"/>
  <c r="EM145" i="1"/>
  <c r="EN145" i="1"/>
  <c r="EM146" i="1"/>
  <c r="EN146" i="1"/>
  <c r="EM147" i="1"/>
  <c r="EN147" i="1"/>
  <c r="EM148" i="1"/>
  <c r="EN148" i="1"/>
  <c r="EM149" i="1"/>
  <c r="EN149" i="1"/>
  <c r="EM150" i="1"/>
  <c r="EN150" i="1"/>
  <c r="EM151" i="1"/>
  <c r="EN151" i="1"/>
  <c r="EM152" i="1"/>
  <c r="EN152" i="1"/>
  <c r="EM120" i="1"/>
  <c r="EN120" i="1"/>
  <c r="EM154" i="1"/>
  <c r="EN154" i="1"/>
  <c r="EM89" i="1"/>
  <c r="EN89" i="1"/>
  <c r="EM156" i="1"/>
  <c r="EN156" i="1"/>
  <c r="EM157" i="1"/>
  <c r="EN157" i="1"/>
  <c r="EM158" i="1"/>
  <c r="EN158" i="1"/>
  <c r="EM159" i="1"/>
  <c r="EN159" i="1"/>
  <c r="EM160" i="1"/>
  <c r="EN160" i="1"/>
  <c r="EM161" i="1"/>
  <c r="EN161" i="1"/>
  <c r="EM162" i="1"/>
  <c r="EN162" i="1"/>
  <c r="EM163" i="1"/>
  <c r="EN163" i="1"/>
  <c r="EM164" i="1"/>
  <c r="EN164" i="1"/>
  <c r="EM165" i="1"/>
  <c r="EN165" i="1"/>
  <c r="EM166" i="1"/>
  <c r="EN166" i="1"/>
  <c r="EM167" i="1"/>
  <c r="EN167" i="1"/>
  <c r="EM168" i="1"/>
  <c r="EN168" i="1"/>
  <c r="EM169" i="1"/>
  <c r="EN169" i="1"/>
  <c r="EM170" i="1"/>
  <c r="EN170" i="1"/>
  <c r="EM171" i="1"/>
  <c r="EN171" i="1"/>
  <c r="EM172" i="1"/>
  <c r="EN172" i="1"/>
  <c r="EM173" i="1"/>
  <c r="EN173" i="1"/>
  <c r="EM174" i="1"/>
  <c r="EN174" i="1"/>
  <c r="EM175" i="1"/>
  <c r="EN175" i="1"/>
  <c r="EM176" i="1"/>
  <c r="EN176" i="1"/>
  <c r="EM177" i="1"/>
  <c r="EN177" i="1"/>
  <c r="EM178" i="1"/>
  <c r="EN178" i="1"/>
  <c r="EM179" i="1"/>
  <c r="EN179" i="1"/>
  <c r="EM180" i="1"/>
  <c r="EN180" i="1"/>
  <c r="EM181" i="1"/>
  <c r="EN181" i="1"/>
  <c r="EM182" i="1"/>
  <c r="EN182" i="1"/>
  <c r="EM183" i="1"/>
  <c r="EN183" i="1"/>
  <c r="EM184" i="1"/>
  <c r="EN184" i="1"/>
  <c r="EM185" i="1"/>
  <c r="EN185" i="1"/>
  <c r="EM19" i="1"/>
  <c r="EN19" i="1"/>
  <c r="EM187" i="1"/>
  <c r="EN187" i="1"/>
  <c r="EM188" i="1"/>
  <c r="EN188" i="1"/>
  <c r="EM189" i="1"/>
  <c r="EN189" i="1"/>
  <c r="EM190" i="1"/>
  <c r="EN190" i="1"/>
  <c r="EM191" i="1"/>
  <c r="EN191" i="1"/>
  <c r="EM192" i="1"/>
  <c r="EN192" i="1"/>
  <c r="EM193" i="1"/>
  <c r="EN193" i="1"/>
  <c r="EM194" i="1"/>
  <c r="EN194" i="1"/>
  <c r="EM195" i="1"/>
  <c r="EN195" i="1"/>
  <c r="EM196" i="1"/>
  <c r="EN196" i="1"/>
  <c r="EM197" i="1"/>
  <c r="EN197" i="1"/>
  <c r="EM198" i="1"/>
  <c r="EN198" i="1"/>
  <c r="EM199" i="1"/>
  <c r="EN199" i="1"/>
  <c r="EM200" i="1"/>
  <c r="EN200" i="1"/>
  <c r="EM201" i="1"/>
  <c r="EN201" i="1"/>
  <c r="EM202" i="1"/>
  <c r="EN202" i="1"/>
  <c r="EM203" i="1"/>
  <c r="EN203" i="1"/>
  <c r="EM204" i="1"/>
  <c r="EN204" i="1"/>
  <c r="EM205" i="1"/>
  <c r="EN205" i="1"/>
  <c r="EM206" i="1"/>
  <c r="EN206" i="1"/>
  <c r="EM207" i="1"/>
  <c r="EN207" i="1"/>
  <c r="EM208" i="1"/>
  <c r="EN208" i="1"/>
  <c r="EM209" i="1"/>
  <c r="EN209" i="1"/>
  <c r="EM210" i="1"/>
  <c r="EN210" i="1"/>
  <c r="EM211" i="1"/>
  <c r="EN211" i="1"/>
  <c r="EM212" i="1"/>
  <c r="EN212" i="1"/>
  <c r="EM213" i="1"/>
  <c r="EN213" i="1"/>
  <c r="EM214" i="1"/>
  <c r="EN214" i="1"/>
  <c r="EM215" i="1"/>
  <c r="EN215" i="1"/>
  <c r="EM216" i="1"/>
  <c r="EN216" i="1"/>
  <c r="EM217" i="1"/>
  <c r="EN217" i="1"/>
  <c r="EM218" i="1"/>
  <c r="EN218" i="1"/>
  <c r="EM219" i="1"/>
  <c r="EN219" i="1"/>
  <c r="EM220" i="1"/>
  <c r="EN220" i="1"/>
  <c r="EM221" i="1"/>
  <c r="EN221" i="1"/>
  <c r="EM222" i="1"/>
  <c r="EN222" i="1"/>
  <c r="EM223" i="1"/>
  <c r="EN223" i="1"/>
  <c r="EM224" i="1"/>
  <c r="EN224" i="1"/>
  <c r="EM225" i="1"/>
  <c r="EN225" i="1"/>
  <c r="EM226" i="1"/>
  <c r="EN226" i="1"/>
  <c r="EM227" i="1"/>
  <c r="EN227" i="1"/>
  <c r="EM228" i="1"/>
  <c r="EN228" i="1"/>
  <c r="EM229" i="1"/>
  <c r="EN229" i="1"/>
  <c r="EM230" i="1"/>
  <c r="EN230" i="1"/>
  <c r="EM231" i="1"/>
  <c r="EN231" i="1"/>
  <c r="EM232" i="1"/>
  <c r="EN232" i="1"/>
  <c r="EM233" i="1"/>
  <c r="EN233" i="1"/>
  <c r="EM234" i="1"/>
  <c r="EN234" i="1"/>
  <c r="EM235" i="1"/>
  <c r="EN235" i="1"/>
  <c r="EM236" i="1"/>
  <c r="EN236" i="1"/>
  <c r="EM237" i="1"/>
  <c r="EN237" i="1"/>
  <c r="EM238" i="1"/>
  <c r="EN238" i="1"/>
  <c r="EM239" i="1"/>
  <c r="EN239" i="1"/>
  <c r="EM240" i="1"/>
  <c r="EN240" i="1"/>
  <c r="EM241" i="1"/>
  <c r="EN241" i="1"/>
  <c r="EM242" i="1"/>
  <c r="EN242" i="1"/>
  <c r="EM243" i="1"/>
  <c r="EN243" i="1"/>
  <c r="EM244" i="1"/>
  <c r="EN244" i="1"/>
  <c r="EM245" i="1"/>
  <c r="EN245" i="1"/>
  <c r="EM246" i="1"/>
  <c r="EN246" i="1"/>
  <c r="EM247" i="1"/>
  <c r="EN247" i="1"/>
  <c r="EM248" i="1"/>
  <c r="EN248" i="1"/>
  <c r="EM249" i="1"/>
  <c r="EN249" i="1"/>
  <c r="EM250" i="1"/>
  <c r="EN250" i="1"/>
  <c r="EM251" i="1"/>
  <c r="EN251" i="1"/>
  <c r="EM252" i="1"/>
  <c r="EN252" i="1"/>
  <c r="EM253" i="1"/>
  <c r="EN253" i="1"/>
  <c r="EM254" i="1"/>
  <c r="EN254" i="1"/>
  <c r="EM255" i="1"/>
  <c r="EN255" i="1"/>
  <c r="EM256" i="1"/>
  <c r="EN256" i="1"/>
  <c r="EM257" i="1"/>
  <c r="EN257" i="1"/>
  <c r="EM258" i="1"/>
  <c r="EN258" i="1"/>
  <c r="EM259" i="1"/>
  <c r="EN259" i="1"/>
  <c r="EM260" i="1"/>
  <c r="EN260" i="1"/>
  <c r="EM261" i="1"/>
  <c r="EN261" i="1"/>
  <c r="EM262" i="1"/>
  <c r="EN262" i="1"/>
  <c r="EM263" i="1"/>
  <c r="EN263" i="1"/>
  <c r="EM264" i="1"/>
  <c r="EN264" i="1"/>
  <c r="EM265" i="1"/>
  <c r="EN265" i="1"/>
  <c r="EM266" i="1"/>
  <c r="EN266" i="1"/>
  <c r="EM267" i="1"/>
  <c r="EN267" i="1"/>
  <c r="EM268" i="1"/>
  <c r="EN268" i="1"/>
  <c r="EM269" i="1"/>
  <c r="EN269" i="1"/>
  <c r="EM270" i="1"/>
  <c r="EN270" i="1"/>
  <c r="EM271" i="1"/>
  <c r="EN271" i="1"/>
  <c r="EN6" i="1"/>
  <c r="EY6" i="1"/>
  <c r="EG6" i="1"/>
  <c r="EP6" i="1" s="1"/>
  <c r="EG7" i="1"/>
  <c r="EP7" i="1" s="1"/>
  <c r="EG8" i="1"/>
  <c r="EP8" i="1" s="1"/>
  <c r="EG9" i="1"/>
  <c r="EP9" i="1" s="1"/>
  <c r="EG10" i="1"/>
  <c r="EP10" i="1" s="1"/>
  <c r="EG11" i="1"/>
  <c r="EP11" i="1" s="1"/>
  <c r="EG12" i="1"/>
  <c r="EP12" i="1" s="1"/>
  <c r="EG13" i="1"/>
  <c r="EP13" i="1" s="1"/>
  <c r="EG14" i="1"/>
  <c r="EP14" i="1" s="1"/>
  <c r="EG15" i="1"/>
  <c r="EP15" i="1" s="1"/>
  <c r="EG16" i="1"/>
  <c r="EP16" i="1" s="1"/>
  <c r="EG17" i="1"/>
  <c r="EP17" i="1" s="1"/>
  <c r="EG18" i="1"/>
  <c r="EP18" i="1" s="1"/>
  <c r="EG90" i="1"/>
  <c r="EP90" i="1" s="1"/>
  <c r="EG20" i="1"/>
  <c r="EP20" i="1" s="1"/>
  <c r="EG21" i="1"/>
  <c r="EP21" i="1" s="1"/>
  <c r="EG22" i="1"/>
  <c r="EP22" i="1" s="1"/>
  <c r="EG23" i="1"/>
  <c r="EP23" i="1" s="1"/>
  <c r="EG24" i="1"/>
  <c r="EP24" i="1" s="1"/>
  <c r="EG25" i="1"/>
  <c r="EP25" i="1" s="1"/>
  <c r="EG26" i="1"/>
  <c r="EP26" i="1" s="1"/>
  <c r="EG27" i="1"/>
  <c r="EP27" i="1" s="1"/>
  <c r="EG28" i="1"/>
  <c r="EP28" i="1" s="1"/>
  <c r="EG29" i="1"/>
  <c r="EP29" i="1" s="1"/>
  <c r="EG30" i="1"/>
  <c r="EP30" i="1" s="1"/>
  <c r="EG31" i="1"/>
  <c r="EP31" i="1" s="1"/>
  <c r="EG32" i="1"/>
  <c r="EP32" i="1" s="1"/>
  <c r="EG33" i="1"/>
  <c r="EP33" i="1" s="1"/>
  <c r="EG34" i="1"/>
  <c r="EP34" i="1" s="1"/>
  <c r="EG35" i="1"/>
  <c r="EP35" i="1" s="1"/>
  <c r="EG36" i="1"/>
  <c r="EP36" i="1" s="1"/>
  <c r="EG37" i="1"/>
  <c r="EP37" i="1" s="1"/>
  <c r="EG38" i="1"/>
  <c r="EP38" i="1" s="1"/>
  <c r="EG39" i="1"/>
  <c r="EP39" i="1" s="1"/>
  <c r="EG40" i="1"/>
  <c r="EP40" i="1" s="1"/>
  <c r="EG41" i="1"/>
  <c r="EP41" i="1" s="1"/>
  <c r="EG42" i="1"/>
  <c r="EP42" i="1" s="1"/>
  <c r="EG43" i="1"/>
  <c r="EP43" i="1" s="1"/>
  <c r="EG44" i="1"/>
  <c r="EP44" i="1" s="1"/>
  <c r="EG45" i="1"/>
  <c r="EP45" i="1" s="1"/>
  <c r="EG46" i="1"/>
  <c r="EP46" i="1" s="1"/>
  <c r="EG47" i="1"/>
  <c r="EP47" i="1" s="1"/>
  <c r="EG48" i="1"/>
  <c r="EP48" i="1" s="1"/>
  <c r="EG49" i="1"/>
  <c r="EP49" i="1" s="1"/>
  <c r="EG50" i="1"/>
  <c r="EP50" i="1" s="1"/>
  <c r="EG51" i="1"/>
  <c r="EP51" i="1" s="1"/>
  <c r="EG52" i="1"/>
  <c r="EP52" i="1" s="1"/>
  <c r="EG53" i="1"/>
  <c r="EP53" i="1" s="1"/>
  <c r="EG54" i="1"/>
  <c r="EP54" i="1" s="1"/>
  <c r="EG55" i="1"/>
  <c r="EP55" i="1" s="1"/>
  <c r="EG56" i="1"/>
  <c r="EP56" i="1" s="1"/>
  <c r="EG57" i="1"/>
  <c r="EP57" i="1" s="1"/>
  <c r="EG58" i="1"/>
  <c r="EP58" i="1" s="1"/>
  <c r="EG59" i="1"/>
  <c r="EP59" i="1" s="1"/>
  <c r="EG60" i="1"/>
  <c r="EP60" i="1" s="1"/>
  <c r="EG61" i="1"/>
  <c r="EP61" i="1" s="1"/>
  <c r="EG62" i="1"/>
  <c r="EP62" i="1" s="1"/>
  <c r="EG63" i="1"/>
  <c r="EP63" i="1" s="1"/>
  <c r="EG64" i="1"/>
  <c r="EP64" i="1" s="1"/>
  <c r="EG65" i="1"/>
  <c r="EP65" i="1" s="1"/>
  <c r="EG66" i="1"/>
  <c r="EP66" i="1" s="1"/>
  <c r="EG121" i="1"/>
  <c r="EP121" i="1" s="1"/>
  <c r="EG68" i="1"/>
  <c r="EP68" i="1" s="1"/>
  <c r="EG69" i="1"/>
  <c r="EP69" i="1" s="1"/>
  <c r="EG155" i="1"/>
  <c r="EP155" i="1" s="1"/>
  <c r="EG71" i="1"/>
  <c r="EP71" i="1" s="1"/>
  <c r="EG72" i="1"/>
  <c r="EP72" i="1" s="1"/>
  <c r="EG73" i="1"/>
  <c r="EP73" i="1" s="1"/>
  <c r="EG74" i="1"/>
  <c r="EP74" i="1" s="1"/>
  <c r="EG75" i="1"/>
  <c r="EP75" i="1" s="1"/>
  <c r="EG76" i="1"/>
  <c r="EP76" i="1" s="1"/>
  <c r="EG77" i="1"/>
  <c r="EP77" i="1" s="1"/>
  <c r="EG78" i="1"/>
  <c r="EP78" i="1" s="1"/>
  <c r="EG79" i="1"/>
  <c r="EP79" i="1" s="1"/>
  <c r="EG80" i="1"/>
  <c r="EP80" i="1" s="1"/>
  <c r="EG81" i="1"/>
  <c r="EP81" i="1" s="1"/>
  <c r="EG82" i="1"/>
  <c r="EP82" i="1" s="1"/>
  <c r="EG83" i="1"/>
  <c r="EP83" i="1" s="1"/>
  <c r="EG84" i="1"/>
  <c r="EP84" i="1" s="1"/>
  <c r="EG85" i="1"/>
  <c r="EP85" i="1" s="1"/>
  <c r="EG86" i="1"/>
  <c r="EP86" i="1" s="1"/>
  <c r="EG87" i="1"/>
  <c r="EP87" i="1" s="1"/>
  <c r="EG88" i="1"/>
  <c r="EP88" i="1" s="1"/>
  <c r="EG114" i="1"/>
  <c r="EP114" i="1" s="1"/>
  <c r="EG186" i="1"/>
  <c r="EP186" i="1" s="1"/>
  <c r="EG91" i="1"/>
  <c r="EP91" i="1" s="1"/>
  <c r="EG92" i="1"/>
  <c r="EP92" i="1" s="1"/>
  <c r="EG93" i="1"/>
  <c r="EP93" i="1" s="1"/>
  <c r="EG94" i="1"/>
  <c r="EP94" i="1" s="1"/>
  <c r="EG95" i="1"/>
  <c r="EP95" i="1" s="1"/>
  <c r="EG96" i="1"/>
  <c r="EP96" i="1" s="1"/>
  <c r="EG97" i="1"/>
  <c r="EP97" i="1" s="1"/>
  <c r="EG98" i="1"/>
  <c r="EP98" i="1" s="1"/>
  <c r="EG99" i="1"/>
  <c r="EP99" i="1" s="1"/>
  <c r="EG100" i="1"/>
  <c r="EP100" i="1" s="1"/>
  <c r="EG101" i="1"/>
  <c r="EP101" i="1" s="1"/>
  <c r="EG102" i="1"/>
  <c r="EP102" i="1" s="1"/>
  <c r="EG103" i="1"/>
  <c r="EP103" i="1" s="1"/>
  <c r="EG104" i="1"/>
  <c r="EP104" i="1" s="1"/>
  <c r="EG105" i="1"/>
  <c r="EP105" i="1" s="1"/>
  <c r="EG106" i="1"/>
  <c r="EP106" i="1" s="1"/>
  <c r="EG107" i="1"/>
  <c r="EP107" i="1" s="1"/>
  <c r="EG108" i="1"/>
  <c r="EP108" i="1" s="1"/>
  <c r="EG109" i="1"/>
  <c r="EP109" i="1" s="1"/>
  <c r="EG110" i="1"/>
  <c r="EP110" i="1" s="1"/>
  <c r="EG111" i="1"/>
  <c r="EP111" i="1" s="1"/>
  <c r="EG112" i="1"/>
  <c r="EP112" i="1" s="1"/>
  <c r="EG113" i="1"/>
  <c r="EP113" i="1" s="1"/>
  <c r="EG153" i="1"/>
  <c r="EP153" i="1" s="1"/>
  <c r="EG115" i="1"/>
  <c r="EP115" i="1" s="1"/>
  <c r="EG116" i="1"/>
  <c r="EP116" i="1" s="1"/>
  <c r="EG117" i="1"/>
  <c r="EP117" i="1" s="1"/>
  <c r="EG118" i="1"/>
  <c r="EP118" i="1" s="1"/>
  <c r="EG119" i="1"/>
  <c r="EP119" i="1" s="1"/>
  <c r="EG67" i="1"/>
  <c r="EP67" i="1" s="1"/>
  <c r="EG70" i="1"/>
  <c r="EP70" i="1" s="1"/>
  <c r="EG122" i="1"/>
  <c r="EP122" i="1" s="1"/>
  <c r="EG123" i="1"/>
  <c r="EP123" i="1" s="1"/>
  <c r="EG124" i="1"/>
  <c r="EP124" i="1" s="1"/>
  <c r="EG125" i="1"/>
  <c r="EP125" i="1" s="1"/>
  <c r="EG126" i="1"/>
  <c r="EP126" i="1" s="1"/>
  <c r="EG127" i="1"/>
  <c r="EP127" i="1" s="1"/>
  <c r="EG128" i="1"/>
  <c r="EP128" i="1" s="1"/>
  <c r="EG129" i="1"/>
  <c r="EP129" i="1" s="1"/>
  <c r="EG130" i="1"/>
  <c r="EP130" i="1" s="1"/>
  <c r="EG131" i="1"/>
  <c r="EP131" i="1" s="1"/>
  <c r="EG132" i="1"/>
  <c r="EP132" i="1" s="1"/>
  <c r="EG133" i="1"/>
  <c r="EP133" i="1" s="1"/>
  <c r="EG134" i="1"/>
  <c r="EP134" i="1" s="1"/>
  <c r="EG135" i="1"/>
  <c r="EP135" i="1" s="1"/>
  <c r="EG136" i="1"/>
  <c r="EP136" i="1" s="1"/>
  <c r="EG137" i="1"/>
  <c r="EP137" i="1" s="1"/>
  <c r="EG138" i="1"/>
  <c r="EP138" i="1" s="1"/>
  <c r="EG139" i="1"/>
  <c r="EP139" i="1" s="1"/>
  <c r="EG140" i="1"/>
  <c r="EP140" i="1" s="1"/>
  <c r="EG141" i="1"/>
  <c r="EP141" i="1" s="1"/>
  <c r="EG142" i="1"/>
  <c r="EP142" i="1" s="1"/>
  <c r="EG143" i="1"/>
  <c r="EP143" i="1" s="1"/>
  <c r="EG144" i="1"/>
  <c r="EP144" i="1" s="1"/>
  <c r="EG145" i="1"/>
  <c r="EP145" i="1" s="1"/>
  <c r="EG146" i="1"/>
  <c r="EP146" i="1" s="1"/>
  <c r="EG147" i="1"/>
  <c r="EP147" i="1" s="1"/>
  <c r="EG148" i="1"/>
  <c r="EP148" i="1" s="1"/>
  <c r="EG149" i="1"/>
  <c r="EP149" i="1" s="1"/>
  <c r="EG150" i="1"/>
  <c r="EP150" i="1" s="1"/>
  <c r="EG151" i="1"/>
  <c r="EP151" i="1" s="1"/>
  <c r="EG152" i="1"/>
  <c r="EP152" i="1" s="1"/>
  <c r="EG120" i="1"/>
  <c r="EP120" i="1" s="1"/>
  <c r="EG154" i="1"/>
  <c r="EP154" i="1" s="1"/>
  <c r="EG89" i="1"/>
  <c r="EP89" i="1" s="1"/>
  <c r="EG156" i="1"/>
  <c r="EP156" i="1" s="1"/>
  <c r="EG157" i="1"/>
  <c r="EP157" i="1" s="1"/>
  <c r="EG158" i="1"/>
  <c r="EP158" i="1" s="1"/>
  <c r="EG159" i="1"/>
  <c r="EP159" i="1" s="1"/>
  <c r="EG160" i="1"/>
  <c r="EP160" i="1" s="1"/>
  <c r="EG161" i="1"/>
  <c r="EP161" i="1" s="1"/>
  <c r="EG162" i="1"/>
  <c r="EP162" i="1" s="1"/>
  <c r="EG163" i="1"/>
  <c r="EP163" i="1" s="1"/>
  <c r="EG164" i="1"/>
  <c r="EP164" i="1" s="1"/>
  <c r="EG165" i="1"/>
  <c r="EP165" i="1" s="1"/>
  <c r="EG166" i="1"/>
  <c r="EP166" i="1" s="1"/>
  <c r="EG167" i="1"/>
  <c r="EP167" i="1" s="1"/>
  <c r="EG168" i="1"/>
  <c r="EP168" i="1" s="1"/>
  <c r="EG169" i="1"/>
  <c r="EP169" i="1" s="1"/>
  <c r="EG170" i="1"/>
  <c r="EP170" i="1" s="1"/>
  <c r="EG171" i="1"/>
  <c r="EP171" i="1" s="1"/>
  <c r="EG172" i="1"/>
  <c r="EP172" i="1" s="1"/>
  <c r="EG173" i="1"/>
  <c r="EP173" i="1" s="1"/>
  <c r="EG174" i="1"/>
  <c r="EP174" i="1" s="1"/>
  <c r="EG175" i="1"/>
  <c r="EP175" i="1" s="1"/>
  <c r="EG176" i="1"/>
  <c r="EP176" i="1" s="1"/>
  <c r="EG177" i="1"/>
  <c r="EP177" i="1" s="1"/>
  <c r="EG178" i="1"/>
  <c r="EP178" i="1" s="1"/>
  <c r="EG179" i="1"/>
  <c r="EP179" i="1" s="1"/>
  <c r="EG180" i="1"/>
  <c r="EP180" i="1" s="1"/>
  <c r="EG181" i="1"/>
  <c r="EP181" i="1" s="1"/>
  <c r="EG182" i="1"/>
  <c r="EP182" i="1" s="1"/>
  <c r="EG183" i="1"/>
  <c r="EP183" i="1" s="1"/>
  <c r="EG184" i="1"/>
  <c r="EP184" i="1" s="1"/>
  <c r="EG185" i="1"/>
  <c r="EP185" i="1" s="1"/>
  <c r="EG19" i="1"/>
  <c r="EP19" i="1" s="1"/>
  <c r="EG187" i="1"/>
  <c r="EP187" i="1" s="1"/>
  <c r="EG188" i="1"/>
  <c r="EP188" i="1" s="1"/>
  <c r="EG189" i="1"/>
  <c r="EP189" i="1" s="1"/>
  <c r="EG190" i="1"/>
  <c r="EP190" i="1" s="1"/>
  <c r="EG191" i="1"/>
  <c r="EP191" i="1" s="1"/>
  <c r="EG192" i="1"/>
  <c r="EP192" i="1" s="1"/>
  <c r="EG193" i="1"/>
  <c r="EP193" i="1" s="1"/>
  <c r="EG194" i="1"/>
  <c r="EP194" i="1" s="1"/>
  <c r="EG195" i="1"/>
  <c r="EP195" i="1" s="1"/>
  <c r="EG196" i="1"/>
  <c r="EP196" i="1" s="1"/>
  <c r="EG197" i="1"/>
  <c r="EP197" i="1" s="1"/>
  <c r="EG198" i="1"/>
  <c r="EP198" i="1" s="1"/>
  <c r="EG199" i="1"/>
  <c r="EP199" i="1" s="1"/>
  <c r="EG200" i="1"/>
  <c r="EP200" i="1" s="1"/>
  <c r="EG201" i="1"/>
  <c r="EP201" i="1" s="1"/>
  <c r="EG202" i="1"/>
  <c r="EP202" i="1" s="1"/>
  <c r="EG203" i="1"/>
  <c r="EP203" i="1" s="1"/>
  <c r="EG204" i="1"/>
  <c r="EP204" i="1" s="1"/>
  <c r="EG205" i="1"/>
  <c r="EP205" i="1" s="1"/>
  <c r="EG206" i="1"/>
  <c r="EP206" i="1" s="1"/>
  <c r="EG207" i="1"/>
  <c r="EP207" i="1" s="1"/>
  <c r="EG208" i="1"/>
  <c r="EP208" i="1" s="1"/>
  <c r="EG209" i="1"/>
  <c r="EP209" i="1" s="1"/>
  <c r="EG210" i="1"/>
  <c r="EP210" i="1" s="1"/>
  <c r="EG211" i="1"/>
  <c r="EP211" i="1" s="1"/>
  <c r="EG212" i="1"/>
  <c r="EP212" i="1" s="1"/>
  <c r="EG213" i="1"/>
  <c r="EP213" i="1" s="1"/>
  <c r="EG214" i="1"/>
  <c r="EP214" i="1" s="1"/>
  <c r="EG215" i="1"/>
  <c r="EP215" i="1" s="1"/>
  <c r="EG216" i="1"/>
  <c r="EP216" i="1" s="1"/>
  <c r="EG217" i="1"/>
  <c r="EP217" i="1" s="1"/>
  <c r="EG218" i="1"/>
  <c r="EP218" i="1" s="1"/>
  <c r="EG219" i="1"/>
  <c r="EP219" i="1" s="1"/>
  <c r="EG220" i="1"/>
  <c r="EP220" i="1" s="1"/>
  <c r="EG221" i="1"/>
  <c r="EP221" i="1" s="1"/>
  <c r="EG222" i="1"/>
  <c r="EP222" i="1" s="1"/>
  <c r="EG223" i="1"/>
  <c r="EP223" i="1" s="1"/>
  <c r="EG224" i="1"/>
  <c r="EP224" i="1" s="1"/>
  <c r="EG225" i="1"/>
  <c r="EP225" i="1" s="1"/>
  <c r="EG226" i="1"/>
  <c r="EP226" i="1" s="1"/>
  <c r="EG227" i="1"/>
  <c r="EP227" i="1" s="1"/>
  <c r="EG228" i="1"/>
  <c r="EP228" i="1" s="1"/>
  <c r="EG229" i="1"/>
  <c r="EP229" i="1" s="1"/>
  <c r="EG230" i="1"/>
  <c r="EP230" i="1" s="1"/>
  <c r="EG231" i="1"/>
  <c r="EP231" i="1" s="1"/>
  <c r="EG232" i="1"/>
  <c r="EP232" i="1" s="1"/>
  <c r="EG233" i="1"/>
  <c r="EP233" i="1" s="1"/>
  <c r="EG234" i="1"/>
  <c r="EP234" i="1" s="1"/>
  <c r="EG235" i="1"/>
  <c r="EP235" i="1" s="1"/>
  <c r="EG236" i="1"/>
  <c r="EP236" i="1" s="1"/>
  <c r="EG237" i="1"/>
  <c r="EP237" i="1" s="1"/>
  <c r="EG238" i="1"/>
  <c r="EP238" i="1" s="1"/>
  <c r="EG239" i="1"/>
  <c r="EP239" i="1" s="1"/>
  <c r="EG240" i="1"/>
  <c r="EP240" i="1" s="1"/>
  <c r="EG241" i="1"/>
  <c r="EP241" i="1" s="1"/>
  <c r="EG242" i="1"/>
  <c r="EP242" i="1" s="1"/>
  <c r="EG243" i="1"/>
  <c r="EP243" i="1" s="1"/>
  <c r="EG244" i="1"/>
  <c r="EP244" i="1" s="1"/>
  <c r="EG245" i="1"/>
  <c r="EP245" i="1" s="1"/>
  <c r="EG246" i="1"/>
  <c r="EP246" i="1" s="1"/>
  <c r="EG247" i="1"/>
  <c r="EP247" i="1" s="1"/>
  <c r="EG248" i="1"/>
  <c r="EP248" i="1" s="1"/>
  <c r="EG249" i="1"/>
  <c r="EP249" i="1" s="1"/>
  <c r="EG250" i="1"/>
  <c r="EP250" i="1" s="1"/>
  <c r="EG251" i="1"/>
  <c r="EP251" i="1" s="1"/>
  <c r="EG252" i="1"/>
  <c r="EP252" i="1" s="1"/>
  <c r="EG253" i="1"/>
  <c r="EP253" i="1" s="1"/>
  <c r="EG254" i="1"/>
  <c r="EP254" i="1" s="1"/>
  <c r="EG255" i="1"/>
  <c r="EP255" i="1" s="1"/>
  <c r="EG256" i="1"/>
  <c r="EP256" i="1" s="1"/>
  <c r="EG257" i="1"/>
  <c r="EP257" i="1" s="1"/>
  <c r="EG258" i="1"/>
  <c r="EP258" i="1" s="1"/>
  <c r="EG259" i="1"/>
  <c r="EP259" i="1" s="1"/>
  <c r="EG260" i="1"/>
  <c r="EP260" i="1" s="1"/>
  <c r="EG261" i="1"/>
  <c r="EP261" i="1" s="1"/>
  <c r="EG262" i="1"/>
  <c r="EP262" i="1" s="1"/>
  <c r="EG263" i="1"/>
  <c r="EP263" i="1" s="1"/>
  <c r="EG264" i="1"/>
  <c r="EP264" i="1" s="1"/>
  <c r="EG265" i="1"/>
  <c r="EP265" i="1" s="1"/>
  <c r="EG266" i="1"/>
  <c r="EP266" i="1" s="1"/>
  <c r="EG267" i="1"/>
  <c r="EP267" i="1" s="1"/>
  <c r="EG268" i="1"/>
  <c r="EP268" i="1" s="1"/>
  <c r="EG269" i="1"/>
  <c r="EP269" i="1" s="1"/>
  <c r="EG270" i="1"/>
  <c r="EP270" i="1" s="1"/>
  <c r="EG271" i="1"/>
  <c r="EP271" i="1" s="1"/>
  <c r="EW7" i="1"/>
  <c r="EW8" i="1"/>
  <c r="EW9" i="1"/>
  <c r="EW10" i="1"/>
  <c r="EW11" i="1"/>
  <c r="EW12" i="1"/>
  <c r="EW13" i="1"/>
  <c r="EW14" i="1"/>
  <c r="EW15" i="1"/>
  <c r="EW16" i="1"/>
  <c r="EW17" i="1"/>
  <c r="EW18" i="1"/>
  <c r="EW90" i="1"/>
  <c r="EW20" i="1"/>
  <c r="EW21" i="1"/>
  <c r="EW22" i="1"/>
  <c r="EW23" i="1"/>
  <c r="EW24" i="1"/>
  <c r="EW25" i="1"/>
  <c r="EW26" i="1"/>
  <c r="EW27" i="1"/>
  <c r="EW28" i="1"/>
  <c r="EW29" i="1"/>
  <c r="EW30" i="1"/>
  <c r="EW31" i="1"/>
  <c r="EW32" i="1"/>
  <c r="EW33" i="1"/>
  <c r="EW34" i="1"/>
  <c r="EW35" i="1"/>
  <c r="EW36" i="1"/>
  <c r="EW37" i="1"/>
  <c r="EW38" i="1"/>
  <c r="EW39" i="1"/>
  <c r="EW40" i="1"/>
  <c r="EW41" i="1"/>
  <c r="EW42" i="1"/>
  <c r="EW43" i="1"/>
  <c r="EW44" i="1"/>
  <c r="EW45" i="1"/>
  <c r="EW46" i="1"/>
  <c r="EW47" i="1"/>
  <c r="EW48" i="1"/>
  <c r="EW49" i="1"/>
  <c r="EW50" i="1"/>
  <c r="EW51" i="1"/>
  <c r="EW52" i="1"/>
  <c r="EW53" i="1"/>
  <c r="EW54" i="1"/>
  <c r="EW55" i="1"/>
  <c r="EW56" i="1"/>
  <c r="EW57" i="1"/>
  <c r="EW58" i="1"/>
  <c r="EW59" i="1"/>
  <c r="EW60" i="1"/>
  <c r="EW61" i="1"/>
  <c r="EW62" i="1"/>
  <c r="EW63" i="1"/>
  <c r="EW64" i="1"/>
  <c r="EW65" i="1"/>
  <c r="EW66" i="1"/>
  <c r="EW121" i="1"/>
  <c r="EW68" i="1"/>
  <c r="EW69" i="1"/>
  <c r="EW155" i="1"/>
  <c r="EW71" i="1"/>
  <c r="EW72" i="1"/>
  <c r="EW73" i="1"/>
  <c r="EW74" i="1"/>
  <c r="EW75" i="1"/>
  <c r="EW76" i="1"/>
  <c r="EW77" i="1"/>
  <c r="EW78" i="1"/>
  <c r="EW79" i="1"/>
  <c r="EW80" i="1"/>
  <c r="EW81" i="1"/>
  <c r="EW82" i="1"/>
  <c r="EW83" i="1"/>
  <c r="EW84" i="1"/>
  <c r="EW85" i="1"/>
  <c r="EW86" i="1"/>
  <c r="EW87" i="1"/>
  <c r="EW88" i="1"/>
  <c r="EW114" i="1"/>
  <c r="EW186" i="1"/>
  <c r="EW91" i="1"/>
  <c r="EW92" i="1"/>
  <c r="EW93" i="1"/>
  <c r="EW94" i="1"/>
  <c r="EW95" i="1"/>
  <c r="EW96" i="1"/>
  <c r="EW97" i="1"/>
  <c r="EW98" i="1"/>
  <c r="EW99" i="1"/>
  <c r="EW100" i="1"/>
  <c r="EW101" i="1"/>
  <c r="EW102" i="1"/>
  <c r="EW103" i="1"/>
  <c r="EW104" i="1"/>
  <c r="EW105" i="1"/>
  <c r="EW106" i="1"/>
  <c r="EW107" i="1"/>
  <c r="EW108" i="1"/>
  <c r="EW109" i="1"/>
  <c r="EW110" i="1"/>
  <c r="EW111" i="1"/>
  <c r="EW112" i="1"/>
  <c r="EW113" i="1"/>
  <c r="EW153" i="1"/>
  <c r="EW115" i="1"/>
  <c r="EW116" i="1"/>
  <c r="EW117" i="1"/>
  <c r="EW118" i="1"/>
  <c r="EW119" i="1"/>
  <c r="EW67" i="1"/>
  <c r="EW70" i="1"/>
  <c r="EW122" i="1"/>
  <c r="EW123" i="1"/>
  <c r="EW124" i="1"/>
  <c r="EW125" i="1"/>
  <c r="EW126" i="1"/>
  <c r="EW127" i="1"/>
  <c r="EW128" i="1"/>
  <c r="EW129" i="1"/>
  <c r="EW130" i="1"/>
  <c r="EW131" i="1"/>
  <c r="EW132" i="1"/>
  <c r="EW133" i="1"/>
  <c r="EW134" i="1"/>
  <c r="EW135" i="1"/>
  <c r="EW136" i="1"/>
  <c r="EW137" i="1"/>
  <c r="EW138" i="1"/>
  <c r="EW139" i="1"/>
  <c r="EW140" i="1"/>
  <c r="EW141" i="1"/>
  <c r="EW142" i="1"/>
  <c r="EW143" i="1"/>
  <c r="EW144" i="1"/>
  <c r="EW145" i="1"/>
  <c r="EW146" i="1"/>
  <c r="EW147" i="1"/>
  <c r="EW148" i="1"/>
  <c r="EW149" i="1"/>
  <c r="EW150" i="1"/>
  <c r="EW151" i="1"/>
  <c r="EW152" i="1"/>
  <c r="EW120" i="1"/>
  <c r="EW154" i="1"/>
  <c r="EW89" i="1"/>
  <c r="EW156" i="1"/>
  <c r="EW157" i="1"/>
  <c r="EW158" i="1"/>
  <c r="EW159" i="1"/>
  <c r="EW160" i="1"/>
  <c r="EW161" i="1"/>
  <c r="EW162" i="1"/>
  <c r="EW163" i="1"/>
  <c r="EW164" i="1"/>
  <c r="EW165" i="1"/>
  <c r="EW166" i="1"/>
  <c r="EW167" i="1"/>
  <c r="EW168" i="1"/>
  <c r="EW169" i="1"/>
  <c r="EW170" i="1"/>
  <c r="EW171" i="1"/>
  <c r="EW172" i="1"/>
  <c r="EW173" i="1"/>
  <c r="EW174" i="1"/>
  <c r="EW175" i="1"/>
  <c r="EW176" i="1"/>
  <c r="EW177" i="1"/>
  <c r="EW178" i="1"/>
  <c r="EW179" i="1"/>
  <c r="EW180" i="1"/>
  <c r="EW181" i="1"/>
  <c r="EW182" i="1"/>
  <c r="EW183" i="1"/>
  <c r="EW184" i="1"/>
  <c r="EW185" i="1"/>
  <c r="EW19" i="1"/>
  <c r="EW187" i="1"/>
  <c r="EW188" i="1"/>
  <c r="EW189" i="1"/>
  <c r="EW190" i="1"/>
  <c r="EW191" i="1"/>
  <c r="EW192" i="1"/>
  <c r="EW193" i="1"/>
  <c r="EW194" i="1"/>
  <c r="EW195" i="1"/>
  <c r="EW196" i="1"/>
  <c r="EW197" i="1"/>
  <c r="EW198" i="1"/>
  <c r="EW199" i="1"/>
  <c r="EW200" i="1"/>
  <c r="EW201" i="1"/>
  <c r="EW202" i="1"/>
  <c r="EW203" i="1"/>
  <c r="EW204" i="1"/>
  <c r="EW205" i="1"/>
  <c r="EW206" i="1"/>
  <c r="EW207" i="1"/>
  <c r="EW208" i="1"/>
  <c r="EW209" i="1"/>
  <c r="EW210" i="1"/>
  <c r="EW211" i="1"/>
  <c r="EW212" i="1"/>
  <c r="EW213" i="1"/>
  <c r="EW214" i="1"/>
  <c r="EW215" i="1"/>
  <c r="EW216" i="1"/>
  <c r="EW217" i="1"/>
  <c r="EW218" i="1"/>
  <c r="EW219" i="1"/>
  <c r="EW220" i="1"/>
  <c r="EW221" i="1"/>
  <c r="EW222" i="1"/>
  <c r="EW223" i="1"/>
  <c r="EW224" i="1"/>
  <c r="EW225" i="1"/>
  <c r="EW226" i="1"/>
  <c r="EW227" i="1"/>
  <c r="EW228" i="1"/>
  <c r="EW229" i="1"/>
  <c r="EW230" i="1"/>
  <c r="EW231" i="1"/>
  <c r="EW232" i="1"/>
  <c r="EW233" i="1"/>
  <c r="EW234" i="1"/>
  <c r="EW235" i="1"/>
  <c r="EW236" i="1"/>
  <c r="EW237" i="1"/>
  <c r="EW238" i="1"/>
  <c r="EW239" i="1"/>
  <c r="EW240" i="1"/>
  <c r="EW241" i="1"/>
  <c r="EW242" i="1"/>
  <c r="EW243" i="1"/>
  <c r="EW244" i="1"/>
  <c r="EW245" i="1"/>
  <c r="EW246" i="1"/>
  <c r="EW247" i="1"/>
  <c r="EW248" i="1"/>
  <c r="EW249" i="1"/>
  <c r="EW250" i="1"/>
  <c r="EW251" i="1"/>
  <c r="EW252" i="1"/>
  <c r="EW253" i="1"/>
  <c r="EW254" i="1"/>
  <c r="EW255" i="1"/>
  <c r="EW256" i="1"/>
  <c r="EW257" i="1"/>
  <c r="EW258" i="1"/>
  <c r="EW259" i="1"/>
  <c r="EW260" i="1"/>
  <c r="EW261" i="1"/>
  <c r="EW262" i="1"/>
  <c r="EW263" i="1"/>
  <c r="EW264" i="1"/>
  <c r="EW265" i="1"/>
  <c r="EW266" i="1"/>
  <c r="EW267" i="1"/>
  <c r="EW268" i="1"/>
  <c r="EW269" i="1"/>
  <c r="EW270" i="1"/>
  <c r="EW271" i="1"/>
  <c r="EQ6" i="1"/>
  <c r="EQ7" i="1"/>
  <c r="EQ8" i="1"/>
  <c r="EQ9" i="1"/>
  <c r="EQ10" i="1"/>
  <c r="EQ11" i="1"/>
  <c r="EQ12" i="1"/>
  <c r="EQ13" i="1"/>
  <c r="EQ14" i="1"/>
  <c r="EQ15" i="1"/>
  <c r="EQ16" i="1"/>
  <c r="EQ17" i="1"/>
  <c r="EQ18" i="1"/>
  <c r="EQ90" i="1"/>
  <c r="EQ20" i="1"/>
  <c r="EQ21" i="1"/>
  <c r="EQ22" i="1"/>
  <c r="EQ23" i="1"/>
  <c r="EQ24" i="1"/>
  <c r="EQ25" i="1"/>
  <c r="EQ26" i="1"/>
  <c r="EQ27" i="1"/>
  <c r="EQ28" i="1"/>
  <c r="EQ29" i="1"/>
  <c r="EQ30" i="1"/>
  <c r="EQ31" i="1"/>
  <c r="EQ32" i="1"/>
  <c r="EQ33" i="1"/>
  <c r="EQ34" i="1"/>
  <c r="EQ35" i="1"/>
  <c r="EQ36" i="1"/>
  <c r="EQ37" i="1"/>
  <c r="EQ38" i="1"/>
  <c r="EQ39" i="1"/>
  <c r="EQ40" i="1"/>
  <c r="EQ41" i="1"/>
  <c r="EQ42" i="1"/>
  <c r="EQ43" i="1"/>
  <c r="EQ44" i="1"/>
  <c r="EQ45" i="1"/>
  <c r="EQ46" i="1"/>
  <c r="EQ47" i="1"/>
  <c r="EQ48" i="1"/>
  <c r="EQ49" i="1"/>
  <c r="EQ50" i="1"/>
  <c r="EQ51" i="1"/>
  <c r="EQ52" i="1"/>
  <c r="EQ53" i="1"/>
  <c r="EQ54" i="1"/>
  <c r="EQ55" i="1"/>
  <c r="EQ56" i="1"/>
  <c r="EQ57" i="1"/>
  <c r="EQ58" i="1"/>
  <c r="EQ59" i="1"/>
  <c r="EQ60" i="1"/>
  <c r="EQ61" i="1"/>
  <c r="EQ62" i="1"/>
  <c r="EQ63" i="1"/>
  <c r="EQ64" i="1"/>
  <c r="EQ65" i="1"/>
  <c r="EQ66" i="1"/>
  <c r="EQ121" i="1"/>
  <c r="EQ68" i="1"/>
  <c r="EQ69" i="1"/>
  <c r="EQ155" i="1"/>
  <c r="EQ71" i="1"/>
  <c r="EQ72" i="1"/>
  <c r="EQ73" i="1"/>
  <c r="EQ74" i="1"/>
  <c r="EQ75" i="1"/>
  <c r="EQ76" i="1"/>
  <c r="EQ77" i="1"/>
  <c r="EQ78" i="1"/>
  <c r="EQ79" i="1"/>
  <c r="EQ80" i="1"/>
  <c r="EQ81" i="1"/>
  <c r="EQ82" i="1"/>
  <c r="EQ83" i="1"/>
  <c r="EQ84" i="1"/>
  <c r="EQ85" i="1"/>
  <c r="EQ86" i="1"/>
  <c r="EQ87" i="1"/>
  <c r="EQ88" i="1"/>
  <c r="EQ114" i="1"/>
  <c r="EQ186" i="1"/>
  <c r="EQ91" i="1"/>
  <c r="EQ92" i="1"/>
  <c r="EQ93" i="1"/>
  <c r="EQ94" i="1"/>
  <c r="EQ95" i="1"/>
  <c r="EQ96" i="1"/>
  <c r="EQ97" i="1"/>
  <c r="EQ98" i="1"/>
  <c r="EQ99" i="1"/>
  <c r="EQ100" i="1"/>
  <c r="EQ101" i="1"/>
  <c r="EQ102" i="1"/>
  <c r="EQ103" i="1"/>
  <c r="EQ104" i="1"/>
  <c r="EQ105" i="1"/>
  <c r="EQ106" i="1"/>
  <c r="EQ107" i="1"/>
  <c r="EQ108" i="1"/>
  <c r="EQ109" i="1"/>
  <c r="EQ110" i="1"/>
  <c r="EQ111" i="1"/>
  <c r="EQ112" i="1"/>
  <c r="EQ113" i="1"/>
  <c r="EQ153" i="1"/>
  <c r="EQ115" i="1"/>
  <c r="EQ116" i="1"/>
  <c r="EQ117" i="1"/>
  <c r="EQ118" i="1"/>
  <c r="EQ119" i="1"/>
  <c r="EQ67" i="1"/>
  <c r="EQ70" i="1"/>
  <c r="EQ122" i="1"/>
  <c r="EQ123" i="1"/>
  <c r="EQ124" i="1"/>
  <c r="EQ125" i="1"/>
  <c r="EQ126" i="1"/>
  <c r="EQ127" i="1"/>
  <c r="EQ128" i="1"/>
  <c r="EQ129" i="1"/>
  <c r="EQ130" i="1"/>
  <c r="EQ131" i="1"/>
  <c r="EQ132" i="1"/>
  <c r="EQ133" i="1"/>
  <c r="EQ134" i="1"/>
  <c r="EQ135" i="1"/>
  <c r="EQ136" i="1"/>
  <c r="EQ137" i="1"/>
  <c r="EQ138" i="1"/>
  <c r="EQ139" i="1"/>
  <c r="EQ140" i="1"/>
  <c r="EQ141" i="1"/>
  <c r="EQ142" i="1"/>
  <c r="EQ143" i="1"/>
  <c r="EQ144" i="1"/>
  <c r="EQ145" i="1"/>
  <c r="EQ146" i="1"/>
  <c r="EQ147" i="1"/>
  <c r="EQ148" i="1"/>
  <c r="EQ149" i="1"/>
  <c r="EQ150" i="1"/>
  <c r="EQ151" i="1"/>
  <c r="EQ152" i="1"/>
  <c r="EQ120" i="1"/>
  <c r="EQ154" i="1"/>
  <c r="EQ89" i="1"/>
  <c r="EQ156" i="1"/>
  <c r="EQ157" i="1"/>
  <c r="EQ158" i="1"/>
  <c r="EQ159" i="1"/>
  <c r="EQ160" i="1"/>
  <c r="EQ161" i="1"/>
  <c r="EQ162" i="1"/>
  <c r="EQ163" i="1"/>
  <c r="EQ164" i="1"/>
  <c r="EQ165" i="1"/>
  <c r="EQ166" i="1"/>
  <c r="EQ167" i="1"/>
  <c r="EQ168" i="1"/>
  <c r="EQ169" i="1"/>
  <c r="EQ170" i="1"/>
  <c r="EQ171" i="1"/>
  <c r="EQ172" i="1"/>
  <c r="EQ173" i="1"/>
  <c r="EQ174" i="1"/>
  <c r="EQ175" i="1"/>
  <c r="EQ176" i="1"/>
  <c r="EQ177" i="1"/>
  <c r="EQ178" i="1"/>
  <c r="EQ179" i="1"/>
  <c r="EQ180" i="1"/>
  <c r="EQ181" i="1"/>
  <c r="EQ182" i="1"/>
  <c r="EQ183" i="1"/>
  <c r="EQ184" i="1"/>
  <c r="EQ185" i="1"/>
  <c r="EQ19" i="1"/>
  <c r="EQ187" i="1"/>
  <c r="EQ188" i="1"/>
  <c r="EQ189" i="1"/>
  <c r="EQ190" i="1"/>
  <c r="EQ191" i="1"/>
  <c r="EQ192" i="1"/>
  <c r="EQ193" i="1"/>
  <c r="EQ194" i="1"/>
  <c r="EQ195" i="1"/>
  <c r="EQ196" i="1"/>
  <c r="EQ197" i="1"/>
  <c r="EQ198" i="1"/>
  <c r="EQ199" i="1"/>
  <c r="EQ200" i="1"/>
  <c r="EQ201" i="1"/>
  <c r="EQ202" i="1"/>
  <c r="EQ203" i="1"/>
  <c r="EQ204" i="1"/>
  <c r="EQ205" i="1"/>
  <c r="EQ206" i="1"/>
  <c r="EQ207" i="1"/>
  <c r="EQ208" i="1"/>
  <c r="EQ209" i="1"/>
  <c r="EQ210" i="1"/>
  <c r="EQ211" i="1"/>
  <c r="EQ212" i="1"/>
  <c r="EQ213" i="1"/>
  <c r="EQ214" i="1"/>
  <c r="EQ215" i="1"/>
  <c r="EQ216" i="1"/>
  <c r="EQ217" i="1"/>
  <c r="EQ218" i="1"/>
  <c r="EQ219" i="1"/>
  <c r="EQ220" i="1"/>
  <c r="EQ221" i="1"/>
  <c r="EQ222" i="1"/>
  <c r="EQ223" i="1"/>
  <c r="EQ224" i="1"/>
  <c r="EQ225" i="1"/>
  <c r="EQ226" i="1"/>
  <c r="EQ227" i="1"/>
  <c r="EQ228" i="1"/>
  <c r="EQ229" i="1"/>
  <c r="EQ230" i="1"/>
  <c r="EQ231" i="1"/>
  <c r="EQ232" i="1"/>
  <c r="EQ233" i="1"/>
  <c r="EQ234" i="1"/>
  <c r="EQ235" i="1"/>
  <c r="EQ236" i="1"/>
  <c r="EQ237" i="1"/>
  <c r="EQ238" i="1"/>
  <c r="EQ239" i="1"/>
  <c r="EQ240" i="1"/>
  <c r="EQ241" i="1"/>
  <c r="EQ242" i="1"/>
  <c r="EQ243" i="1"/>
  <c r="EQ244" i="1"/>
  <c r="EQ245" i="1"/>
  <c r="EQ246" i="1"/>
  <c r="EQ247" i="1"/>
  <c r="EQ248" i="1"/>
  <c r="EQ249" i="1"/>
  <c r="EQ250" i="1"/>
  <c r="EQ251" i="1"/>
  <c r="EQ252" i="1"/>
  <c r="EQ253" i="1"/>
  <c r="EQ254" i="1"/>
  <c r="EQ255" i="1"/>
  <c r="EQ256" i="1"/>
  <c r="EQ257" i="1"/>
  <c r="EQ258" i="1"/>
  <c r="EQ259" i="1"/>
  <c r="EQ260" i="1"/>
  <c r="EQ261" i="1"/>
  <c r="EQ262" i="1"/>
  <c r="EQ263" i="1"/>
  <c r="EQ264" i="1"/>
  <c r="EQ265" i="1"/>
  <c r="EQ266" i="1"/>
  <c r="EQ267" i="1"/>
  <c r="EQ268" i="1"/>
  <c r="EQ269" i="1"/>
  <c r="EQ270" i="1"/>
  <c r="EQ271" i="1"/>
  <c r="EZ6" i="1"/>
  <c r="EZ7" i="1"/>
  <c r="EZ8" i="1"/>
  <c r="EZ9" i="1"/>
  <c r="EZ10" i="1"/>
  <c r="EZ11" i="1"/>
  <c r="EZ12" i="1"/>
  <c r="EZ13" i="1"/>
  <c r="EZ14" i="1"/>
  <c r="EZ15" i="1"/>
  <c r="EZ16" i="1"/>
  <c r="EZ17" i="1"/>
  <c r="EZ18" i="1"/>
  <c r="EZ90" i="1"/>
  <c r="EZ20" i="1"/>
  <c r="EZ21" i="1"/>
  <c r="EZ22" i="1"/>
  <c r="EZ23" i="1"/>
  <c r="EZ24" i="1"/>
  <c r="EZ25" i="1"/>
  <c r="EZ26" i="1"/>
  <c r="EZ27" i="1"/>
  <c r="EZ28" i="1"/>
  <c r="EZ29" i="1"/>
  <c r="EZ30" i="1"/>
  <c r="EZ31" i="1"/>
  <c r="EZ32" i="1"/>
  <c r="EZ33" i="1"/>
  <c r="EZ34" i="1"/>
  <c r="EZ35" i="1"/>
  <c r="EZ36" i="1"/>
  <c r="EZ37" i="1"/>
  <c r="EZ38" i="1"/>
  <c r="EZ39" i="1"/>
  <c r="EZ40" i="1"/>
  <c r="EZ41" i="1"/>
  <c r="EZ42" i="1"/>
  <c r="EZ43" i="1"/>
  <c r="EZ44" i="1"/>
  <c r="EZ45" i="1"/>
  <c r="EZ46" i="1"/>
  <c r="EZ47" i="1"/>
  <c r="EZ48" i="1"/>
  <c r="EZ49" i="1"/>
  <c r="EZ50" i="1"/>
  <c r="EZ51" i="1"/>
  <c r="EZ52" i="1"/>
  <c r="EZ53" i="1"/>
  <c r="EZ54" i="1"/>
  <c r="EZ55" i="1"/>
  <c r="EZ56" i="1"/>
  <c r="EZ57" i="1"/>
  <c r="EZ58" i="1"/>
  <c r="EZ59" i="1"/>
  <c r="EZ60" i="1"/>
  <c r="EZ61" i="1"/>
  <c r="EZ62" i="1"/>
  <c r="EZ63" i="1"/>
  <c r="EZ64" i="1"/>
  <c r="EZ65" i="1"/>
  <c r="EZ66" i="1"/>
  <c r="EZ121" i="1"/>
  <c r="EZ68" i="1"/>
  <c r="EZ69" i="1"/>
  <c r="EZ155" i="1"/>
  <c r="EZ71" i="1"/>
  <c r="EZ72" i="1"/>
  <c r="EZ73" i="1"/>
  <c r="EZ74" i="1"/>
  <c r="EZ75" i="1"/>
  <c r="EZ76" i="1"/>
  <c r="EZ77" i="1"/>
  <c r="EZ78" i="1"/>
  <c r="EZ79" i="1"/>
  <c r="EZ80" i="1"/>
  <c r="EZ81" i="1"/>
  <c r="EZ82" i="1"/>
  <c r="EZ83" i="1"/>
  <c r="EZ84" i="1"/>
  <c r="EZ85" i="1"/>
  <c r="EZ86" i="1"/>
  <c r="EZ87" i="1"/>
  <c r="EZ88" i="1"/>
  <c r="EZ114" i="1"/>
  <c r="EZ186" i="1"/>
  <c r="EZ91" i="1"/>
  <c r="EZ92" i="1"/>
  <c r="EZ93" i="1"/>
  <c r="EZ94" i="1"/>
  <c r="EZ95" i="1"/>
  <c r="EZ96" i="1"/>
  <c r="EZ97" i="1"/>
  <c r="EZ98" i="1"/>
  <c r="EZ99" i="1"/>
  <c r="EZ100" i="1"/>
  <c r="EZ101" i="1"/>
  <c r="EZ102" i="1"/>
  <c r="EZ103" i="1"/>
  <c r="EZ104" i="1"/>
  <c r="EZ105" i="1"/>
  <c r="EZ106" i="1"/>
  <c r="EZ107" i="1"/>
  <c r="EZ108" i="1"/>
  <c r="EZ109" i="1"/>
  <c r="EZ110" i="1"/>
  <c r="EZ111" i="1"/>
  <c r="EZ112" i="1"/>
  <c r="EZ113" i="1"/>
  <c r="EZ153" i="1"/>
  <c r="EZ115" i="1"/>
  <c r="EZ116" i="1"/>
  <c r="EZ117" i="1"/>
  <c r="EZ118" i="1"/>
  <c r="EZ119" i="1"/>
  <c r="EZ67" i="1"/>
  <c r="EZ70" i="1"/>
  <c r="EZ122" i="1"/>
  <c r="EZ123" i="1"/>
  <c r="EZ124" i="1"/>
  <c r="EZ125" i="1"/>
  <c r="EZ126" i="1"/>
  <c r="EZ127" i="1"/>
  <c r="EZ128" i="1"/>
  <c r="EZ129" i="1"/>
  <c r="EZ130" i="1"/>
  <c r="EZ131" i="1"/>
  <c r="EZ132" i="1"/>
  <c r="EZ133" i="1"/>
  <c r="EZ134" i="1"/>
  <c r="EZ135" i="1"/>
  <c r="EZ136" i="1"/>
  <c r="EZ137" i="1"/>
  <c r="EZ138" i="1"/>
  <c r="EZ139" i="1"/>
  <c r="EZ140" i="1"/>
  <c r="EZ141" i="1"/>
  <c r="EZ142" i="1"/>
  <c r="EZ143" i="1"/>
  <c r="EZ144" i="1"/>
  <c r="EZ145" i="1"/>
  <c r="EZ146" i="1"/>
  <c r="EZ147" i="1"/>
  <c r="EZ148" i="1"/>
  <c r="EZ149" i="1"/>
  <c r="EZ150" i="1"/>
  <c r="EZ151" i="1"/>
  <c r="EZ152" i="1"/>
  <c r="EZ120" i="1"/>
  <c r="EZ154" i="1"/>
  <c r="EZ89" i="1"/>
  <c r="EZ156" i="1"/>
  <c r="EZ157" i="1"/>
  <c r="EZ158" i="1"/>
  <c r="EZ159" i="1"/>
  <c r="EZ160" i="1"/>
  <c r="EZ161" i="1"/>
  <c r="EZ162" i="1"/>
  <c r="EZ163" i="1"/>
  <c r="EZ164" i="1"/>
  <c r="EZ165" i="1"/>
  <c r="EZ166" i="1"/>
  <c r="EZ167" i="1"/>
  <c r="EZ168" i="1"/>
  <c r="EZ169" i="1"/>
  <c r="EZ170" i="1"/>
  <c r="EZ171" i="1"/>
  <c r="EZ172" i="1"/>
  <c r="EZ173" i="1"/>
  <c r="EZ174" i="1"/>
  <c r="EZ175" i="1"/>
  <c r="EZ176" i="1"/>
  <c r="EZ177" i="1"/>
  <c r="EZ178" i="1"/>
  <c r="EZ179" i="1"/>
  <c r="EZ180" i="1"/>
  <c r="EZ181" i="1"/>
  <c r="EZ182" i="1"/>
  <c r="EZ183" i="1"/>
  <c r="EZ184" i="1"/>
  <c r="EZ185" i="1"/>
  <c r="EZ19" i="1"/>
  <c r="EZ187" i="1"/>
  <c r="EZ188" i="1"/>
  <c r="EZ189" i="1"/>
  <c r="EZ190" i="1"/>
  <c r="EZ191" i="1"/>
  <c r="EZ192" i="1"/>
  <c r="EZ193" i="1"/>
  <c r="EZ194" i="1"/>
  <c r="EZ195" i="1"/>
  <c r="EZ196" i="1"/>
  <c r="EZ197" i="1"/>
  <c r="EZ198" i="1"/>
  <c r="EZ199" i="1"/>
  <c r="EZ200" i="1"/>
  <c r="EZ201" i="1"/>
  <c r="EZ202" i="1"/>
  <c r="EZ203" i="1"/>
  <c r="EZ204" i="1"/>
  <c r="EZ205" i="1"/>
  <c r="EZ206" i="1"/>
  <c r="EZ207" i="1"/>
  <c r="EZ208" i="1"/>
  <c r="EZ209" i="1"/>
  <c r="EZ210" i="1"/>
  <c r="EZ211" i="1"/>
  <c r="EZ212" i="1"/>
  <c r="EZ213" i="1"/>
  <c r="EZ214" i="1"/>
  <c r="EZ215" i="1"/>
  <c r="EZ216" i="1"/>
  <c r="EZ217" i="1"/>
  <c r="EZ218" i="1"/>
  <c r="EZ219" i="1"/>
  <c r="EZ220" i="1"/>
  <c r="EZ221" i="1"/>
  <c r="EZ222" i="1"/>
  <c r="EZ223" i="1"/>
  <c r="EZ224" i="1"/>
  <c r="EZ225" i="1"/>
  <c r="EZ226" i="1"/>
  <c r="EZ227" i="1"/>
  <c r="EZ228" i="1"/>
  <c r="EZ229" i="1"/>
  <c r="EZ230" i="1"/>
  <c r="EZ231" i="1"/>
  <c r="EZ232" i="1"/>
  <c r="EZ233" i="1"/>
  <c r="EZ234" i="1"/>
  <c r="EZ235" i="1"/>
  <c r="EZ236" i="1"/>
  <c r="EZ237" i="1"/>
  <c r="EZ238" i="1"/>
  <c r="EZ239" i="1"/>
  <c r="EZ240" i="1"/>
  <c r="EZ241" i="1"/>
  <c r="EZ242" i="1"/>
  <c r="EZ243" i="1"/>
  <c r="EZ244" i="1"/>
  <c r="EZ245" i="1"/>
  <c r="EZ246" i="1"/>
  <c r="EZ247" i="1"/>
  <c r="EZ248" i="1"/>
  <c r="EZ249" i="1"/>
  <c r="EZ250" i="1"/>
  <c r="EZ251" i="1"/>
  <c r="EZ252" i="1"/>
  <c r="EZ253" i="1"/>
  <c r="EZ254" i="1"/>
  <c r="EZ255" i="1"/>
  <c r="EZ256" i="1"/>
  <c r="EZ257" i="1"/>
  <c r="EZ258" i="1"/>
  <c r="EZ259" i="1"/>
  <c r="EZ260" i="1"/>
  <c r="EZ261" i="1"/>
  <c r="EZ262" i="1"/>
  <c r="EZ263" i="1"/>
  <c r="EZ264" i="1"/>
  <c r="EZ265" i="1"/>
  <c r="EZ266" i="1"/>
  <c r="EZ267" i="1"/>
  <c r="EZ268" i="1"/>
  <c r="EZ269" i="1"/>
  <c r="EZ270" i="1"/>
  <c r="EZ271" i="1"/>
  <c r="EY7" i="1"/>
  <c r="EY8" i="1"/>
  <c r="EY9" i="1"/>
  <c r="EY10" i="1"/>
  <c r="EY11" i="1"/>
  <c r="EY12" i="1"/>
  <c r="EY13" i="1"/>
  <c r="EY14" i="1"/>
  <c r="EY15" i="1"/>
  <c r="EY16" i="1"/>
  <c r="EY17" i="1"/>
  <c r="EY18" i="1"/>
  <c r="EY90" i="1"/>
  <c r="EY20" i="1"/>
  <c r="EY21" i="1"/>
  <c r="EY22" i="1"/>
  <c r="EY23" i="1"/>
  <c r="EY24" i="1"/>
  <c r="EY25" i="1"/>
  <c r="EY26" i="1"/>
  <c r="EY27" i="1"/>
  <c r="EY28" i="1"/>
  <c r="EY29" i="1"/>
  <c r="EY30" i="1"/>
  <c r="EY31" i="1"/>
  <c r="EY32" i="1"/>
  <c r="EY33" i="1"/>
  <c r="EY34" i="1"/>
  <c r="EY35" i="1"/>
  <c r="EY36" i="1"/>
  <c r="EY37" i="1"/>
  <c r="EY38" i="1"/>
  <c r="EY39" i="1"/>
  <c r="EY40" i="1"/>
  <c r="EY41" i="1"/>
  <c r="EY42" i="1"/>
  <c r="EY43" i="1"/>
  <c r="EY44" i="1"/>
  <c r="EY45" i="1"/>
  <c r="EY46" i="1"/>
  <c r="EY47" i="1"/>
  <c r="EY48" i="1"/>
  <c r="EY49" i="1"/>
  <c r="EY50" i="1"/>
  <c r="EY51" i="1"/>
  <c r="EY52" i="1"/>
  <c r="EY53" i="1"/>
  <c r="EY54" i="1"/>
  <c r="EY55" i="1"/>
  <c r="EY56" i="1"/>
  <c r="EY57" i="1"/>
  <c r="EY58" i="1"/>
  <c r="EY59" i="1"/>
  <c r="EY60" i="1"/>
  <c r="EY61" i="1"/>
  <c r="EY62" i="1"/>
  <c r="EY63" i="1"/>
  <c r="EY64" i="1"/>
  <c r="EY65" i="1"/>
  <c r="EY66" i="1"/>
  <c r="EY121" i="1"/>
  <c r="EY68" i="1"/>
  <c r="EY69" i="1"/>
  <c r="EY155" i="1"/>
  <c r="EY71" i="1"/>
  <c r="EY72" i="1"/>
  <c r="EY73" i="1"/>
  <c r="EY74" i="1"/>
  <c r="EY75" i="1"/>
  <c r="EY76" i="1"/>
  <c r="EY77" i="1"/>
  <c r="EY78" i="1"/>
  <c r="EY79" i="1"/>
  <c r="EY80" i="1"/>
  <c r="EY81" i="1"/>
  <c r="EY82" i="1"/>
  <c r="EY83" i="1"/>
  <c r="EY84" i="1"/>
  <c r="EY85" i="1"/>
  <c r="EY86" i="1"/>
  <c r="EY87" i="1"/>
  <c r="EY88" i="1"/>
  <c r="EY114" i="1"/>
  <c r="EY186" i="1"/>
  <c r="EY91" i="1"/>
  <c r="EY92" i="1"/>
  <c r="EY93" i="1"/>
  <c r="EY94" i="1"/>
  <c r="EY95" i="1"/>
  <c r="EY96" i="1"/>
  <c r="EY97" i="1"/>
  <c r="EY98" i="1"/>
  <c r="EY99" i="1"/>
  <c r="EY100" i="1"/>
  <c r="EY101" i="1"/>
  <c r="EY102" i="1"/>
  <c r="EY103" i="1"/>
  <c r="EY104" i="1"/>
  <c r="EY105" i="1"/>
  <c r="EY106" i="1"/>
  <c r="EY107" i="1"/>
  <c r="EY108" i="1"/>
  <c r="EY109" i="1"/>
  <c r="EY110" i="1"/>
  <c r="EY111" i="1"/>
  <c r="EY112" i="1"/>
  <c r="EY113" i="1"/>
  <c r="EY153" i="1"/>
  <c r="EY115" i="1"/>
  <c r="EY116" i="1"/>
  <c r="EY117" i="1"/>
  <c r="EY118" i="1"/>
  <c r="EY119" i="1"/>
  <c r="EY67" i="1"/>
  <c r="EY70" i="1"/>
  <c r="EY122" i="1"/>
  <c r="EY123" i="1"/>
  <c r="EY124" i="1"/>
  <c r="EY125" i="1"/>
  <c r="EY126" i="1"/>
  <c r="EY127" i="1"/>
  <c r="EY128" i="1"/>
  <c r="EY129" i="1"/>
  <c r="EY130" i="1"/>
  <c r="EY131" i="1"/>
  <c r="EY132" i="1"/>
  <c r="EY133" i="1"/>
  <c r="EY134" i="1"/>
  <c r="EY135" i="1"/>
  <c r="EY136" i="1"/>
  <c r="EY137" i="1"/>
  <c r="EY138" i="1"/>
  <c r="EY139" i="1"/>
  <c r="EY140" i="1"/>
  <c r="EY141" i="1"/>
  <c r="EY142" i="1"/>
  <c r="EY143" i="1"/>
  <c r="EY144" i="1"/>
  <c r="EY145" i="1"/>
  <c r="EY146" i="1"/>
  <c r="EY147" i="1"/>
  <c r="EY148" i="1"/>
  <c r="EY149" i="1"/>
  <c r="EY150" i="1"/>
  <c r="EY151" i="1"/>
  <c r="EY152" i="1"/>
  <c r="EY120" i="1"/>
  <c r="EY154" i="1"/>
  <c r="EY89" i="1"/>
  <c r="EY156" i="1"/>
  <c r="EY157" i="1"/>
  <c r="EY158" i="1"/>
  <c r="EY159" i="1"/>
  <c r="EY160" i="1"/>
  <c r="EY161" i="1"/>
  <c r="EY162" i="1"/>
  <c r="EY163" i="1"/>
  <c r="EY164" i="1"/>
  <c r="EY165" i="1"/>
  <c r="EY166" i="1"/>
  <c r="EY167" i="1"/>
  <c r="EY168" i="1"/>
  <c r="EY169" i="1"/>
  <c r="EY170" i="1"/>
  <c r="EY171" i="1"/>
  <c r="EY172" i="1"/>
  <c r="EY173" i="1"/>
  <c r="EY174" i="1"/>
  <c r="EY175" i="1"/>
  <c r="EY176" i="1"/>
  <c r="EY177" i="1"/>
  <c r="EY178" i="1"/>
  <c r="EY179" i="1"/>
  <c r="EY180" i="1"/>
  <c r="EY181" i="1"/>
  <c r="EY182" i="1"/>
  <c r="EY183" i="1"/>
  <c r="EY184" i="1"/>
  <c r="EY185" i="1"/>
  <c r="EY19" i="1"/>
  <c r="EY187" i="1"/>
  <c r="EY188" i="1"/>
  <c r="EY189" i="1"/>
  <c r="EY190" i="1"/>
  <c r="EY191" i="1"/>
  <c r="EY192" i="1"/>
  <c r="EY193" i="1"/>
  <c r="EY194" i="1"/>
  <c r="EY195" i="1"/>
  <c r="EY196" i="1"/>
  <c r="EY197" i="1"/>
  <c r="EY198" i="1"/>
  <c r="EY199" i="1"/>
  <c r="EY200" i="1"/>
  <c r="EY201" i="1"/>
  <c r="EY202" i="1"/>
  <c r="EY203" i="1"/>
  <c r="EY204" i="1"/>
  <c r="EY205" i="1"/>
  <c r="EY206" i="1"/>
  <c r="EY207" i="1"/>
  <c r="EY208" i="1"/>
  <c r="EY209" i="1"/>
  <c r="EY210" i="1"/>
  <c r="EY211" i="1"/>
  <c r="EY212" i="1"/>
  <c r="EY213" i="1"/>
  <c r="EY214" i="1"/>
  <c r="EY215" i="1"/>
  <c r="EY216" i="1"/>
  <c r="EY217" i="1"/>
  <c r="EY218" i="1"/>
  <c r="EY219" i="1"/>
  <c r="EY220" i="1"/>
  <c r="EY221" i="1"/>
  <c r="EY222" i="1"/>
  <c r="EY223" i="1"/>
  <c r="EY224" i="1"/>
  <c r="EY225" i="1"/>
  <c r="EY226" i="1"/>
  <c r="EY227" i="1"/>
  <c r="EY228" i="1"/>
  <c r="EY229" i="1"/>
  <c r="EY230" i="1"/>
  <c r="EY231" i="1"/>
  <c r="EY232" i="1"/>
  <c r="EY233" i="1"/>
  <c r="EY234" i="1"/>
  <c r="EY235" i="1"/>
  <c r="EY236" i="1"/>
  <c r="EY237" i="1"/>
  <c r="EY238" i="1"/>
  <c r="EY239" i="1"/>
  <c r="EY240" i="1"/>
  <c r="EY241" i="1"/>
  <c r="EY242" i="1"/>
  <c r="EY243" i="1"/>
  <c r="EY244" i="1"/>
  <c r="EY245" i="1"/>
  <c r="EY246" i="1"/>
  <c r="EY247" i="1"/>
  <c r="EY248" i="1"/>
  <c r="EY249" i="1"/>
  <c r="EY250" i="1"/>
  <c r="EY251" i="1"/>
  <c r="EY252" i="1"/>
  <c r="EY253" i="1"/>
  <c r="EY254" i="1"/>
  <c r="EY255" i="1"/>
  <c r="EY256" i="1"/>
  <c r="EY257" i="1"/>
  <c r="EY258" i="1"/>
  <c r="EY259" i="1"/>
  <c r="EY260" i="1"/>
  <c r="EY261" i="1"/>
  <c r="EY262" i="1"/>
  <c r="EY263" i="1"/>
  <c r="EY264" i="1"/>
  <c r="EY265" i="1"/>
  <c r="EY266" i="1"/>
  <c r="EY267" i="1"/>
  <c r="EY268" i="1"/>
  <c r="EY269" i="1"/>
  <c r="EY270" i="1"/>
  <c r="EY271" i="1"/>
  <c r="EF7" i="1" a="1"/>
  <c r="EF7" i="1" s="1"/>
  <c r="EF8" i="1" a="1"/>
  <c r="EF8" i="1" s="1"/>
  <c r="EF9" i="1" a="1"/>
  <c r="EF9" i="1" s="1"/>
  <c r="EF10" i="1" a="1"/>
  <c r="EF10" i="1" s="1"/>
  <c r="EF11" i="1" a="1"/>
  <c r="EF11" i="1" s="1"/>
  <c r="EF12" i="1" a="1"/>
  <c r="EF12" i="1" s="1"/>
  <c r="EF13" i="1" a="1"/>
  <c r="EF13" i="1" s="1"/>
  <c r="EF14" i="1" a="1"/>
  <c r="EF14" i="1" s="1"/>
  <c r="EF15" i="1" a="1"/>
  <c r="EF15" i="1" s="1"/>
  <c r="EF16" i="1" a="1"/>
  <c r="EF16" i="1" s="1"/>
  <c r="EF17" i="1" a="1"/>
  <c r="EF17" i="1" s="1"/>
  <c r="EF18" i="1" a="1"/>
  <c r="EF18" i="1" s="1"/>
  <c r="EF90" i="1" a="1"/>
  <c r="EF90" i="1" s="1"/>
  <c r="EF20" i="1" a="1"/>
  <c r="EF20" i="1" s="1"/>
  <c r="EF21" i="1" a="1"/>
  <c r="EF21" i="1" s="1"/>
  <c r="EF22" i="1" a="1"/>
  <c r="EF22" i="1" s="1"/>
  <c r="EF23" i="1" a="1"/>
  <c r="EF23" i="1" s="1"/>
  <c r="EF24" i="1" a="1"/>
  <c r="EF24" i="1" s="1"/>
  <c r="EF25" i="1" a="1"/>
  <c r="EF25" i="1" s="1"/>
  <c r="EF26" i="1" a="1"/>
  <c r="EF26" i="1" s="1"/>
  <c r="EF27" i="1" a="1"/>
  <c r="EF27" i="1" s="1"/>
  <c r="EF28" i="1" a="1"/>
  <c r="EF28" i="1" s="1"/>
  <c r="EF29" i="1" a="1"/>
  <c r="EF29" i="1" s="1"/>
  <c r="EF30" i="1" a="1"/>
  <c r="EF30" i="1" s="1"/>
  <c r="EF31" i="1" a="1"/>
  <c r="EF31" i="1" s="1"/>
  <c r="EF32" i="1" a="1"/>
  <c r="EF32" i="1" s="1"/>
  <c r="EF33" i="1" a="1"/>
  <c r="EF33" i="1" s="1"/>
  <c r="EF34" i="1" a="1"/>
  <c r="EF34" i="1" s="1"/>
  <c r="EF35" i="1" a="1"/>
  <c r="EF35" i="1" s="1"/>
  <c r="EF36" i="1" a="1"/>
  <c r="EF36" i="1" s="1"/>
  <c r="EF37" i="1" a="1"/>
  <c r="EF37" i="1" s="1"/>
  <c r="EF38" i="1" a="1"/>
  <c r="EF38" i="1" s="1"/>
  <c r="EF39" i="1" a="1"/>
  <c r="EF39" i="1" s="1"/>
  <c r="EF40" i="1" a="1"/>
  <c r="EF40" i="1" s="1"/>
  <c r="EF41" i="1" a="1"/>
  <c r="EF41" i="1" s="1"/>
  <c r="EF42" i="1" a="1"/>
  <c r="EF42" i="1" s="1"/>
  <c r="EF43" i="1" a="1"/>
  <c r="EF43" i="1" s="1"/>
  <c r="EF44" i="1" a="1"/>
  <c r="EF44" i="1" s="1"/>
  <c r="EF45" i="1" a="1"/>
  <c r="EF45" i="1" s="1"/>
  <c r="EF46" i="1" a="1"/>
  <c r="EF46" i="1" s="1"/>
  <c r="EF47" i="1" a="1"/>
  <c r="EF47" i="1" s="1"/>
  <c r="EF48" i="1" a="1"/>
  <c r="EF48" i="1" s="1"/>
  <c r="EF49" i="1" a="1"/>
  <c r="EF49" i="1" s="1"/>
  <c r="EF50" i="1" a="1"/>
  <c r="EF50" i="1" s="1"/>
  <c r="EF51" i="1" a="1"/>
  <c r="EF51" i="1" s="1"/>
  <c r="EF52" i="1" a="1"/>
  <c r="EF52" i="1" s="1"/>
  <c r="EF53" i="1" a="1"/>
  <c r="EF53" i="1" s="1"/>
  <c r="EF54" i="1" a="1"/>
  <c r="EF54" i="1" s="1"/>
  <c r="EF55" i="1" a="1"/>
  <c r="EF55" i="1" s="1"/>
  <c r="EF56" i="1" a="1"/>
  <c r="EF56" i="1" s="1"/>
  <c r="EF57" i="1" a="1"/>
  <c r="EF57" i="1" s="1"/>
  <c r="EF58" i="1" a="1"/>
  <c r="EF58" i="1" s="1"/>
  <c r="EF59" i="1" a="1"/>
  <c r="EF59" i="1" s="1"/>
  <c r="EF60" i="1" a="1"/>
  <c r="EF60" i="1" s="1"/>
  <c r="EF61" i="1" a="1"/>
  <c r="EF61" i="1" s="1"/>
  <c r="EF62" i="1" a="1"/>
  <c r="EF62" i="1" s="1"/>
  <c r="EF63" i="1" a="1"/>
  <c r="EF63" i="1" s="1"/>
  <c r="EF64" i="1" a="1"/>
  <c r="EF64" i="1" s="1"/>
  <c r="EF65" i="1" a="1"/>
  <c r="EF65" i="1" s="1"/>
  <c r="EF66" i="1" a="1"/>
  <c r="EF66" i="1" s="1"/>
  <c r="EF121" i="1" a="1"/>
  <c r="EF121" i="1" s="1"/>
  <c r="EF68" i="1" a="1"/>
  <c r="EF68" i="1" s="1"/>
  <c r="EF69" i="1" a="1"/>
  <c r="EF69" i="1" s="1"/>
  <c r="EF155" i="1" a="1"/>
  <c r="EF155" i="1" s="1"/>
  <c r="EF71" i="1" a="1"/>
  <c r="EF71" i="1" s="1"/>
  <c r="EF72" i="1" a="1"/>
  <c r="EF72" i="1" s="1"/>
  <c r="EF73" i="1" a="1"/>
  <c r="EF73" i="1" s="1"/>
  <c r="EF74" i="1" a="1"/>
  <c r="EF74" i="1" s="1"/>
  <c r="EF75" i="1" a="1"/>
  <c r="EF75" i="1" s="1"/>
  <c r="EF76" i="1" a="1"/>
  <c r="EF76" i="1" s="1"/>
  <c r="EF77" i="1" a="1"/>
  <c r="EF77" i="1" s="1"/>
  <c r="EF78" i="1" a="1"/>
  <c r="EF78" i="1" s="1"/>
  <c r="EF79" i="1" a="1"/>
  <c r="EF79" i="1" s="1"/>
  <c r="EF80" i="1" a="1"/>
  <c r="EF80" i="1" s="1"/>
  <c r="EF81" i="1" a="1"/>
  <c r="EF81" i="1" s="1"/>
  <c r="EF82" i="1" a="1"/>
  <c r="EF82" i="1" s="1"/>
  <c r="EF83" i="1" a="1"/>
  <c r="EF83" i="1" s="1"/>
  <c r="EF84" i="1" a="1"/>
  <c r="EF84" i="1" s="1"/>
  <c r="EF85" i="1" a="1"/>
  <c r="EF85" i="1" s="1"/>
  <c r="EF86" i="1" a="1"/>
  <c r="EF86" i="1" s="1"/>
  <c r="EF87" i="1" a="1"/>
  <c r="EF87" i="1" s="1"/>
  <c r="EF88" i="1" a="1"/>
  <c r="EF88" i="1" s="1"/>
  <c r="EF114" i="1" a="1"/>
  <c r="EF114" i="1" s="1"/>
  <c r="EF186" i="1" a="1"/>
  <c r="EF186" i="1" s="1"/>
  <c r="EF91" i="1" a="1"/>
  <c r="EF91" i="1" s="1"/>
  <c r="EF92" i="1" a="1"/>
  <c r="EF92" i="1" s="1"/>
  <c r="EF93" i="1" a="1"/>
  <c r="EF93" i="1" s="1"/>
  <c r="EF94" i="1" a="1"/>
  <c r="EF94" i="1" s="1"/>
  <c r="EF95" i="1" a="1"/>
  <c r="EF95" i="1" s="1"/>
  <c r="EF96" i="1" a="1"/>
  <c r="EF96" i="1" s="1"/>
  <c r="EF97" i="1" a="1"/>
  <c r="EF97" i="1" s="1"/>
  <c r="EF98" i="1" a="1"/>
  <c r="EF98" i="1" s="1"/>
  <c r="EF99" i="1" a="1"/>
  <c r="EF99" i="1" s="1"/>
  <c r="EF100" i="1" a="1"/>
  <c r="EF100" i="1" s="1"/>
  <c r="EF101" i="1" a="1"/>
  <c r="EF101" i="1" s="1"/>
  <c r="EF102" i="1" a="1"/>
  <c r="EF102" i="1" s="1"/>
  <c r="EF103" i="1" a="1"/>
  <c r="EF103" i="1" s="1"/>
  <c r="EF104" i="1" a="1"/>
  <c r="EF104" i="1" s="1"/>
  <c r="EF105" i="1" a="1"/>
  <c r="EF105" i="1" s="1"/>
  <c r="EF106" i="1" a="1"/>
  <c r="EF106" i="1" s="1"/>
  <c r="EF107" i="1" a="1"/>
  <c r="EF107" i="1" s="1"/>
  <c r="EF108" i="1" a="1"/>
  <c r="EF108" i="1" s="1"/>
  <c r="EF109" i="1" a="1"/>
  <c r="EF109" i="1" s="1"/>
  <c r="EF110" i="1" a="1"/>
  <c r="EF110" i="1" s="1"/>
  <c r="EF111" i="1" a="1"/>
  <c r="EF111" i="1" s="1"/>
  <c r="EF112" i="1" a="1"/>
  <c r="EF112" i="1" s="1"/>
  <c r="EF113" i="1" a="1"/>
  <c r="EF113" i="1" s="1"/>
  <c r="EF153" i="1" a="1"/>
  <c r="EF153" i="1" s="1"/>
  <c r="EF115" i="1" a="1"/>
  <c r="EF115" i="1" s="1"/>
  <c r="EF116" i="1" a="1"/>
  <c r="EF116" i="1" s="1"/>
  <c r="EF117" i="1" a="1"/>
  <c r="EF117" i="1" s="1"/>
  <c r="EF118" i="1" a="1"/>
  <c r="EF118" i="1" s="1"/>
  <c r="EF119" i="1" a="1"/>
  <c r="EF119" i="1" s="1"/>
  <c r="EF67" i="1" a="1"/>
  <c r="EF67" i="1" s="1"/>
  <c r="EF70" i="1" a="1"/>
  <c r="EF70" i="1" s="1"/>
  <c r="EF122" i="1" a="1"/>
  <c r="EF122" i="1" s="1"/>
  <c r="EF123" i="1" a="1"/>
  <c r="EF123" i="1" s="1"/>
  <c r="EF124" i="1" a="1"/>
  <c r="EF124" i="1" s="1"/>
  <c r="EF125" i="1" a="1"/>
  <c r="EF125" i="1" s="1"/>
  <c r="EF126" i="1" a="1"/>
  <c r="EF126" i="1" s="1"/>
  <c r="EF127" i="1" a="1"/>
  <c r="EF127" i="1" s="1"/>
  <c r="EF128" i="1" a="1"/>
  <c r="EF128" i="1" s="1"/>
  <c r="EF129" i="1" a="1"/>
  <c r="EF129" i="1" s="1"/>
  <c r="EF130" i="1" a="1"/>
  <c r="EF130" i="1" s="1"/>
  <c r="EF131" i="1" a="1"/>
  <c r="EF131" i="1" s="1"/>
  <c r="EF132" i="1" a="1"/>
  <c r="EF132" i="1" s="1"/>
  <c r="EF133" i="1" a="1"/>
  <c r="EF133" i="1" s="1"/>
  <c r="EF134" i="1" a="1"/>
  <c r="EF134" i="1" s="1"/>
  <c r="EF135" i="1" a="1"/>
  <c r="EF135" i="1" s="1"/>
  <c r="EF136" i="1" a="1"/>
  <c r="EF136" i="1" s="1"/>
  <c r="EF137" i="1" a="1"/>
  <c r="EF137" i="1" s="1"/>
  <c r="EF138" i="1" a="1"/>
  <c r="EF138" i="1" s="1"/>
  <c r="EF139" i="1" a="1"/>
  <c r="EF139" i="1" s="1"/>
  <c r="EF140" i="1" a="1"/>
  <c r="EF140" i="1" s="1"/>
  <c r="EF141" i="1" a="1"/>
  <c r="EF141" i="1" s="1"/>
  <c r="EF142" i="1" a="1"/>
  <c r="EF142" i="1" s="1"/>
  <c r="EF143" i="1" a="1"/>
  <c r="EF143" i="1" s="1"/>
  <c r="EF144" i="1" a="1"/>
  <c r="EF144" i="1" s="1"/>
  <c r="EF145" i="1" a="1"/>
  <c r="EF145" i="1" s="1"/>
  <c r="EF146" i="1" a="1"/>
  <c r="EF146" i="1" s="1"/>
  <c r="EF147" i="1" a="1"/>
  <c r="EF147" i="1" s="1"/>
  <c r="EF148" i="1" a="1"/>
  <c r="EF148" i="1" s="1"/>
  <c r="EF149" i="1" a="1"/>
  <c r="EF149" i="1" s="1"/>
  <c r="EF150" i="1" a="1"/>
  <c r="EF150" i="1" s="1"/>
  <c r="EF151" i="1" a="1"/>
  <c r="EF151" i="1" s="1"/>
  <c r="EF152" i="1" a="1"/>
  <c r="EF152" i="1" s="1"/>
  <c r="EF120" i="1" a="1"/>
  <c r="EF120" i="1" s="1"/>
  <c r="EF154" i="1" a="1"/>
  <c r="EF154" i="1" s="1"/>
  <c r="EF89" i="1" a="1"/>
  <c r="EF89" i="1" s="1"/>
  <c r="EF156" i="1" a="1"/>
  <c r="EF156" i="1" s="1"/>
  <c r="EF157" i="1" a="1"/>
  <c r="EF157" i="1" s="1"/>
  <c r="EF158" i="1" a="1"/>
  <c r="EF158" i="1" s="1"/>
  <c r="EF159" i="1" a="1"/>
  <c r="EF159" i="1" s="1"/>
  <c r="EF160" i="1" a="1"/>
  <c r="EF160" i="1" s="1"/>
  <c r="EF161" i="1" a="1"/>
  <c r="EF161" i="1" s="1"/>
  <c r="EF162" i="1" a="1"/>
  <c r="EF162" i="1" s="1"/>
  <c r="EF163" i="1" a="1"/>
  <c r="EF163" i="1" s="1"/>
  <c r="EF164" i="1" a="1"/>
  <c r="EF164" i="1" s="1"/>
  <c r="EF165" i="1" a="1"/>
  <c r="EF165" i="1" s="1"/>
  <c r="EF166" i="1" a="1"/>
  <c r="EF166" i="1" s="1"/>
  <c r="EF167" i="1" a="1"/>
  <c r="EF167" i="1" s="1"/>
  <c r="EF168" i="1" a="1"/>
  <c r="EF168" i="1" s="1"/>
  <c r="EF169" i="1" a="1"/>
  <c r="EF169" i="1" s="1"/>
  <c r="EF170" i="1" a="1"/>
  <c r="EF170" i="1" s="1"/>
  <c r="EF171" i="1" a="1"/>
  <c r="EF171" i="1" s="1"/>
  <c r="EF172" i="1" a="1"/>
  <c r="EF172" i="1" s="1"/>
  <c r="EF173" i="1" a="1"/>
  <c r="EF173" i="1" s="1"/>
  <c r="EF174" i="1" a="1"/>
  <c r="EF174" i="1" s="1"/>
  <c r="EF175" i="1" a="1"/>
  <c r="EF175" i="1" s="1"/>
  <c r="EF176" i="1" a="1"/>
  <c r="EF176" i="1" s="1"/>
  <c r="EF177" i="1" a="1"/>
  <c r="EF177" i="1" s="1"/>
  <c r="EF178" i="1" a="1"/>
  <c r="EF178" i="1" s="1"/>
  <c r="EF179" i="1" a="1"/>
  <c r="EF179" i="1" s="1"/>
  <c r="EF180" i="1" a="1"/>
  <c r="EF180" i="1" s="1"/>
  <c r="EF181" i="1" a="1"/>
  <c r="EF181" i="1" s="1"/>
  <c r="EF182" i="1" a="1"/>
  <c r="EF182" i="1" s="1"/>
  <c r="EF183" i="1" a="1"/>
  <c r="EF183" i="1" s="1"/>
  <c r="EF184" i="1" a="1"/>
  <c r="EF184" i="1" s="1"/>
  <c r="EF185" i="1" a="1"/>
  <c r="EF185" i="1" s="1"/>
  <c r="EF19" i="1" a="1"/>
  <c r="EF19" i="1" s="1"/>
  <c r="EF187" i="1" a="1"/>
  <c r="EF187" i="1" s="1"/>
  <c r="EF188" i="1" a="1"/>
  <c r="EF188" i="1" s="1"/>
  <c r="EF189" i="1" a="1"/>
  <c r="EF189" i="1" s="1"/>
  <c r="EF190" i="1" a="1"/>
  <c r="EF190" i="1" s="1"/>
  <c r="EF191" i="1" a="1"/>
  <c r="EF191" i="1" s="1"/>
  <c r="EF192" i="1" a="1"/>
  <c r="EF192" i="1" s="1"/>
  <c r="EF193" i="1" a="1"/>
  <c r="EF193" i="1" s="1"/>
  <c r="EF194" i="1" a="1"/>
  <c r="EF194" i="1" s="1"/>
  <c r="EF195" i="1" a="1"/>
  <c r="EF195" i="1" s="1"/>
  <c r="EF196" i="1" a="1"/>
  <c r="EF196" i="1" s="1"/>
  <c r="EF197" i="1" a="1"/>
  <c r="EF197" i="1" s="1"/>
  <c r="EF198" i="1" a="1"/>
  <c r="EF198" i="1" s="1"/>
  <c r="EF199" i="1" a="1"/>
  <c r="EF199" i="1" s="1"/>
  <c r="EF200" i="1" a="1"/>
  <c r="EF200" i="1" s="1"/>
  <c r="EF201" i="1" a="1"/>
  <c r="EF201" i="1" s="1"/>
  <c r="EF202" i="1" a="1"/>
  <c r="EF202" i="1" s="1"/>
  <c r="EF203" i="1" a="1"/>
  <c r="EF203" i="1" s="1"/>
  <c r="EF204" i="1" a="1"/>
  <c r="EF204" i="1" s="1"/>
  <c r="EF205" i="1" a="1"/>
  <c r="EF205" i="1" s="1"/>
  <c r="EF206" i="1" a="1"/>
  <c r="EF206" i="1" s="1"/>
  <c r="EF207" i="1" a="1"/>
  <c r="EF207" i="1" s="1"/>
  <c r="EF208" i="1" a="1"/>
  <c r="EF208" i="1" s="1"/>
  <c r="EF209" i="1" a="1"/>
  <c r="EF209" i="1" s="1"/>
  <c r="EF210" i="1" a="1"/>
  <c r="EF210" i="1" s="1"/>
  <c r="EF211" i="1" a="1"/>
  <c r="EF211" i="1" s="1"/>
  <c r="EF212" i="1" a="1"/>
  <c r="EF212" i="1" s="1"/>
  <c r="EF213" i="1" a="1"/>
  <c r="EF213" i="1" s="1"/>
  <c r="EF214" i="1" a="1"/>
  <c r="EF214" i="1" s="1"/>
  <c r="EF215" i="1" a="1"/>
  <c r="EF215" i="1" s="1"/>
  <c r="EF216" i="1" a="1"/>
  <c r="EF216" i="1" s="1"/>
  <c r="EF217" i="1" a="1"/>
  <c r="EF217" i="1" s="1"/>
  <c r="EF218" i="1" a="1"/>
  <c r="EF218" i="1" s="1"/>
  <c r="EF219" i="1" a="1"/>
  <c r="EF219" i="1" s="1"/>
  <c r="EF220" i="1" a="1"/>
  <c r="EF220" i="1" s="1"/>
  <c r="EF221" i="1" a="1"/>
  <c r="EF221" i="1" s="1"/>
  <c r="EF222" i="1" a="1"/>
  <c r="EF222" i="1" s="1"/>
  <c r="EF223" i="1" a="1"/>
  <c r="EF223" i="1" s="1"/>
  <c r="EF224" i="1" a="1"/>
  <c r="EF224" i="1" s="1"/>
  <c r="EF225" i="1" a="1"/>
  <c r="EF225" i="1" s="1"/>
  <c r="EF226" i="1" a="1"/>
  <c r="EF226" i="1" s="1"/>
  <c r="EF227" i="1" a="1"/>
  <c r="EF227" i="1" s="1"/>
  <c r="EF228" i="1" a="1"/>
  <c r="EF228" i="1" s="1"/>
  <c r="EF229" i="1" a="1"/>
  <c r="EF229" i="1" s="1"/>
  <c r="EF230" i="1" a="1"/>
  <c r="EF230" i="1" s="1"/>
  <c r="EF231" i="1" a="1"/>
  <c r="EF231" i="1" s="1"/>
  <c r="EF232" i="1" a="1"/>
  <c r="EF232" i="1" s="1"/>
  <c r="EF233" i="1" a="1"/>
  <c r="EF233" i="1" s="1"/>
  <c r="EF234" i="1" a="1"/>
  <c r="EF234" i="1" s="1"/>
  <c r="EF235" i="1" a="1"/>
  <c r="EF235" i="1" s="1"/>
  <c r="EF236" i="1" a="1"/>
  <c r="EF236" i="1" s="1"/>
  <c r="EF237" i="1" a="1"/>
  <c r="EF237" i="1" s="1"/>
  <c r="EF238" i="1" a="1"/>
  <c r="EF238" i="1" s="1"/>
  <c r="EF239" i="1" a="1"/>
  <c r="EF239" i="1" s="1"/>
  <c r="EF240" i="1" a="1"/>
  <c r="EF240" i="1" s="1"/>
  <c r="EF241" i="1" a="1"/>
  <c r="EF241" i="1" s="1"/>
  <c r="EF242" i="1" a="1"/>
  <c r="EF242" i="1" s="1"/>
  <c r="EF243" i="1" a="1"/>
  <c r="EF243" i="1" s="1"/>
  <c r="EF244" i="1" a="1"/>
  <c r="EF244" i="1" s="1"/>
  <c r="EF245" i="1" a="1"/>
  <c r="EF245" i="1" s="1"/>
  <c r="EF246" i="1" a="1"/>
  <c r="EF246" i="1" s="1"/>
  <c r="EF247" i="1" a="1"/>
  <c r="EF247" i="1" s="1"/>
  <c r="EF248" i="1" a="1"/>
  <c r="EF248" i="1" s="1"/>
  <c r="EF249" i="1" a="1"/>
  <c r="EF249" i="1" s="1"/>
  <c r="EF250" i="1" a="1"/>
  <c r="EF250" i="1" s="1"/>
  <c r="EF251" i="1" a="1"/>
  <c r="EF251" i="1" s="1"/>
  <c r="EF252" i="1" a="1"/>
  <c r="EF252" i="1" s="1"/>
  <c r="EF253" i="1" a="1"/>
  <c r="EF253" i="1" s="1"/>
  <c r="EF254" i="1" a="1"/>
  <c r="EF254" i="1" s="1"/>
  <c r="EF255" i="1" a="1"/>
  <c r="EF255" i="1" s="1"/>
  <c r="EF256" i="1" a="1"/>
  <c r="EF256" i="1" s="1"/>
  <c r="EF257" i="1" a="1"/>
  <c r="EF257" i="1" s="1"/>
  <c r="EF258" i="1" a="1"/>
  <c r="EF258" i="1" s="1"/>
  <c r="EF259" i="1" a="1"/>
  <c r="EF259" i="1" s="1"/>
  <c r="EF260" i="1" a="1"/>
  <c r="EF260" i="1" s="1"/>
  <c r="EF261" i="1" a="1"/>
  <c r="EF261" i="1" s="1"/>
  <c r="EF262" i="1" a="1"/>
  <c r="EF262" i="1" s="1"/>
  <c r="EF263" i="1" a="1"/>
  <c r="EF263" i="1" s="1"/>
  <c r="EF264" i="1" a="1"/>
  <c r="EF264" i="1" s="1"/>
  <c r="EF265" i="1" a="1"/>
  <c r="EF265" i="1" s="1"/>
  <c r="EF266" i="1" a="1"/>
  <c r="EF266" i="1" s="1"/>
  <c r="EF267" i="1" a="1"/>
  <c r="EF267" i="1" s="1"/>
  <c r="EF268" i="1" a="1"/>
  <c r="EF268" i="1" s="1"/>
  <c r="EF269" i="1" a="1"/>
  <c r="EF269" i="1" s="1"/>
  <c r="EF270" i="1" a="1"/>
  <c r="EF270" i="1" s="1"/>
  <c r="EF271" i="1" a="1"/>
  <c r="EF271" i="1" s="1"/>
  <c r="EF6" i="1" a="1"/>
  <c r="EF6" i="1" s="1"/>
  <c r="EV7" i="1"/>
  <c r="EV8" i="1"/>
  <c r="EV9" i="1"/>
  <c r="EV10" i="1"/>
  <c r="EV11" i="1"/>
  <c r="EV12" i="1"/>
  <c r="EV13" i="1"/>
  <c r="EV14" i="1"/>
  <c r="EV15" i="1"/>
  <c r="EV16" i="1"/>
  <c r="EV17" i="1"/>
  <c r="EV18" i="1"/>
  <c r="EV90" i="1"/>
  <c r="EV20" i="1"/>
  <c r="EV21" i="1"/>
  <c r="EV22" i="1"/>
  <c r="EV23" i="1"/>
  <c r="EV24" i="1"/>
  <c r="EV25" i="1"/>
  <c r="EV26" i="1"/>
  <c r="EV27" i="1"/>
  <c r="EV28" i="1"/>
  <c r="EV29" i="1"/>
  <c r="EV30" i="1"/>
  <c r="EV31" i="1"/>
  <c r="EV32" i="1"/>
  <c r="EV33" i="1"/>
  <c r="EV34" i="1"/>
  <c r="EV35" i="1"/>
  <c r="EV36" i="1"/>
  <c r="EV37" i="1"/>
  <c r="EV38" i="1"/>
  <c r="EV39" i="1"/>
  <c r="EV40" i="1"/>
  <c r="EV41" i="1"/>
  <c r="EV42" i="1"/>
  <c r="EV43" i="1"/>
  <c r="EV44" i="1"/>
  <c r="EV45" i="1"/>
  <c r="EV46" i="1"/>
  <c r="EV47" i="1"/>
  <c r="EV48" i="1"/>
  <c r="EV49" i="1"/>
  <c r="EV50" i="1"/>
  <c r="EV51" i="1"/>
  <c r="EV52" i="1"/>
  <c r="EV53" i="1"/>
  <c r="EV54" i="1"/>
  <c r="EV55" i="1"/>
  <c r="EV56" i="1"/>
  <c r="EV57" i="1"/>
  <c r="EV58" i="1"/>
  <c r="EV59" i="1"/>
  <c r="EV60" i="1"/>
  <c r="EV61" i="1"/>
  <c r="EV62" i="1"/>
  <c r="EV63" i="1"/>
  <c r="EV64" i="1"/>
  <c r="EV65" i="1"/>
  <c r="EV66" i="1"/>
  <c r="EV121" i="1"/>
  <c r="EV68" i="1"/>
  <c r="EV69" i="1"/>
  <c r="EV155" i="1"/>
  <c r="EV71" i="1"/>
  <c r="EV72" i="1"/>
  <c r="EV73" i="1"/>
  <c r="EV74" i="1"/>
  <c r="EV75" i="1"/>
  <c r="EV76" i="1"/>
  <c r="EV77" i="1"/>
  <c r="EV78" i="1"/>
  <c r="EV79" i="1"/>
  <c r="EV80" i="1"/>
  <c r="EV81" i="1"/>
  <c r="EV82" i="1"/>
  <c r="EV83" i="1"/>
  <c r="EV84" i="1"/>
  <c r="EV85" i="1"/>
  <c r="EV86" i="1"/>
  <c r="EV87" i="1"/>
  <c r="EV88" i="1"/>
  <c r="EV114" i="1"/>
  <c r="EV186" i="1"/>
  <c r="EV91" i="1"/>
  <c r="EV92" i="1"/>
  <c r="EV93" i="1"/>
  <c r="EV94" i="1"/>
  <c r="EV95" i="1"/>
  <c r="EV96" i="1"/>
  <c r="EV97" i="1"/>
  <c r="EV98" i="1"/>
  <c r="EV99" i="1"/>
  <c r="EV100" i="1"/>
  <c r="EV101" i="1"/>
  <c r="EV102" i="1"/>
  <c r="EV103" i="1"/>
  <c r="EV104" i="1"/>
  <c r="EV105" i="1"/>
  <c r="EV106" i="1"/>
  <c r="EV107" i="1"/>
  <c r="EV108" i="1"/>
  <c r="EV109" i="1"/>
  <c r="EV110" i="1"/>
  <c r="EV111" i="1"/>
  <c r="EV112" i="1"/>
  <c r="EV113" i="1"/>
  <c r="EV153" i="1"/>
  <c r="EV115" i="1"/>
  <c r="EV116" i="1"/>
  <c r="EV117" i="1"/>
  <c r="EV118" i="1"/>
  <c r="EV119" i="1"/>
  <c r="EV67" i="1"/>
  <c r="EV70" i="1"/>
  <c r="EV122" i="1"/>
  <c r="EV123" i="1"/>
  <c r="EV124" i="1"/>
  <c r="EV125" i="1"/>
  <c r="EV126" i="1"/>
  <c r="EV127" i="1"/>
  <c r="EV128" i="1"/>
  <c r="EV129" i="1"/>
  <c r="EV130" i="1"/>
  <c r="EV131" i="1"/>
  <c r="EV132" i="1"/>
  <c r="EV133" i="1"/>
  <c r="EV134" i="1"/>
  <c r="EV135" i="1"/>
  <c r="EV136" i="1"/>
  <c r="EV137" i="1"/>
  <c r="EV138" i="1"/>
  <c r="EV139" i="1"/>
  <c r="EV140" i="1"/>
  <c r="EV141" i="1"/>
  <c r="EV142" i="1"/>
  <c r="EV143" i="1"/>
  <c r="EV144" i="1"/>
  <c r="EV145" i="1"/>
  <c r="EV146" i="1"/>
  <c r="EV147" i="1"/>
  <c r="EV148" i="1"/>
  <c r="EV149" i="1"/>
  <c r="EV150" i="1"/>
  <c r="EV151" i="1"/>
  <c r="EV152" i="1"/>
  <c r="EV120" i="1"/>
  <c r="EV154" i="1"/>
  <c r="EV89" i="1"/>
  <c r="EV156" i="1"/>
  <c r="EV157" i="1"/>
  <c r="EV158" i="1"/>
  <c r="EV159" i="1"/>
  <c r="EV160" i="1"/>
  <c r="EV161" i="1"/>
  <c r="EV162" i="1"/>
  <c r="EV163" i="1"/>
  <c r="EV164" i="1"/>
  <c r="EV165" i="1"/>
  <c r="EV166" i="1"/>
  <c r="EV167" i="1"/>
  <c r="EV168" i="1"/>
  <c r="EV169" i="1"/>
  <c r="EV170" i="1"/>
  <c r="EV171" i="1"/>
  <c r="EV172" i="1"/>
  <c r="EV173" i="1"/>
  <c r="EV174" i="1"/>
  <c r="EV175" i="1"/>
  <c r="EV176" i="1"/>
  <c r="EV177" i="1"/>
  <c r="EV178" i="1"/>
  <c r="EV179" i="1"/>
  <c r="EV180" i="1"/>
  <c r="EV181" i="1"/>
  <c r="EV182" i="1"/>
  <c r="EV183" i="1"/>
  <c r="EV184" i="1"/>
  <c r="EV185" i="1"/>
  <c r="EV19" i="1"/>
  <c r="EV187" i="1"/>
  <c r="EV188" i="1"/>
  <c r="EV189" i="1"/>
  <c r="EV190" i="1"/>
  <c r="EV191" i="1"/>
  <c r="EV192" i="1"/>
  <c r="EV193" i="1"/>
  <c r="EV194" i="1"/>
  <c r="EV195" i="1"/>
  <c r="EV196" i="1"/>
  <c r="EV197" i="1"/>
  <c r="EV198" i="1"/>
  <c r="EV199" i="1"/>
  <c r="EV200" i="1"/>
  <c r="EV201" i="1"/>
  <c r="EV202" i="1"/>
  <c r="EV203" i="1"/>
  <c r="EV204" i="1"/>
  <c r="EV205" i="1"/>
  <c r="EV206" i="1"/>
  <c r="EV207" i="1"/>
  <c r="EV208" i="1"/>
  <c r="EV209" i="1"/>
  <c r="EV210" i="1"/>
  <c r="EV211" i="1"/>
  <c r="EV212" i="1"/>
  <c r="EV213" i="1"/>
  <c r="EV214" i="1"/>
  <c r="EV215" i="1"/>
  <c r="EV216" i="1"/>
  <c r="EV217" i="1"/>
  <c r="EV218" i="1"/>
  <c r="EV219" i="1"/>
  <c r="EV220" i="1"/>
  <c r="EV221" i="1"/>
  <c r="EV222" i="1"/>
  <c r="EV223" i="1"/>
  <c r="EV224" i="1"/>
  <c r="EV225" i="1"/>
  <c r="EV226" i="1"/>
  <c r="EV227" i="1"/>
  <c r="EV228" i="1"/>
  <c r="EV229" i="1"/>
  <c r="EV230" i="1"/>
  <c r="EV231" i="1"/>
  <c r="EV232" i="1"/>
  <c r="EV233" i="1"/>
  <c r="EV234" i="1"/>
  <c r="EV235" i="1"/>
  <c r="EV236" i="1"/>
  <c r="EV237" i="1"/>
  <c r="EV238" i="1"/>
  <c r="EV239" i="1"/>
  <c r="EV240" i="1"/>
  <c r="EV241" i="1"/>
  <c r="EV242" i="1"/>
  <c r="EV243" i="1"/>
  <c r="EV244" i="1"/>
  <c r="EV245" i="1"/>
  <c r="EV246" i="1"/>
  <c r="EV247" i="1"/>
  <c r="EV248" i="1"/>
  <c r="EV249" i="1"/>
  <c r="EV250" i="1"/>
  <c r="EV251" i="1"/>
  <c r="EV252" i="1"/>
  <c r="EV253" i="1"/>
  <c r="EV254" i="1"/>
  <c r="EV255" i="1"/>
  <c r="EV256" i="1"/>
  <c r="EV257" i="1"/>
  <c r="EV258" i="1"/>
  <c r="EV259" i="1"/>
  <c r="EV260" i="1"/>
  <c r="EV261" i="1"/>
  <c r="EV262" i="1"/>
  <c r="EV263" i="1"/>
  <c r="EV264" i="1"/>
  <c r="EV265" i="1"/>
  <c r="EV266" i="1"/>
  <c r="EV267" i="1"/>
  <c r="EV268" i="1"/>
  <c r="EV269" i="1"/>
  <c r="EV270" i="1"/>
  <c r="EV271" i="1"/>
  <c r="EV6" i="1"/>
  <c r="CQ155" i="1" l="1"/>
  <c r="CQ268" i="1"/>
  <c r="CQ264" i="1"/>
  <c r="CQ260" i="1"/>
  <c r="CQ256" i="1"/>
  <c r="CQ252" i="1"/>
  <c r="CQ248" i="1"/>
  <c r="CQ244" i="1"/>
  <c r="CQ240" i="1"/>
  <c r="CQ236" i="1"/>
  <c r="CQ232" i="1"/>
  <c r="CQ228" i="1"/>
  <c r="CQ224" i="1"/>
  <c r="CQ220" i="1"/>
  <c r="CQ216" i="1"/>
  <c r="CQ212" i="1"/>
  <c r="CQ208" i="1"/>
  <c r="CQ204" i="1"/>
  <c r="CQ200" i="1"/>
  <c r="CQ196" i="1"/>
  <c r="CQ192" i="1"/>
  <c r="CQ188" i="1"/>
  <c r="CQ184" i="1"/>
  <c r="CQ180" i="1"/>
  <c r="CQ176" i="1"/>
  <c r="CQ172" i="1"/>
  <c r="CQ168" i="1"/>
  <c r="CQ164" i="1"/>
  <c r="CQ160" i="1"/>
  <c r="CQ156" i="1"/>
  <c r="CQ152" i="1"/>
  <c r="CQ148" i="1"/>
  <c r="CQ144" i="1"/>
  <c r="CQ140" i="1"/>
  <c r="CQ136" i="1"/>
  <c r="CQ132" i="1"/>
  <c r="CQ128" i="1"/>
  <c r="CQ124" i="1"/>
  <c r="CQ120" i="1"/>
  <c r="CQ116" i="1"/>
  <c r="CQ112" i="1"/>
  <c r="CQ108" i="1"/>
  <c r="CQ104" i="1"/>
  <c r="CQ100" i="1"/>
  <c r="CQ96" i="1"/>
  <c r="CQ92" i="1"/>
  <c r="CQ88" i="1"/>
  <c r="CQ84" i="1"/>
  <c r="CQ80" i="1"/>
  <c r="CQ76" i="1"/>
  <c r="CQ72" i="1"/>
  <c r="CQ68" i="1"/>
  <c r="CQ64" i="1"/>
  <c r="CQ60" i="1"/>
  <c r="CQ56" i="1"/>
  <c r="CQ52" i="1"/>
  <c r="CQ48" i="1"/>
  <c r="CQ44" i="1"/>
  <c r="CQ40" i="1"/>
  <c r="CQ36" i="1"/>
  <c r="CQ32" i="1"/>
  <c r="CQ28" i="1"/>
  <c r="CQ24" i="1"/>
  <c r="CQ20" i="1"/>
  <c r="CQ16" i="1"/>
  <c r="CQ12" i="1"/>
  <c r="CQ8" i="1"/>
  <c r="CQ270" i="1"/>
  <c r="CQ266" i="1"/>
  <c r="CQ262" i="1"/>
  <c r="CQ258" i="1"/>
  <c r="CQ254" i="1"/>
  <c r="CQ250" i="1"/>
  <c r="CQ246" i="1"/>
  <c r="CQ242" i="1"/>
  <c r="CQ238" i="1"/>
  <c r="CQ234" i="1"/>
  <c r="CQ230" i="1"/>
  <c r="CQ226" i="1"/>
  <c r="CQ222" i="1"/>
  <c r="CQ218" i="1"/>
  <c r="CQ214" i="1"/>
  <c r="CQ210" i="1"/>
  <c r="CQ206" i="1"/>
  <c r="CQ202" i="1"/>
  <c r="CQ198" i="1"/>
  <c r="CQ194" i="1"/>
  <c r="CQ190" i="1"/>
  <c r="CQ186" i="1"/>
  <c r="CQ182" i="1"/>
  <c r="CQ178" i="1"/>
  <c r="CQ174" i="1"/>
  <c r="CQ170" i="1"/>
  <c r="CQ166" i="1"/>
  <c r="CQ162" i="1"/>
  <c r="CQ158" i="1"/>
  <c r="CQ154" i="1"/>
  <c r="CQ150" i="1"/>
  <c r="CQ146" i="1"/>
  <c r="CQ142" i="1"/>
  <c r="CQ138" i="1"/>
  <c r="CQ134" i="1"/>
  <c r="CQ130" i="1"/>
  <c r="CQ126" i="1"/>
  <c r="CQ122" i="1"/>
  <c r="CQ118" i="1"/>
  <c r="CQ114" i="1"/>
  <c r="CQ110" i="1"/>
  <c r="CQ106" i="1"/>
  <c r="CQ102" i="1"/>
  <c r="CQ98" i="1"/>
  <c r="CQ94" i="1"/>
  <c r="CQ90" i="1"/>
  <c r="CQ86" i="1"/>
  <c r="CQ82" i="1"/>
  <c r="CQ78" i="1"/>
  <c r="CQ74" i="1"/>
  <c r="CQ70" i="1"/>
  <c r="CQ66" i="1"/>
  <c r="CQ62" i="1"/>
  <c r="CQ58" i="1"/>
  <c r="CQ54" i="1"/>
  <c r="CQ50" i="1"/>
  <c r="CQ46" i="1"/>
  <c r="CQ42" i="1"/>
  <c r="CQ38" i="1"/>
  <c r="CQ34" i="1"/>
  <c r="CQ30" i="1"/>
  <c r="CQ26" i="1"/>
  <c r="CQ22" i="1"/>
  <c r="CQ18" i="1"/>
  <c r="CQ14" i="1"/>
  <c r="CQ10" i="1"/>
  <c r="D86" i="9"/>
  <c r="D182" i="9"/>
  <c r="D66" i="9"/>
  <c r="D205" i="9"/>
  <c r="D2" i="9"/>
  <c r="D176" i="9"/>
  <c r="D128" i="9"/>
  <c r="D120" i="9"/>
  <c r="D151" i="9"/>
  <c r="BQ2" i="1"/>
  <c r="BP4" i="1"/>
  <c r="BQ4" i="1" s="1"/>
  <c r="CI267" i="1"/>
  <c r="CI263" i="1"/>
  <c r="CI259" i="1"/>
  <c r="CI255" i="1"/>
  <c r="CI251" i="1"/>
  <c r="CI247" i="1"/>
  <c r="CI243" i="1"/>
  <c r="CI239" i="1"/>
  <c r="CI235" i="1"/>
  <c r="CI231" i="1"/>
  <c r="CI223" i="1"/>
  <c r="CI215" i="1"/>
  <c r="CI207" i="1"/>
  <c r="CI199" i="1"/>
  <c r="CI191" i="1"/>
  <c r="CI183" i="1"/>
  <c r="CK175" i="1"/>
  <c r="CK171" i="1"/>
  <c r="CI167" i="1"/>
  <c r="CI163" i="1"/>
  <c r="CI155" i="1"/>
  <c r="CI151" i="1"/>
  <c r="CI139" i="1"/>
  <c r="CI135" i="1"/>
  <c r="CI131" i="1"/>
  <c r="CI127" i="1"/>
  <c r="CK123" i="1"/>
  <c r="CK119" i="1"/>
  <c r="CI115" i="1"/>
  <c r="CI111" i="1"/>
  <c r="CI87" i="1"/>
  <c r="CI83" i="1"/>
  <c r="CI79" i="1"/>
  <c r="CI71" i="1"/>
  <c r="CI67" i="1"/>
  <c r="CI59" i="1"/>
  <c r="CI51" i="1"/>
  <c r="CI47" i="1"/>
  <c r="CI39" i="1"/>
  <c r="CI31" i="1"/>
  <c r="CI23" i="1"/>
  <c r="CI15" i="1"/>
  <c r="CI11" i="1"/>
  <c r="CI264" i="1"/>
  <c r="CI260" i="1"/>
  <c r="CI256" i="1"/>
  <c r="CI252" i="1"/>
  <c r="CI248" i="1"/>
  <c r="CI244" i="1"/>
  <c r="CI7" i="1"/>
  <c r="CI95" i="1"/>
  <c r="CK88" i="1"/>
  <c r="CK84" i="1"/>
  <c r="CK80" i="1"/>
  <c r="CK76" i="1"/>
  <c r="CK68" i="1"/>
  <c r="CK60" i="1"/>
  <c r="CK52" i="1"/>
  <c r="CK48" i="1"/>
  <c r="CK44" i="1"/>
  <c r="CK40" i="1"/>
  <c r="CK32" i="1"/>
  <c r="CK20" i="1"/>
  <c r="CK16" i="1"/>
  <c r="CK12" i="1"/>
  <c r="CI240" i="1"/>
  <c r="CI232" i="1"/>
  <c r="CI228" i="1"/>
  <c r="CI220" i="1"/>
  <c r="CI212" i="1"/>
  <c r="CI204" i="1"/>
  <c r="CI196" i="1"/>
  <c r="CI188" i="1"/>
  <c r="CI180" i="1"/>
  <c r="CK176" i="1"/>
  <c r="CK172" i="1"/>
  <c r="CK168" i="1"/>
  <c r="CK164" i="1"/>
  <c r="CK160" i="1"/>
  <c r="CK152" i="1"/>
  <c r="CK148" i="1"/>
  <c r="CK144" i="1"/>
  <c r="CK136" i="1"/>
  <c r="CK132" i="1"/>
  <c r="CK128" i="1"/>
  <c r="CK120" i="1"/>
  <c r="CK116" i="1"/>
  <c r="CK112" i="1"/>
  <c r="CK104" i="1"/>
  <c r="CK96" i="1"/>
  <c r="CK11" i="1"/>
  <c r="CK8" i="1"/>
  <c r="CK154" i="1"/>
  <c r="CK150" i="1"/>
  <c r="CK146" i="1"/>
  <c r="CK142" i="1"/>
  <c r="CK38" i="1"/>
  <c r="CK34" i="1"/>
  <c r="CK30" i="1"/>
  <c r="CK26" i="1"/>
  <c r="CK10" i="1"/>
  <c r="CK270" i="1"/>
  <c r="CK266" i="1"/>
  <c r="CK258" i="1"/>
  <c r="CK254" i="1"/>
  <c r="CK250" i="1"/>
  <c r="CK242" i="1"/>
  <c r="CK238" i="1"/>
  <c r="CK230" i="1"/>
  <c r="CK222" i="1"/>
  <c r="CK214" i="1"/>
  <c r="CK206" i="1"/>
  <c r="CK198" i="1"/>
  <c r="CK190" i="1"/>
  <c r="CK182" i="1"/>
  <c r="CK170" i="1"/>
  <c r="CK167" i="1"/>
  <c r="CK134" i="1"/>
  <c r="CK130" i="1"/>
  <c r="CK118" i="1"/>
  <c r="CK110" i="1"/>
  <c r="CK106" i="1"/>
  <c r="CK102" i="1"/>
  <c r="CK98" i="1"/>
  <c r="CK74" i="1"/>
  <c r="CK269" i="1"/>
  <c r="CK265" i="1"/>
  <c r="CK261" i="1"/>
  <c r="CK257" i="1"/>
  <c r="CK253" i="1"/>
  <c r="CK249" i="1"/>
  <c r="CK135" i="1"/>
  <c r="CK248" i="1"/>
  <c r="CK245" i="1"/>
  <c r="CK241" i="1"/>
  <c r="CK237" i="1"/>
  <c r="CK233" i="1"/>
  <c r="CK229" i="1"/>
  <c r="CK225" i="1"/>
  <c r="CK221" i="1"/>
  <c r="CK217" i="1"/>
  <c r="CK213" i="1"/>
  <c r="CK209" i="1"/>
  <c r="CK205" i="1"/>
  <c r="CK201" i="1"/>
  <c r="CK197" i="1"/>
  <c r="CK193" i="1"/>
  <c r="CK189" i="1"/>
  <c r="CK185" i="1"/>
  <c r="CK181" i="1"/>
  <c r="CK177" i="1"/>
  <c r="CK173" i="1"/>
  <c r="CK169" i="1"/>
  <c r="CK67" i="1"/>
  <c r="CK162" i="1"/>
  <c r="CK54" i="1"/>
  <c r="CK95" i="1"/>
  <c r="CK158" i="1"/>
  <c r="CK58" i="1"/>
  <c r="CK42" i="1"/>
  <c r="CK264" i="1"/>
  <c r="CK155" i="1"/>
  <c r="CK39" i="1"/>
  <c r="CI236" i="1"/>
  <c r="CK236" i="1"/>
  <c r="CI224" i="1"/>
  <c r="CK224" i="1"/>
  <c r="CI216" i="1"/>
  <c r="CK216" i="1"/>
  <c r="CI208" i="1"/>
  <c r="CK208" i="1"/>
  <c r="CI200" i="1"/>
  <c r="CK200" i="1"/>
  <c r="CI192" i="1"/>
  <c r="CK192" i="1"/>
  <c r="CI184" i="1"/>
  <c r="CK184" i="1"/>
  <c r="CI107" i="1"/>
  <c r="CK107" i="1"/>
  <c r="CI147" i="1"/>
  <c r="CK147" i="1"/>
  <c r="CK46" i="1"/>
  <c r="CI227" i="1"/>
  <c r="CK227" i="1"/>
  <c r="CI219" i="1"/>
  <c r="CK219" i="1"/>
  <c r="CI211" i="1"/>
  <c r="CK211" i="1"/>
  <c r="CI203" i="1"/>
  <c r="CK203" i="1"/>
  <c r="CI195" i="1"/>
  <c r="CK195" i="1"/>
  <c r="CI187" i="1"/>
  <c r="CK187" i="1"/>
  <c r="CI179" i="1"/>
  <c r="CK179" i="1"/>
  <c r="CI75" i="1"/>
  <c r="CK75" i="1"/>
  <c r="CI271" i="1"/>
  <c r="CK271" i="1"/>
  <c r="CI19" i="1"/>
  <c r="CK19" i="1"/>
  <c r="CI268" i="1"/>
  <c r="CK268" i="1"/>
  <c r="CI43" i="1"/>
  <c r="CK43" i="1"/>
  <c r="CK24" i="1"/>
  <c r="CI24" i="1"/>
  <c r="CK252" i="1"/>
  <c r="CK231" i="1"/>
  <c r="CK228" i="1"/>
  <c r="CK223" i="1"/>
  <c r="CK220" i="1"/>
  <c r="CK215" i="1"/>
  <c r="CK212" i="1"/>
  <c r="CK207" i="1"/>
  <c r="CK204" i="1"/>
  <c r="CK199" i="1"/>
  <c r="CK196" i="1"/>
  <c r="CK191" i="1"/>
  <c r="CK188" i="1"/>
  <c r="CK183" i="1"/>
  <c r="CK180" i="1"/>
  <c r="CK127" i="1"/>
  <c r="CK87" i="1"/>
  <c r="CK59" i="1"/>
  <c r="CI152" i="1"/>
  <c r="CK115" i="1"/>
  <c r="CK83" i="1"/>
  <c r="CK51" i="1"/>
  <c r="CK23" i="1"/>
  <c r="CK262" i="1"/>
  <c r="CK246" i="1"/>
  <c r="CK234" i="1"/>
  <c r="CK226" i="1"/>
  <c r="CK218" i="1"/>
  <c r="CK210" i="1"/>
  <c r="CK202" i="1"/>
  <c r="CK194" i="1"/>
  <c r="CK186" i="1"/>
  <c r="CK178" i="1"/>
  <c r="CK166" i="1"/>
  <c r="CK138" i="1"/>
  <c r="CK126" i="1"/>
  <c r="CK122" i="1"/>
  <c r="CK114" i="1"/>
  <c r="CK94" i="1"/>
  <c r="CK90" i="1"/>
  <c r="CK82" i="1"/>
  <c r="CK78" i="1"/>
  <c r="CK66" i="1"/>
  <c r="CK62" i="1"/>
  <c r="CK50" i="1"/>
  <c r="CK18" i="1"/>
  <c r="CK14" i="1"/>
  <c r="CI175" i="1"/>
  <c r="CI173" i="1"/>
  <c r="CI171" i="1"/>
  <c r="CI168" i="1"/>
  <c r="CK139" i="1"/>
  <c r="CK131" i="1"/>
  <c r="CI119" i="1"/>
  <c r="CI116" i="1"/>
  <c r="CI96" i="1"/>
  <c r="CI84" i="1"/>
  <c r="CI68" i="1"/>
  <c r="CI52" i="1"/>
  <c r="CK260" i="1"/>
  <c r="CK244" i="1"/>
  <c r="CK235" i="1"/>
  <c r="CK232" i="1"/>
  <c r="CI32" i="1"/>
  <c r="CK256" i="1"/>
  <c r="CK240" i="1"/>
  <c r="CK163" i="1"/>
  <c r="CK151" i="1"/>
  <c r="CI136" i="1"/>
  <c r="CK111" i="1"/>
  <c r="CI88" i="1"/>
  <c r="CI76" i="1"/>
  <c r="CI60" i="1"/>
  <c r="CK47" i="1"/>
  <c r="CK31" i="1"/>
  <c r="CI12" i="1"/>
  <c r="CK156" i="1"/>
  <c r="CI156" i="1"/>
  <c r="CK108" i="1"/>
  <c r="CI108" i="1"/>
  <c r="CK263" i="1"/>
  <c r="CK255" i="1"/>
  <c r="CK247" i="1"/>
  <c r="CK239" i="1"/>
  <c r="CI166" i="1"/>
  <c r="CK159" i="1"/>
  <c r="CI159" i="1"/>
  <c r="CK140" i="1"/>
  <c r="CI140" i="1"/>
  <c r="CK72" i="1"/>
  <c r="CI72" i="1"/>
  <c r="CI150" i="1"/>
  <c r="CK143" i="1"/>
  <c r="CI143" i="1"/>
  <c r="CI103" i="1"/>
  <c r="CK103" i="1"/>
  <c r="CI99" i="1"/>
  <c r="CK99" i="1"/>
  <c r="CI27" i="1"/>
  <c r="CK27" i="1"/>
  <c r="CK267" i="1"/>
  <c r="CK259" i="1"/>
  <c r="CK251" i="1"/>
  <c r="CK243" i="1"/>
  <c r="CI134" i="1"/>
  <c r="CK70" i="1"/>
  <c r="CK64" i="1"/>
  <c r="CI64" i="1"/>
  <c r="CI170" i="1"/>
  <c r="CI154" i="1"/>
  <c r="CI138" i="1"/>
  <c r="CK124" i="1"/>
  <c r="CI124" i="1"/>
  <c r="CI114" i="1"/>
  <c r="CI98" i="1"/>
  <c r="CK92" i="1"/>
  <c r="CI92" i="1"/>
  <c r="CK86" i="1"/>
  <c r="CI63" i="1"/>
  <c r="CK63" i="1"/>
  <c r="CK36" i="1"/>
  <c r="CI36" i="1"/>
  <c r="CI160" i="1"/>
  <c r="CI158" i="1"/>
  <c r="CI144" i="1"/>
  <c r="CI142" i="1"/>
  <c r="CI130" i="1"/>
  <c r="CI91" i="1"/>
  <c r="CK91" i="1"/>
  <c r="CI80" i="1"/>
  <c r="CK56" i="1"/>
  <c r="CI56" i="1"/>
  <c r="CI35" i="1"/>
  <c r="CK35" i="1"/>
  <c r="CI8" i="1"/>
  <c r="CI164" i="1"/>
  <c r="CI162" i="1"/>
  <c r="CI148" i="1"/>
  <c r="CI146" i="1"/>
  <c r="CI132" i="1"/>
  <c r="CI123" i="1"/>
  <c r="CI120" i="1"/>
  <c r="CI118" i="1"/>
  <c r="CK100" i="1"/>
  <c r="CI100" i="1"/>
  <c r="CI55" i="1"/>
  <c r="CK55" i="1"/>
  <c r="CI50" i="1"/>
  <c r="CI44" i="1"/>
  <c r="CI34" i="1"/>
  <c r="CK28" i="1"/>
  <c r="CI28" i="1"/>
  <c r="CK22" i="1"/>
  <c r="CI16" i="1"/>
  <c r="CI122" i="1"/>
  <c r="CI82" i="1"/>
  <c r="CK79" i="1"/>
  <c r="CK71" i="1"/>
  <c r="CI18" i="1"/>
  <c r="CK15" i="1"/>
  <c r="CK7" i="1"/>
  <c r="CI128" i="1"/>
  <c r="CI126" i="1"/>
  <c r="CI112" i="1"/>
  <c r="CI104" i="1"/>
  <c r="CI66" i="1"/>
  <c r="CI48" i="1"/>
  <c r="CI40" i="1"/>
  <c r="CI20" i="1"/>
  <c r="CI270" i="1"/>
  <c r="CI266" i="1"/>
  <c r="CI262" i="1"/>
  <c r="CI258" i="1"/>
  <c r="CI254" i="1"/>
  <c r="CI250" i="1"/>
  <c r="CI246" i="1"/>
  <c r="CI242" i="1"/>
  <c r="CI238" i="1"/>
  <c r="CI234" i="1"/>
  <c r="CI230" i="1"/>
  <c r="CI226" i="1"/>
  <c r="CI222" i="1"/>
  <c r="CI218" i="1"/>
  <c r="CI214" i="1"/>
  <c r="CI210" i="1"/>
  <c r="CI206" i="1"/>
  <c r="CI202" i="1"/>
  <c r="CI198" i="1"/>
  <c r="CI194" i="1"/>
  <c r="CI190" i="1"/>
  <c r="CI186" i="1"/>
  <c r="CI182" i="1"/>
  <c r="CI178" i="1"/>
  <c r="CI102" i="1"/>
  <c r="CI86" i="1"/>
  <c r="CI70" i="1"/>
  <c r="CI54" i="1"/>
  <c r="CI38" i="1"/>
  <c r="CI22" i="1"/>
  <c r="CI106" i="1"/>
  <c r="CI90" i="1"/>
  <c r="CI74" i="1"/>
  <c r="CI58" i="1"/>
  <c r="CI42" i="1"/>
  <c r="CI26" i="1"/>
  <c r="CI10" i="1"/>
  <c r="CI174" i="1"/>
  <c r="CI110" i="1"/>
  <c r="CI94" i="1"/>
  <c r="CI78" i="1"/>
  <c r="CI62" i="1"/>
  <c r="CI46" i="1"/>
  <c r="CI30" i="1"/>
  <c r="CI14" i="1"/>
  <c r="CK13" i="1"/>
  <c r="CI13" i="1"/>
  <c r="CI269" i="1"/>
  <c r="CI265" i="1"/>
  <c r="CI261" i="1"/>
  <c r="CI257" i="1"/>
  <c r="CI253" i="1"/>
  <c r="CI249" i="1"/>
  <c r="CI245" i="1"/>
  <c r="CI241" i="1"/>
  <c r="CI237" i="1"/>
  <c r="CI233" i="1"/>
  <c r="CI229" i="1"/>
  <c r="CI225" i="1"/>
  <c r="CI221" i="1"/>
  <c r="CI217" i="1"/>
  <c r="CI213" i="1"/>
  <c r="CI209" i="1"/>
  <c r="CI205" i="1"/>
  <c r="CI201" i="1"/>
  <c r="CI197" i="1"/>
  <c r="CI193" i="1"/>
  <c r="CI189" i="1"/>
  <c r="CI185" i="1"/>
  <c r="CI181" i="1"/>
  <c r="CI177" i="1"/>
  <c r="CI172" i="1"/>
  <c r="CI169" i="1"/>
  <c r="CK165" i="1"/>
  <c r="CI165" i="1"/>
  <c r="CK161" i="1"/>
  <c r="CI161" i="1"/>
  <c r="CK157" i="1"/>
  <c r="CI157" i="1"/>
  <c r="CK153" i="1"/>
  <c r="CI153" i="1"/>
  <c r="CK149" i="1"/>
  <c r="CI149" i="1"/>
  <c r="CK145" i="1"/>
  <c r="CI145" i="1"/>
  <c r="CK141" i="1"/>
  <c r="CI141" i="1"/>
  <c r="CK137" i="1"/>
  <c r="CI137" i="1"/>
  <c r="CK133" i="1"/>
  <c r="CI133" i="1"/>
  <c r="CK129" i="1"/>
  <c r="CI129" i="1"/>
  <c r="CK125" i="1"/>
  <c r="CI125" i="1"/>
  <c r="CK121" i="1"/>
  <c r="CI121" i="1"/>
  <c r="CK117" i="1"/>
  <c r="CI117" i="1"/>
  <c r="CK113" i="1"/>
  <c r="CI113" i="1"/>
  <c r="CK97" i="1"/>
  <c r="CI97" i="1"/>
  <c r="CK81" i="1"/>
  <c r="CI81" i="1"/>
  <c r="CK65" i="1"/>
  <c r="CI65" i="1"/>
  <c r="CK49" i="1"/>
  <c r="CI49" i="1"/>
  <c r="CK33" i="1"/>
  <c r="CI33" i="1"/>
  <c r="CK17" i="1"/>
  <c r="CI17" i="1"/>
  <c r="CK109" i="1"/>
  <c r="CI109" i="1"/>
  <c r="CK77" i="1"/>
  <c r="CI77" i="1"/>
  <c r="CK45" i="1"/>
  <c r="CI45" i="1"/>
  <c r="CK101" i="1"/>
  <c r="CI101" i="1"/>
  <c r="CK85" i="1"/>
  <c r="CI85" i="1"/>
  <c r="CK69" i="1"/>
  <c r="CI69" i="1"/>
  <c r="CK53" i="1"/>
  <c r="CI53" i="1"/>
  <c r="CK37" i="1"/>
  <c r="CI37" i="1"/>
  <c r="CK21" i="1"/>
  <c r="CI21" i="1"/>
  <c r="CK93" i="1"/>
  <c r="CI93" i="1"/>
  <c r="CK61" i="1"/>
  <c r="CI61" i="1"/>
  <c r="CK29" i="1"/>
  <c r="CI29" i="1"/>
  <c r="CI176" i="1"/>
  <c r="CK174" i="1"/>
  <c r="CK105" i="1"/>
  <c r="CI105" i="1"/>
  <c r="CK89" i="1"/>
  <c r="CI89" i="1"/>
  <c r="CK73" i="1"/>
  <c r="CI73" i="1"/>
  <c r="CK57" i="1"/>
  <c r="CI57" i="1"/>
  <c r="CK41" i="1"/>
  <c r="CI41" i="1"/>
  <c r="CK25" i="1"/>
  <c r="CI25" i="1"/>
  <c r="CK9" i="1"/>
  <c r="CI9" i="1"/>
  <c r="CA209" i="1"/>
  <c r="CA186" i="1"/>
  <c r="CA90" i="1"/>
  <c r="CA70" i="1"/>
  <c r="CA180" i="1"/>
  <c r="CA155" i="1"/>
  <c r="CA6" i="1"/>
  <c r="CI6" i="1"/>
  <c r="DX6" i="1" s="1"/>
  <c r="CK6" i="1"/>
  <c r="EH209" i="1"/>
  <c r="EJ209" i="1" s="1"/>
  <c r="EL209" i="1" s="1"/>
  <c r="EH113" i="1"/>
  <c r="EJ113" i="1" s="1"/>
  <c r="EL113" i="1" s="1"/>
  <c r="BT186" i="1" a="1"/>
  <c r="BT186" i="1" s="1"/>
  <c r="EH90" i="1"/>
  <c r="BU7" i="1" a="1"/>
  <c r="BU7" i="1" s="1"/>
  <c r="BU8" i="1" a="1"/>
  <c r="BU8" i="1" s="1"/>
  <c r="BU9" i="1" a="1"/>
  <c r="BU9" i="1" s="1"/>
  <c r="BU10" i="1" a="1"/>
  <c r="BU10" i="1" s="1"/>
  <c r="BU11" i="1" a="1"/>
  <c r="BU11" i="1" s="1"/>
  <c r="BU12" i="1" a="1"/>
  <c r="BU12" i="1" s="1"/>
  <c r="BU13" i="1" a="1"/>
  <c r="BU13" i="1" s="1"/>
  <c r="BU14" i="1" a="1"/>
  <c r="BU14" i="1" s="1"/>
  <c r="BU15" i="1" a="1"/>
  <c r="BU15" i="1" s="1"/>
  <c r="BU16" i="1" a="1"/>
  <c r="BU16" i="1" s="1"/>
  <c r="BU17" i="1" a="1"/>
  <c r="BU17" i="1" s="1"/>
  <c r="BU18" i="1" a="1"/>
  <c r="BU18" i="1" s="1"/>
  <c r="BU90" i="1" a="1"/>
  <c r="BU90" i="1" s="1"/>
  <c r="BU20" i="1" a="1"/>
  <c r="BU20" i="1" s="1"/>
  <c r="BU21" i="1" a="1"/>
  <c r="BU21" i="1" s="1"/>
  <c r="BU22" i="1" a="1"/>
  <c r="BU22" i="1" s="1"/>
  <c r="BU23" i="1" a="1"/>
  <c r="BU23" i="1" s="1"/>
  <c r="BU24" i="1" a="1"/>
  <c r="BU24" i="1" s="1"/>
  <c r="BU25" i="1" a="1"/>
  <c r="BU25" i="1" s="1"/>
  <c r="BU26" i="1" a="1"/>
  <c r="BU26" i="1" s="1"/>
  <c r="BU27" i="1" a="1"/>
  <c r="BU27" i="1" s="1"/>
  <c r="BU28" i="1" a="1"/>
  <c r="BU28" i="1" s="1"/>
  <c r="BU29" i="1" a="1"/>
  <c r="BU29" i="1" s="1"/>
  <c r="BU30" i="1" a="1"/>
  <c r="BU30" i="1" s="1"/>
  <c r="BU31" i="1" a="1"/>
  <c r="BU31" i="1" s="1"/>
  <c r="BU32" i="1" a="1"/>
  <c r="BU32" i="1" s="1"/>
  <c r="BU33" i="1" a="1"/>
  <c r="BU33" i="1" s="1"/>
  <c r="BU34" i="1" a="1"/>
  <c r="BU34" i="1" s="1"/>
  <c r="BU35" i="1" a="1"/>
  <c r="BU35" i="1" s="1"/>
  <c r="BU36" i="1" a="1"/>
  <c r="BU36" i="1" s="1"/>
  <c r="BU37" i="1" a="1"/>
  <c r="BU37" i="1" s="1"/>
  <c r="BU38" i="1" a="1"/>
  <c r="BU38" i="1" s="1"/>
  <c r="BU39" i="1" a="1"/>
  <c r="BU39" i="1" s="1"/>
  <c r="BU40" i="1" a="1"/>
  <c r="BU40" i="1" s="1"/>
  <c r="BU41" i="1" a="1"/>
  <c r="BU41" i="1" s="1"/>
  <c r="BU42" i="1" a="1"/>
  <c r="BU42" i="1" s="1"/>
  <c r="BU43" i="1" a="1"/>
  <c r="BU43" i="1" s="1"/>
  <c r="BU44" i="1" a="1"/>
  <c r="BU44" i="1" s="1"/>
  <c r="BU45" i="1" a="1"/>
  <c r="BU45" i="1" s="1"/>
  <c r="BU46" i="1" a="1"/>
  <c r="BU46" i="1" s="1"/>
  <c r="BU47" i="1" a="1"/>
  <c r="BU47" i="1" s="1"/>
  <c r="BU48" i="1" a="1"/>
  <c r="BU48" i="1" s="1"/>
  <c r="BU49" i="1" a="1"/>
  <c r="BU49" i="1" s="1"/>
  <c r="BU50" i="1" a="1"/>
  <c r="BU50" i="1" s="1"/>
  <c r="BU51" i="1" a="1"/>
  <c r="BU51" i="1" s="1"/>
  <c r="BU52" i="1" a="1"/>
  <c r="BU52" i="1" s="1"/>
  <c r="BU53" i="1" a="1"/>
  <c r="BU53" i="1" s="1"/>
  <c r="BU54" i="1" a="1"/>
  <c r="BU54" i="1" s="1"/>
  <c r="BU55" i="1" a="1"/>
  <c r="BU55" i="1" s="1"/>
  <c r="BU56" i="1" a="1"/>
  <c r="BU56" i="1" s="1"/>
  <c r="BU57" i="1" a="1"/>
  <c r="BU57" i="1" s="1"/>
  <c r="BU58" i="1" a="1"/>
  <c r="BU58" i="1" s="1"/>
  <c r="BU59" i="1" a="1"/>
  <c r="BU59" i="1" s="1"/>
  <c r="BU60" i="1" a="1"/>
  <c r="BU60" i="1" s="1"/>
  <c r="BU61" i="1" a="1"/>
  <c r="BU61" i="1" s="1"/>
  <c r="BU62" i="1" a="1"/>
  <c r="BU62" i="1" s="1"/>
  <c r="BU63" i="1" a="1"/>
  <c r="BU63" i="1" s="1"/>
  <c r="BU64" i="1" a="1"/>
  <c r="BU64" i="1" s="1"/>
  <c r="BU65" i="1" a="1"/>
  <c r="BU65" i="1" s="1"/>
  <c r="BU66" i="1" a="1"/>
  <c r="BU66" i="1" s="1"/>
  <c r="BU121" i="1" a="1"/>
  <c r="BU121" i="1" s="1"/>
  <c r="BU68" i="1" a="1"/>
  <c r="BU68" i="1" s="1"/>
  <c r="BU69" i="1" a="1"/>
  <c r="BU69" i="1" s="1"/>
  <c r="BU155" i="1" a="1"/>
  <c r="BU155" i="1" s="1"/>
  <c r="BU71" i="1" a="1"/>
  <c r="BU71" i="1" s="1"/>
  <c r="BU72" i="1" a="1"/>
  <c r="BU72" i="1" s="1"/>
  <c r="BU73" i="1" a="1"/>
  <c r="BU73" i="1" s="1"/>
  <c r="BU74" i="1" a="1"/>
  <c r="BU74" i="1" s="1"/>
  <c r="BU75" i="1" a="1"/>
  <c r="BU75" i="1" s="1"/>
  <c r="BU76" i="1" a="1"/>
  <c r="BU76" i="1" s="1"/>
  <c r="BU77" i="1" a="1"/>
  <c r="BU77" i="1" s="1"/>
  <c r="BU78" i="1" a="1"/>
  <c r="BU78" i="1" s="1"/>
  <c r="BU79" i="1" a="1"/>
  <c r="BU79" i="1" s="1"/>
  <c r="BU80" i="1" a="1"/>
  <c r="BU80" i="1" s="1"/>
  <c r="BU81" i="1" a="1"/>
  <c r="BU81" i="1" s="1"/>
  <c r="BU82" i="1" a="1"/>
  <c r="BU82" i="1" s="1"/>
  <c r="BU83" i="1" a="1"/>
  <c r="BU83" i="1" s="1"/>
  <c r="BU84" i="1" a="1"/>
  <c r="BU84" i="1" s="1"/>
  <c r="BU85" i="1" a="1"/>
  <c r="BU85" i="1" s="1"/>
  <c r="BU86" i="1" a="1"/>
  <c r="BU86" i="1" s="1"/>
  <c r="BU87" i="1" a="1"/>
  <c r="BU87" i="1" s="1"/>
  <c r="BU88" i="1" a="1"/>
  <c r="BU88" i="1" s="1"/>
  <c r="BU114" i="1" a="1"/>
  <c r="BU114" i="1" s="1"/>
  <c r="BU186" i="1" a="1"/>
  <c r="BU186" i="1" s="1"/>
  <c r="BU91" i="1" a="1"/>
  <c r="BU91" i="1" s="1"/>
  <c r="BU92" i="1" a="1"/>
  <c r="BU92" i="1" s="1"/>
  <c r="BU93" i="1" a="1"/>
  <c r="BU93" i="1" s="1"/>
  <c r="BU94" i="1" a="1"/>
  <c r="BU94" i="1" s="1"/>
  <c r="BU95" i="1" a="1"/>
  <c r="BU95" i="1" s="1"/>
  <c r="BU96" i="1" a="1"/>
  <c r="BU96" i="1" s="1"/>
  <c r="BU97" i="1" a="1"/>
  <c r="BU97" i="1" s="1"/>
  <c r="BU98" i="1" a="1"/>
  <c r="BU98" i="1" s="1"/>
  <c r="BU99" i="1" a="1"/>
  <c r="BU99" i="1" s="1"/>
  <c r="BU100" i="1" a="1"/>
  <c r="BU100" i="1" s="1"/>
  <c r="BU101" i="1" a="1"/>
  <c r="BU101" i="1" s="1"/>
  <c r="BU102" i="1" a="1"/>
  <c r="BU102" i="1" s="1"/>
  <c r="BU103" i="1" a="1"/>
  <c r="BU103" i="1" s="1"/>
  <c r="BU104" i="1" a="1"/>
  <c r="BU104" i="1" s="1"/>
  <c r="BU105" i="1" a="1"/>
  <c r="BU105" i="1" s="1"/>
  <c r="BU106" i="1" a="1"/>
  <c r="BU106" i="1" s="1"/>
  <c r="BU107" i="1" a="1"/>
  <c r="BU107" i="1" s="1"/>
  <c r="BU108" i="1" a="1"/>
  <c r="BU108" i="1" s="1"/>
  <c r="BU109" i="1" a="1"/>
  <c r="BU109" i="1" s="1"/>
  <c r="BU110" i="1" a="1"/>
  <c r="BU110" i="1" s="1"/>
  <c r="BU111" i="1" a="1"/>
  <c r="BU111" i="1" s="1"/>
  <c r="BU112" i="1" a="1"/>
  <c r="BU112" i="1" s="1"/>
  <c r="BU113" i="1" a="1"/>
  <c r="BU113" i="1" s="1"/>
  <c r="BU153" i="1" a="1"/>
  <c r="BU153" i="1" s="1"/>
  <c r="BU115" i="1" a="1"/>
  <c r="BU115" i="1" s="1"/>
  <c r="BU116" i="1" a="1"/>
  <c r="BU116" i="1" s="1"/>
  <c r="BU117" i="1" a="1"/>
  <c r="BU117" i="1" s="1"/>
  <c r="BU118" i="1" a="1"/>
  <c r="BU118" i="1" s="1"/>
  <c r="BU119" i="1" a="1"/>
  <c r="BU119" i="1" s="1"/>
  <c r="BU67" i="1" a="1"/>
  <c r="BU67" i="1" s="1"/>
  <c r="BU70" i="1" a="1"/>
  <c r="BU70" i="1" s="1"/>
  <c r="BU122" i="1" a="1"/>
  <c r="BU122" i="1" s="1"/>
  <c r="BU123" i="1" a="1"/>
  <c r="BU123" i="1" s="1"/>
  <c r="BU124" i="1" a="1"/>
  <c r="BU124" i="1" s="1"/>
  <c r="BU125" i="1" a="1"/>
  <c r="BU125" i="1" s="1"/>
  <c r="BU126" i="1" a="1"/>
  <c r="BU126" i="1" s="1"/>
  <c r="BU127" i="1" a="1"/>
  <c r="BU127" i="1" s="1"/>
  <c r="BU128" i="1" a="1"/>
  <c r="BU128" i="1" s="1"/>
  <c r="BU129" i="1" a="1"/>
  <c r="BU129" i="1" s="1"/>
  <c r="BU130" i="1" a="1"/>
  <c r="BU130" i="1" s="1"/>
  <c r="BU131" i="1" a="1"/>
  <c r="BU131" i="1" s="1"/>
  <c r="BU132" i="1" a="1"/>
  <c r="BU132" i="1" s="1"/>
  <c r="BU133" i="1" a="1"/>
  <c r="BU133" i="1" s="1"/>
  <c r="BU134" i="1" a="1"/>
  <c r="BU134" i="1" s="1"/>
  <c r="BU135" i="1" a="1"/>
  <c r="BU135" i="1" s="1"/>
  <c r="BU136" i="1" a="1"/>
  <c r="BU136" i="1" s="1"/>
  <c r="BU137" i="1" a="1"/>
  <c r="BU137" i="1" s="1"/>
  <c r="BU138" i="1" a="1"/>
  <c r="BU138" i="1" s="1"/>
  <c r="BU139" i="1" a="1"/>
  <c r="BU139" i="1" s="1"/>
  <c r="BU140" i="1" a="1"/>
  <c r="BU140" i="1" s="1"/>
  <c r="BU141" i="1" a="1"/>
  <c r="BU141" i="1" s="1"/>
  <c r="BU142" i="1" a="1"/>
  <c r="BU142" i="1" s="1"/>
  <c r="BU143" i="1" a="1"/>
  <c r="BU143" i="1" s="1"/>
  <c r="BU144" i="1" a="1"/>
  <c r="BU144" i="1" s="1"/>
  <c r="BU145" i="1" a="1"/>
  <c r="BU145" i="1" s="1"/>
  <c r="BU146" i="1" a="1"/>
  <c r="BU146" i="1" s="1"/>
  <c r="BU147" i="1" a="1"/>
  <c r="BU147" i="1" s="1"/>
  <c r="BU148" i="1" a="1"/>
  <c r="BU148" i="1" s="1"/>
  <c r="BU149" i="1" a="1"/>
  <c r="BU149" i="1" s="1"/>
  <c r="BU150" i="1" a="1"/>
  <c r="BU150" i="1" s="1"/>
  <c r="BU151" i="1" a="1"/>
  <c r="BU151" i="1" s="1"/>
  <c r="BU152" i="1" a="1"/>
  <c r="BU152" i="1" s="1"/>
  <c r="BU120" i="1" a="1"/>
  <c r="BU120" i="1" s="1"/>
  <c r="BU154" i="1" a="1"/>
  <c r="BU154" i="1" s="1"/>
  <c r="BU89" i="1" a="1"/>
  <c r="BU89" i="1" s="1"/>
  <c r="BU156" i="1" a="1"/>
  <c r="BU156" i="1" s="1"/>
  <c r="BU157" i="1" a="1"/>
  <c r="BU157" i="1" s="1"/>
  <c r="BU158" i="1" a="1"/>
  <c r="BU158" i="1" s="1"/>
  <c r="BU159" i="1" a="1"/>
  <c r="BU159" i="1" s="1"/>
  <c r="BU160" i="1" a="1"/>
  <c r="BU160" i="1" s="1"/>
  <c r="BU161" i="1" a="1"/>
  <c r="BU161" i="1" s="1"/>
  <c r="BU162" i="1" a="1"/>
  <c r="BU162" i="1" s="1"/>
  <c r="BU163" i="1" a="1"/>
  <c r="BU163" i="1" s="1"/>
  <c r="BU164" i="1" a="1"/>
  <c r="BU164" i="1" s="1"/>
  <c r="BU165" i="1" a="1"/>
  <c r="BU165" i="1" s="1"/>
  <c r="BU166" i="1" a="1"/>
  <c r="BU166" i="1" s="1"/>
  <c r="BU167" i="1" a="1"/>
  <c r="BU167" i="1" s="1"/>
  <c r="BU168" i="1" a="1"/>
  <c r="BU168" i="1" s="1"/>
  <c r="BU169" i="1" a="1"/>
  <c r="BU169" i="1" s="1"/>
  <c r="BU170" i="1" a="1"/>
  <c r="BU170" i="1" s="1"/>
  <c r="BU171" i="1" a="1"/>
  <c r="BU171" i="1" s="1"/>
  <c r="BU172" i="1" a="1"/>
  <c r="BU172" i="1" s="1"/>
  <c r="BU173" i="1" a="1"/>
  <c r="BU173" i="1" s="1"/>
  <c r="BU174" i="1" a="1"/>
  <c r="BU174" i="1" s="1"/>
  <c r="BU175" i="1" a="1"/>
  <c r="BU175" i="1" s="1"/>
  <c r="BU176" i="1" a="1"/>
  <c r="BU176" i="1" s="1"/>
  <c r="BU177" i="1" a="1"/>
  <c r="BU177" i="1" s="1"/>
  <c r="BU178" i="1" a="1"/>
  <c r="BU178" i="1" s="1"/>
  <c r="BU179" i="1" a="1"/>
  <c r="BU179" i="1" s="1"/>
  <c r="BU180" i="1" a="1"/>
  <c r="BU180" i="1" s="1"/>
  <c r="BU181" i="1" a="1"/>
  <c r="BU181" i="1" s="1"/>
  <c r="BU182" i="1" a="1"/>
  <c r="BU182" i="1" s="1"/>
  <c r="BU183" i="1" a="1"/>
  <c r="BU183" i="1" s="1"/>
  <c r="BU184" i="1" a="1"/>
  <c r="BU184" i="1" s="1"/>
  <c r="BU185" i="1" a="1"/>
  <c r="BU185" i="1" s="1"/>
  <c r="BU19" i="1" a="1"/>
  <c r="BU19" i="1" s="1"/>
  <c r="BU187" i="1" a="1"/>
  <c r="BU187" i="1" s="1"/>
  <c r="BU188" i="1" a="1"/>
  <c r="BU188" i="1" s="1"/>
  <c r="BU189" i="1" a="1"/>
  <c r="BU189" i="1" s="1"/>
  <c r="BU190" i="1" a="1"/>
  <c r="BU190" i="1" s="1"/>
  <c r="BU191" i="1" a="1"/>
  <c r="BU191" i="1" s="1"/>
  <c r="BU192" i="1" a="1"/>
  <c r="BU192" i="1" s="1"/>
  <c r="BU193" i="1" a="1"/>
  <c r="BU193" i="1" s="1"/>
  <c r="BU194" i="1" a="1"/>
  <c r="BU194" i="1" s="1"/>
  <c r="BU195" i="1" a="1"/>
  <c r="BU195" i="1" s="1"/>
  <c r="BU196" i="1" a="1"/>
  <c r="BU196" i="1" s="1"/>
  <c r="BU197" i="1" a="1"/>
  <c r="BU197" i="1" s="1"/>
  <c r="BU198" i="1" a="1"/>
  <c r="BU198" i="1" s="1"/>
  <c r="BU199" i="1" a="1"/>
  <c r="BU199" i="1" s="1"/>
  <c r="BU200" i="1" a="1"/>
  <c r="BU200" i="1" s="1"/>
  <c r="BU201" i="1" a="1"/>
  <c r="BU201" i="1" s="1"/>
  <c r="BU202" i="1" a="1"/>
  <c r="BU202" i="1" s="1"/>
  <c r="BU203" i="1" a="1"/>
  <c r="BU203" i="1" s="1"/>
  <c r="BU204" i="1" a="1"/>
  <c r="BU204" i="1" s="1"/>
  <c r="BU205" i="1" a="1"/>
  <c r="BU205" i="1" s="1"/>
  <c r="BU206" i="1" a="1"/>
  <c r="BU206" i="1" s="1"/>
  <c r="BU207" i="1" a="1"/>
  <c r="BU207" i="1" s="1"/>
  <c r="BU208" i="1" a="1"/>
  <c r="BU208" i="1" s="1"/>
  <c r="BU209" i="1" a="1"/>
  <c r="BU209" i="1" s="1"/>
  <c r="BU210" i="1" a="1"/>
  <c r="BU210" i="1" s="1"/>
  <c r="BU211" i="1" a="1"/>
  <c r="BU211" i="1" s="1"/>
  <c r="BU212" i="1" a="1"/>
  <c r="BU212" i="1" s="1"/>
  <c r="BU213" i="1" a="1"/>
  <c r="BU213" i="1" s="1"/>
  <c r="BU214" i="1" a="1"/>
  <c r="BU214" i="1" s="1"/>
  <c r="BU215" i="1" a="1"/>
  <c r="BU215" i="1" s="1"/>
  <c r="BU216" i="1" a="1"/>
  <c r="BU216" i="1" s="1"/>
  <c r="BU217" i="1" a="1"/>
  <c r="BU217" i="1" s="1"/>
  <c r="BU218" i="1" a="1"/>
  <c r="BU218" i="1" s="1"/>
  <c r="BU219" i="1" a="1"/>
  <c r="BU219" i="1" s="1"/>
  <c r="BU220" i="1" a="1"/>
  <c r="BU220" i="1" s="1"/>
  <c r="BU221" i="1" a="1"/>
  <c r="BU221" i="1" s="1"/>
  <c r="BU222" i="1" a="1"/>
  <c r="BU222" i="1" s="1"/>
  <c r="BU223" i="1" a="1"/>
  <c r="BU223" i="1" s="1"/>
  <c r="BU224" i="1" a="1"/>
  <c r="BU224" i="1" s="1"/>
  <c r="BU225" i="1" a="1"/>
  <c r="BU225" i="1" s="1"/>
  <c r="BU226" i="1" a="1"/>
  <c r="BU226" i="1" s="1"/>
  <c r="BU227" i="1" a="1"/>
  <c r="BU227" i="1" s="1"/>
  <c r="BU228" i="1" a="1"/>
  <c r="BU228" i="1" s="1"/>
  <c r="BU229" i="1" a="1"/>
  <c r="BU229" i="1" s="1"/>
  <c r="BU230" i="1" a="1"/>
  <c r="BU230" i="1" s="1"/>
  <c r="BU231" i="1" a="1"/>
  <c r="BU231" i="1" s="1"/>
  <c r="BU232" i="1" a="1"/>
  <c r="BU232" i="1" s="1"/>
  <c r="BU233" i="1" a="1"/>
  <c r="BU233" i="1" s="1"/>
  <c r="BU234" i="1" a="1"/>
  <c r="BU234" i="1" s="1"/>
  <c r="BU235" i="1" a="1"/>
  <c r="BU235" i="1" s="1"/>
  <c r="BU236" i="1" a="1"/>
  <c r="BU236" i="1" s="1"/>
  <c r="BU237" i="1" a="1"/>
  <c r="BU237" i="1" s="1"/>
  <c r="BU238" i="1" a="1"/>
  <c r="BU238" i="1" s="1"/>
  <c r="BU239" i="1" a="1"/>
  <c r="BU239" i="1" s="1"/>
  <c r="BU240" i="1" a="1"/>
  <c r="BU240" i="1" s="1"/>
  <c r="BU241" i="1" a="1"/>
  <c r="BU241" i="1" s="1"/>
  <c r="BU242" i="1" a="1"/>
  <c r="BU242" i="1" s="1"/>
  <c r="BU243" i="1" a="1"/>
  <c r="BU243" i="1" s="1"/>
  <c r="BU244" i="1" a="1"/>
  <c r="BU244" i="1" s="1"/>
  <c r="BU245" i="1" a="1"/>
  <c r="BU245" i="1" s="1"/>
  <c r="BU246" i="1" a="1"/>
  <c r="BU246" i="1" s="1"/>
  <c r="BU247" i="1" a="1"/>
  <c r="BU247" i="1" s="1"/>
  <c r="BU248" i="1" a="1"/>
  <c r="BU248" i="1" s="1"/>
  <c r="BU249" i="1" a="1"/>
  <c r="BU249" i="1" s="1"/>
  <c r="BU250" i="1" a="1"/>
  <c r="BU250" i="1" s="1"/>
  <c r="BU251" i="1" a="1"/>
  <c r="BU251" i="1" s="1"/>
  <c r="BU252" i="1" a="1"/>
  <c r="BU252" i="1" s="1"/>
  <c r="BU253" i="1" a="1"/>
  <c r="BU253" i="1" s="1"/>
  <c r="BU254" i="1" a="1"/>
  <c r="BU254" i="1" s="1"/>
  <c r="BU255" i="1" a="1"/>
  <c r="BU255" i="1" s="1"/>
  <c r="BU256" i="1" a="1"/>
  <c r="BU256" i="1" s="1"/>
  <c r="BU257" i="1" a="1"/>
  <c r="BU257" i="1" s="1"/>
  <c r="BU258" i="1" a="1"/>
  <c r="BU258" i="1" s="1"/>
  <c r="BU259" i="1" a="1"/>
  <c r="BU259" i="1" s="1"/>
  <c r="BU260" i="1" a="1"/>
  <c r="BU260" i="1" s="1"/>
  <c r="BU261" i="1" a="1"/>
  <c r="BU261" i="1" s="1"/>
  <c r="BU262" i="1" a="1"/>
  <c r="BU262" i="1" s="1"/>
  <c r="BU263" i="1" a="1"/>
  <c r="BU263" i="1" s="1"/>
  <c r="BU264" i="1" a="1"/>
  <c r="BU264" i="1" s="1"/>
  <c r="BU265" i="1" a="1"/>
  <c r="BU265" i="1" s="1"/>
  <c r="BU266" i="1" a="1"/>
  <c r="BU266" i="1" s="1"/>
  <c r="BU267" i="1" a="1"/>
  <c r="BU267" i="1" s="1"/>
  <c r="BU268" i="1" a="1"/>
  <c r="BU268" i="1" s="1"/>
  <c r="BU269" i="1" a="1"/>
  <c r="BU269" i="1" s="1"/>
  <c r="BU270" i="1" a="1"/>
  <c r="BU270" i="1" s="1"/>
  <c r="BU271" i="1" a="1"/>
  <c r="BU271" i="1" s="1"/>
  <c r="BU6" i="1" a="1"/>
  <c r="BU6" i="1" s="1"/>
  <c r="BP238" i="1" a="1"/>
  <c r="BP238" i="1" s="1"/>
  <c r="CC238" i="1" s="1"/>
  <c r="BP8" i="1" a="1"/>
  <c r="BP8" i="1" s="1"/>
  <c r="CC8" i="1" s="1"/>
  <c r="BP245" i="1" a="1"/>
  <c r="BP245" i="1" s="1"/>
  <c r="CC245" i="1" s="1"/>
  <c r="BP121" i="1" a="1"/>
  <c r="BP121" i="1" s="1"/>
  <c r="CC121" i="1" s="1"/>
  <c r="BP14" i="1" a="1"/>
  <c r="BP14" i="1" s="1"/>
  <c r="CC14" i="1" s="1"/>
  <c r="EH6" i="1"/>
  <c r="EJ6" i="1" s="1"/>
  <c r="EL6" i="1" s="1"/>
  <c r="BP7" i="1" a="1"/>
  <c r="BP7" i="1" s="1"/>
  <c r="CC7" i="1" s="1"/>
  <c r="BP22" i="1" a="1"/>
  <c r="BP22" i="1" s="1"/>
  <c r="CC22" i="1" s="1"/>
  <c r="BV6" i="1" a="1"/>
  <c r="BV6" i="1" s="1"/>
  <c r="BV7" i="1" a="1"/>
  <c r="BV7" i="1" s="1"/>
  <c r="BV8" i="1" a="1"/>
  <c r="BV8" i="1" s="1"/>
  <c r="BV9" i="1" a="1"/>
  <c r="BV9" i="1" s="1"/>
  <c r="BV10" i="1" a="1"/>
  <c r="BV10" i="1" s="1"/>
  <c r="BV11" i="1" a="1"/>
  <c r="BV11" i="1" s="1"/>
  <c r="BV12" i="1" a="1"/>
  <c r="BV12" i="1" s="1"/>
  <c r="BV13" i="1" a="1"/>
  <c r="BV13" i="1" s="1"/>
  <c r="BV186" i="1" a="1"/>
  <c r="BV186" i="1" s="1"/>
  <c r="BV15" i="1" a="1"/>
  <c r="BV15" i="1" s="1"/>
  <c r="BV16" i="1" a="1"/>
  <c r="BV16" i="1" s="1"/>
  <c r="BV17" i="1" a="1"/>
  <c r="BV17" i="1" s="1"/>
  <c r="BV18" i="1" a="1"/>
  <c r="BV18" i="1" s="1"/>
  <c r="BV20" i="1" a="1"/>
  <c r="BV20" i="1" s="1"/>
  <c r="BV21" i="1" a="1"/>
  <c r="BV21" i="1" s="1"/>
  <c r="BV22" i="1" a="1"/>
  <c r="BV22" i="1" s="1"/>
  <c r="BV23" i="1" a="1"/>
  <c r="BV23" i="1" s="1"/>
  <c r="BV24" i="1" a="1"/>
  <c r="BV24" i="1" s="1"/>
  <c r="BV25" i="1" a="1"/>
  <c r="BV25" i="1" s="1"/>
  <c r="BV26" i="1" a="1"/>
  <c r="BV26" i="1" s="1"/>
  <c r="BV27" i="1" a="1"/>
  <c r="BV27" i="1" s="1"/>
  <c r="BV28" i="1" a="1"/>
  <c r="BV28" i="1" s="1"/>
  <c r="BV29" i="1" a="1"/>
  <c r="BV29" i="1" s="1"/>
  <c r="BV30" i="1" a="1"/>
  <c r="BV30" i="1" s="1"/>
  <c r="BV31" i="1" a="1"/>
  <c r="BV31" i="1" s="1"/>
  <c r="BV32" i="1" a="1"/>
  <c r="BV32" i="1" s="1"/>
  <c r="BV33" i="1" a="1"/>
  <c r="BV33" i="1" s="1"/>
  <c r="BV34" i="1" a="1"/>
  <c r="BV34" i="1" s="1"/>
  <c r="BV209" i="1" a="1"/>
  <c r="BV209" i="1" s="1"/>
  <c r="BV36" i="1" a="1"/>
  <c r="BV36" i="1" s="1"/>
  <c r="BV37" i="1" a="1"/>
  <c r="BV37" i="1" s="1"/>
  <c r="BV38" i="1" a="1"/>
  <c r="BV38" i="1" s="1"/>
  <c r="BV39" i="1" a="1"/>
  <c r="BV39" i="1" s="1"/>
  <c r="BV40" i="1" a="1"/>
  <c r="BV40" i="1" s="1"/>
  <c r="BV41" i="1" a="1"/>
  <c r="BV41" i="1" s="1"/>
  <c r="BV42" i="1" a="1"/>
  <c r="BV42" i="1" s="1"/>
  <c r="BV43" i="1" a="1"/>
  <c r="BV43" i="1" s="1"/>
  <c r="BV44" i="1" a="1"/>
  <c r="BV44" i="1" s="1"/>
  <c r="BV45" i="1" a="1"/>
  <c r="BV45" i="1" s="1"/>
  <c r="BV46" i="1" a="1"/>
  <c r="BV46" i="1" s="1"/>
  <c r="BV47" i="1" a="1"/>
  <c r="BV47" i="1" s="1"/>
  <c r="BV48" i="1" a="1"/>
  <c r="BV48" i="1" s="1"/>
  <c r="BV49" i="1" a="1"/>
  <c r="BV49" i="1" s="1"/>
  <c r="BV50" i="1" a="1"/>
  <c r="BV50" i="1" s="1"/>
  <c r="BV51" i="1" a="1"/>
  <c r="BV51" i="1" s="1"/>
  <c r="BV52" i="1" a="1"/>
  <c r="BV52" i="1" s="1"/>
  <c r="BV53" i="1" a="1"/>
  <c r="BV53" i="1" s="1"/>
  <c r="BV54" i="1" a="1"/>
  <c r="BV54" i="1" s="1"/>
  <c r="BV55" i="1" a="1"/>
  <c r="BV55" i="1" s="1"/>
  <c r="BV56" i="1" a="1"/>
  <c r="BV56" i="1" s="1"/>
  <c r="BV57" i="1" a="1"/>
  <c r="BV57" i="1" s="1"/>
  <c r="BV58" i="1" a="1"/>
  <c r="BV58" i="1" s="1"/>
  <c r="BV59" i="1" a="1"/>
  <c r="BV59" i="1" s="1"/>
  <c r="BV60" i="1" a="1"/>
  <c r="BV60" i="1" s="1"/>
  <c r="BV61" i="1" a="1"/>
  <c r="BV61" i="1" s="1"/>
  <c r="BV62" i="1" a="1"/>
  <c r="BV62" i="1" s="1"/>
  <c r="BV63" i="1" a="1"/>
  <c r="BV63" i="1" s="1"/>
  <c r="BV64" i="1" a="1"/>
  <c r="BV64" i="1" s="1"/>
  <c r="BV127" i="1" a="1"/>
  <c r="BV127" i="1" s="1"/>
  <c r="BV121" i="1" a="1"/>
  <c r="BV121" i="1" s="1"/>
  <c r="BV68" i="1" a="1"/>
  <c r="BV68" i="1" s="1"/>
  <c r="BV69" i="1" a="1"/>
  <c r="BV69" i="1" s="1"/>
  <c r="BV184" i="1" a="1"/>
  <c r="BV184" i="1" s="1"/>
  <c r="BV71" i="1" a="1"/>
  <c r="BV71" i="1" s="1"/>
  <c r="BV72" i="1" a="1"/>
  <c r="BV72" i="1" s="1"/>
  <c r="BV73" i="1" a="1"/>
  <c r="BV73" i="1" s="1"/>
  <c r="BV74" i="1" a="1"/>
  <c r="BV74" i="1" s="1"/>
  <c r="BV75" i="1" a="1"/>
  <c r="BV75" i="1" s="1"/>
  <c r="BV76" i="1" a="1"/>
  <c r="BV76" i="1" s="1"/>
  <c r="BV77" i="1" a="1"/>
  <c r="BV77" i="1" s="1"/>
  <c r="BV78" i="1" a="1"/>
  <c r="BV78" i="1" s="1"/>
  <c r="BV79" i="1" a="1"/>
  <c r="BV79" i="1" s="1"/>
  <c r="BV80" i="1" a="1"/>
  <c r="BV80" i="1" s="1"/>
  <c r="BV81" i="1" a="1"/>
  <c r="BV81" i="1" s="1"/>
  <c r="BV82" i="1" a="1"/>
  <c r="BV82" i="1" s="1"/>
  <c r="BV83" i="1" a="1"/>
  <c r="BV83" i="1" s="1"/>
  <c r="BV84" i="1" a="1"/>
  <c r="BV84" i="1" s="1"/>
  <c r="BV85" i="1" a="1"/>
  <c r="BV85" i="1" s="1"/>
  <c r="BV86" i="1" a="1"/>
  <c r="BV86" i="1" s="1"/>
  <c r="BV87" i="1" a="1"/>
  <c r="BV87" i="1" s="1"/>
  <c r="BV88" i="1" a="1"/>
  <c r="BV88" i="1" s="1"/>
  <c r="BV124" i="1" a="1"/>
  <c r="BV124" i="1" s="1"/>
  <c r="BV163" i="1" a="1"/>
  <c r="BV163" i="1" s="1"/>
  <c r="BV91" i="1" a="1"/>
  <c r="BV91" i="1" s="1"/>
  <c r="BV93" i="1" a="1"/>
  <c r="BV93" i="1" s="1"/>
  <c r="BV94" i="1" a="1"/>
  <c r="BV94" i="1" s="1"/>
  <c r="BV95" i="1" a="1"/>
  <c r="BV95" i="1" s="1"/>
  <c r="BV96" i="1" a="1"/>
  <c r="BV96" i="1" s="1"/>
  <c r="BV97" i="1" a="1"/>
  <c r="BV97" i="1" s="1"/>
  <c r="BV98" i="1" a="1"/>
  <c r="BV98" i="1" s="1"/>
  <c r="BV99" i="1" a="1"/>
  <c r="BV99" i="1" s="1"/>
  <c r="BV100" i="1" a="1"/>
  <c r="BV100" i="1" s="1"/>
  <c r="BV101" i="1" a="1"/>
  <c r="BV101" i="1" s="1"/>
  <c r="BV102" i="1" a="1"/>
  <c r="BV102" i="1" s="1"/>
  <c r="BV103" i="1" a="1"/>
  <c r="BV103" i="1" s="1"/>
  <c r="BV104" i="1" a="1"/>
  <c r="BV104" i="1" s="1"/>
  <c r="BV105" i="1" a="1"/>
  <c r="BV105" i="1" s="1"/>
  <c r="BV106" i="1" a="1"/>
  <c r="BV106" i="1" s="1"/>
  <c r="BV107" i="1" a="1"/>
  <c r="BV107" i="1" s="1"/>
  <c r="BV108" i="1" a="1"/>
  <c r="BV108" i="1" s="1"/>
  <c r="BV109" i="1" a="1"/>
  <c r="BV109" i="1" s="1"/>
  <c r="BV110" i="1" a="1"/>
  <c r="BV110" i="1" s="1"/>
  <c r="BV111" i="1" a="1"/>
  <c r="BV111" i="1" s="1"/>
  <c r="BV112" i="1" a="1"/>
  <c r="BV112" i="1" s="1"/>
  <c r="BV113" i="1" a="1"/>
  <c r="BV113" i="1" s="1"/>
  <c r="BV89" i="1" a="1"/>
  <c r="BV89" i="1" s="1"/>
  <c r="BV115" i="1" a="1"/>
  <c r="BV115" i="1" s="1"/>
  <c r="BV116" i="1" a="1"/>
  <c r="BV116" i="1" s="1"/>
  <c r="BV117" i="1" a="1"/>
  <c r="BV117" i="1" s="1"/>
  <c r="BV118" i="1" a="1"/>
  <c r="BV118" i="1" s="1"/>
  <c r="BV119" i="1" a="1"/>
  <c r="BV119" i="1" s="1"/>
  <c r="BV67" i="1" a="1"/>
  <c r="BV67" i="1" s="1"/>
  <c r="BV70" i="1" a="1"/>
  <c r="BV70" i="1" s="1"/>
  <c r="BV122" i="1" a="1"/>
  <c r="BV122" i="1" s="1"/>
  <c r="BV123" i="1" a="1"/>
  <c r="BV123" i="1" s="1"/>
  <c r="BV153" i="1" a="1"/>
  <c r="BV153" i="1" s="1"/>
  <c r="BV125" i="1" a="1"/>
  <c r="BV125" i="1" s="1"/>
  <c r="BV126" i="1" a="1"/>
  <c r="BV126" i="1" s="1"/>
  <c r="BV14" i="1" a="1"/>
  <c r="BV14" i="1" s="1"/>
  <c r="BV128" i="1" a="1"/>
  <c r="BV128" i="1" s="1"/>
  <c r="BV129" i="1" a="1"/>
  <c r="BV129" i="1" s="1"/>
  <c r="BV130" i="1" a="1"/>
  <c r="BV130" i="1" s="1"/>
  <c r="BV131" i="1" a="1"/>
  <c r="BV131" i="1" s="1"/>
  <c r="BV133" i="1" a="1"/>
  <c r="BV133" i="1" s="1"/>
  <c r="BV134" i="1" a="1"/>
  <c r="BV134" i="1" s="1"/>
  <c r="BV135" i="1" a="1"/>
  <c r="BV135" i="1" s="1"/>
  <c r="BV136" i="1" a="1"/>
  <c r="BV136" i="1" s="1"/>
  <c r="BV137" i="1" a="1"/>
  <c r="BV137" i="1" s="1"/>
  <c r="BV138" i="1" a="1"/>
  <c r="BV138" i="1" s="1"/>
  <c r="BV139" i="1" a="1"/>
  <c r="BV139" i="1" s="1"/>
  <c r="BV140" i="1" a="1"/>
  <c r="BV140" i="1" s="1"/>
  <c r="BV141" i="1" a="1"/>
  <c r="BV141" i="1" s="1"/>
  <c r="BV142" i="1" a="1"/>
  <c r="BV142" i="1" s="1"/>
  <c r="BV143" i="1" a="1"/>
  <c r="BV143" i="1" s="1"/>
  <c r="BV144" i="1" a="1"/>
  <c r="BV144" i="1" s="1"/>
  <c r="BV145" i="1" a="1"/>
  <c r="BV145" i="1" s="1"/>
  <c r="BV146" i="1" a="1"/>
  <c r="BV146" i="1" s="1"/>
  <c r="BV147" i="1" a="1"/>
  <c r="BV147" i="1" s="1"/>
  <c r="BV148" i="1" a="1"/>
  <c r="BV148" i="1" s="1"/>
  <c r="BV149" i="1" a="1"/>
  <c r="BV149" i="1" s="1"/>
  <c r="BV150" i="1" a="1"/>
  <c r="BV150" i="1" s="1"/>
  <c r="BV151" i="1" a="1"/>
  <c r="BV151" i="1" s="1"/>
  <c r="BV152" i="1" a="1"/>
  <c r="BV152" i="1" s="1"/>
  <c r="BV120" i="1" a="1"/>
  <c r="BV120" i="1" s="1"/>
  <c r="BV154" i="1" a="1"/>
  <c r="BV154" i="1" s="1"/>
  <c r="BV92" i="1" a="1"/>
  <c r="BV92" i="1" s="1"/>
  <c r="BV156" i="1" a="1"/>
  <c r="BV156" i="1" s="1"/>
  <c r="BV157" i="1" a="1"/>
  <c r="BV157" i="1" s="1"/>
  <c r="BV158" i="1" a="1"/>
  <c r="BV158" i="1" s="1"/>
  <c r="BV159" i="1" a="1"/>
  <c r="BV159" i="1" s="1"/>
  <c r="BV160" i="1" a="1"/>
  <c r="BV160" i="1" s="1"/>
  <c r="BV161" i="1" a="1"/>
  <c r="BV161" i="1" s="1"/>
  <c r="BV162" i="1" a="1"/>
  <c r="BV162" i="1" s="1"/>
  <c r="BV65" i="1" a="1"/>
  <c r="BV65" i="1" s="1"/>
  <c r="BV164" i="1" a="1"/>
  <c r="BV164" i="1" s="1"/>
  <c r="BV165" i="1" a="1"/>
  <c r="BV165" i="1" s="1"/>
  <c r="BV166" i="1" a="1"/>
  <c r="BV166" i="1" s="1"/>
  <c r="BV167" i="1" a="1"/>
  <c r="BV167" i="1" s="1"/>
  <c r="BV168" i="1" a="1"/>
  <c r="BV168" i="1" s="1"/>
  <c r="BV169" i="1" a="1"/>
  <c r="BV169" i="1" s="1"/>
  <c r="BV170" i="1" a="1"/>
  <c r="BV170" i="1" s="1"/>
  <c r="BV171" i="1" a="1"/>
  <c r="BV171" i="1" s="1"/>
  <c r="BV172" i="1" a="1"/>
  <c r="BV172" i="1" s="1"/>
  <c r="BV173" i="1" a="1"/>
  <c r="BV173" i="1" s="1"/>
  <c r="BV174" i="1" a="1"/>
  <c r="BV174" i="1" s="1"/>
  <c r="BV175" i="1" a="1"/>
  <c r="BV175" i="1" s="1"/>
  <c r="BV176" i="1" a="1"/>
  <c r="BV176" i="1" s="1"/>
  <c r="BV177" i="1" a="1"/>
  <c r="BV177" i="1" s="1"/>
  <c r="BV178" i="1" a="1"/>
  <c r="BV178" i="1" s="1"/>
  <c r="BV179" i="1" a="1"/>
  <c r="BV179" i="1" s="1"/>
  <c r="BV155" i="1" a="1"/>
  <c r="BV155" i="1" s="1"/>
  <c r="BV181" i="1" a="1"/>
  <c r="BV181" i="1" s="1"/>
  <c r="BV182" i="1" a="1"/>
  <c r="BV182" i="1" s="1"/>
  <c r="BV183" i="1" a="1"/>
  <c r="BV183" i="1" s="1"/>
  <c r="BV185" i="1" a="1"/>
  <c r="BV185" i="1" s="1"/>
  <c r="BV19" i="1" a="1"/>
  <c r="BV19" i="1" s="1"/>
  <c r="BV187" i="1" a="1"/>
  <c r="BV187" i="1" s="1"/>
  <c r="BV188" i="1" a="1"/>
  <c r="BV188" i="1" s="1"/>
  <c r="BV189" i="1" a="1"/>
  <c r="BV189" i="1" s="1"/>
  <c r="BV190" i="1" a="1"/>
  <c r="BV190" i="1" s="1"/>
  <c r="BV35" i="1" a="1"/>
  <c r="BV35" i="1" s="1"/>
  <c r="BV192" i="1" a="1"/>
  <c r="BV192" i="1" s="1"/>
  <c r="BV193" i="1" a="1"/>
  <c r="BV193" i="1" s="1"/>
  <c r="BV194" i="1" a="1"/>
  <c r="BV194" i="1" s="1"/>
  <c r="BV195" i="1" a="1"/>
  <c r="BV195" i="1" s="1"/>
  <c r="BV196" i="1" a="1"/>
  <c r="BV196" i="1" s="1"/>
  <c r="BV197" i="1" a="1"/>
  <c r="BV197" i="1" s="1"/>
  <c r="BV198" i="1" a="1"/>
  <c r="BV198" i="1" s="1"/>
  <c r="BV199" i="1" a="1"/>
  <c r="BV199" i="1" s="1"/>
  <c r="BV200" i="1" a="1"/>
  <c r="BV200" i="1" s="1"/>
  <c r="BV201" i="1" a="1"/>
  <c r="BV201" i="1" s="1"/>
  <c r="BV255" i="1" a="1"/>
  <c r="BV255" i="1" s="1"/>
  <c r="BV203" i="1" a="1"/>
  <c r="BV203" i="1" s="1"/>
  <c r="BV204" i="1" a="1"/>
  <c r="BV204" i="1" s="1"/>
  <c r="BV205" i="1" a="1"/>
  <c r="BV205" i="1" s="1"/>
  <c r="BV206" i="1" a="1"/>
  <c r="BV206" i="1" s="1"/>
  <c r="BV207" i="1" a="1"/>
  <c r="BV207" i="1" s="1"/>
  <c r="BV208" i="1" a="1"/>
  <c r="BV208" i="1" s="1"/>
  <c r="BV114" i="1" a="1"/>
  <c r="BV114" i="1" s="1"/>
  <c r="BV210" i="1" a="1"/>
  <c r="BV210" i="1" s="1"/>
  <c r="BV211" i="1" a="1"/>
  <c r="BV211" i="1" s="1"/>
  <c r="BV212" i="1" a="1"/>
  <c r="BV212" i="1" s="1"/>
  <c r="BV213" i="1" a="1"/>
  <c r="BV213" i="1" s="1"/>
  <c r="BV214" i="1" a="1"/>
  <c r="BV214" i="1" s="1"/>
  <c r="BV215" i="1" a="1"/>
  <c r="BV215" i="1" s="1"/>
  <c r="BV216" i="1" a="1"/>
  <c r="BV216" i="1" s="1"/>
  <c r="BV217" i="1" a="1"/>
  <c r="BV217" i="1" s="1"/>
  <c r="BV218" i="1" a="1"/>
  <c r="BV218" i="1" s="1"/>
  <c r="BV219" i="1" a="1"/>
  <c r="BV219" i="1" s="1"/>
  <c r="BV220" i="1" a="1"/>
  <c r="BV220" i="1" s="1"/>
  <c r="BV221" i="1" a="1"/>
  <c r="BV221" i="1" s="1"/>
  <c r="BV222" i="1" a="1"/>
  <c r="BV222" i="1" s="1"/>
  <c r="BV223" i="1" a="1"/>
  <c r="BV223" i="1" s="1"/>
  <c r="BV224" i="1" a="1"/>
  <c r="BV224" i="1" s="1"/>
  <c r="BV225" i="1" a="1"/>
  <c r="BV225" i="1" s="1"/>
  <c r="BV226" i="1" a="1"/>
  <c r="BV226" i="1" s="1"/>
  <c r="BV227" i="1" a="1"/>
  <c r="BV227" i="1" s="1"/>
  <c r="BV228" i="1" a="1"/>
  <c r="BV228" i="1" s="1"/>
  <c r="BV229" i="1" a="1"/>
  <c r="BV229" i="1" s="1"/>
  <c r="BV230" i="1" a="1"/>
  <c r="BV230" i="1" s="1"/>
  <c r="BV231" i="1" a="1"/>
  <c r="BV231" i="1" s="1"/>
  <c r="BV232" i="1" a="1"/>
  <c r="BV232" i="1" s="1"/>
  <c r="BV233" i="1" a="1"/>
  <c r="BV233" i="1" s="1"/>
  <c r="BV234" i="1" a="1"/>
  <c r="BV234" i="1" s="1"/>
  <c r="BV235" i="1" a="1"/>
  <c r="BV235" i="1" s="1"/>
  <c r="BV236" i="1" a="1"/>
  <c r="BV236" i="1" s="1"/>
  <c r="BV237" i="1" a="1"/>
  <c r="BV237" i="1" s="1"/>
  <c r="BV238" i="1" a="1"/>
  <c r="BV238" i="1" s="1"/>
  <c r="BV239" i="1" a="1"/>
  <c r="BV239" i="1" s="1"/>
  <c r="BV240" i="1" a="1"/>
  <c r="BV240" i="1" s="1"/>
  <c r="BV241" i="1" a="1"/>
  <c r="BV241" i="1" s="1"/>
  <c r="BV242" i="1" a="1"/>
  <c r="BV242" i="1" s="1"/>
  <c r="BV243" i="1" a="1"/>
  <c r="BV243" i="1" s="1"/>
  <c r="BV244" i="1" a="1"/>
  <c r="BV244" i="1" s="1"/>
  <c r="BV245" i="1" a="1"/>
  <c r="BV245" i="1" s="1"/>
  <c r="BV246" i="1" a="1"/>
  <c r="BV246" i="1" s="1"/>
  <c r="BV247" i="1" a="1"/>
  <c r="BV247" i="1" s="1"/>
  <c r="BV248" i="1" a="1"/>
  <c r="BV248" i="1" s="1"/>
  <c r="BV249" i="1" a="1"/>
  <c r="BV249" i="1" s="1"/>
  <c r="BV250" i="1" a="1"/>
  <c r="BV250" i="1" s="1"/>
  <c r="BV251" i="1" a="1"/>
  <c r="BV251" i="1" s="1"/>
  <c r="BV252" i="1" a="1"/>
  <c r="BV252" i="1" s="1"/>
  <c r="BV253" i="1" a="1"/>
  <c r="BV253" i="1" s="1"/>
  <c r="BV254" i="1" a="1"/>
  <c r="BV254" i="1" s="1"/>
  <c r="BV202" i="1" a="1"/>
  <c r="BV202" i="1" s="1"/>
  <c r="BV256" i="1" a="1"/>
  <c r="BV256" i="1" s="1"/>
  <c r="BV257" i="1" a="1"/>
  <c r="BV257" i="1" s="1"/>
  <c r="BV258" i="1" a="1"/>
  <c r="BV258" i="1" s="1"/>
  <c r="BV259" i="1" a="1"/>
  <c r="BV259" i="1" s="1"/>
  <c r="BV260" i="1" a="1"/>
  <c r="BV260" i="1" s="1"/>
  <c r="BV261" i="1" a="1"/>
  <c r="BV261" i="1" s="1"/>
  <c r="BV262" i="1" a="1"/>
  <c r="BV262" i="1" s="1"/>
  <c r="BV263" i="1" a="1"/>
  <c r="BV263" i="1" s="1"/>
  <c r="BV264" i="1" a="1"/>
  <c r="BV264" i="1" s="1"/>
  <c r="BV265" i="1" a="1"/>
  <c r="BV265" i="1" s="1"/>
  <c r="BV266" i="1" a="1"/>
  <c r="BV266" i="1" s="1"/>
  <c r="BV267" i="1" a="1"/>
  <c r="BV267" i="1" s="1"/>
  <c r="BV268" i="1" a="1"/>
  <c r="BV268" i="1" s="1"/>
  <c r="BV269" i="1" a="1"/>
  <c r="BV269" i="1" s="1"/>
  <c r="BV270" i="1" a="1"/>
  <c r="BV270" i="1" s="1"/>
  <c r="BV271" i="1" a="1"/>
  <c r="BV271" i="1" s="1"/>
  <c r="BP65" i="1" a="1"/>
  <c r="BP65" i="1" s="1"/>
  <c r="CC65" i="1" s="1"/>
  <c r="BP236" i="1" a="1"/>
  <c r="BP236" i="1" s="1"/>
  <c r="CC236" i="1" s="1"/>
  <c r="BX6" i="1" a="1"/>
  <c r="BX6" i="1" s="1"/>
  <c r="BX7" i="1" a="1"/>
  <c r="BX7" i="1" s="1"/>
  <c r="BX8" i="1" a="1"/>
  <c r="BX8" i="1" s="1"/>
  <c r="BX9" i="1" a="1"/>
  <c r="BX9" i="1" s="1"/>
  <c r="BX10" i="1" a="1"/>
  <c r="BX10" i="1" s="1"/>
  <c r="BX11" i="1" a="1"/>
  <c r="BX11" i="1" s="1"/>
  <c r="BX12" i="1" a="1"/>
  <c r="BX12" i="1" s="1"/>
  <c r="BX13" i="1" a="1"/>
  <c r="BX13" i="1" s="1"/>
  <c r="BX186" i="1" a="1"/>
  <c r="BX186" i="1" s="1"/>
  <c r="BX15" i="1" a="1"/>
  <c r="BX15" i="1" s="1"/>
  <c r="BX16" i="1" a="1"/>
  <c r="BX16" i="1" s="1"/>
  <c r="BX17" i="1" a="1"/>
  <c r="BX17" i="1" s="1"/>
  <c r="BX18" i="1" a="1"/>
  <c r="BX18" i="1" s="1"/>
  <c r="BX90" i="1" a="1"/>
  <c r="BX90" i="1" s="1"/>
  <c r="BX20" i="1" a="1"/>
  <c r="BX20" i="1" s="1"/>
  <c r="BX21" i="1" a="1"/>
  <c r="BX21" i="1" s="1"/>
  <c r="BX22" i="1" a="1"/>
  <c r="BX22" i="1" s="1"/>
  <c r="BX23" i="1" a="1"/>
  <c r="BX23" i="1" s="1"/>
  <c r="BX24" i="1" a="1"/>
  <c r="BX24" i="1" s="1"/>
  <c r="BX25" i="1" a="1"/>
  <c r="BX25" i="1" s="1"/>
  <c r="BX26" i="1" a="1"/>
  <c r="BX26" i="1" s="1"/>
  <c r="BX27" i="1" a="1"/>
  <c r="BX27" i="1" s="1"/>
  <c r="BX28" i="1" a="1"/>
  <c r="BX28" i="1" s="1"/>
  <c r="BX29" i="1" a="1"/>
  <c r="BX29" i="1" s="1"/>
  <c r="BX30" i="1" a="1"/>
  <c r="BX30" i="1" s="1"/>
  <c r="BX31" i="1" a="1"/>
  <c r="BX31" i="1" s="1"/>
  <c r="BX32" i="1" a="1"/>
  <c r="BX32" i="1" s="1"/>
  <c r="BX33" i="1" a="1"/>
  <c r="BX33" i="1" s="1"/>
  <c r="BX34" i="1" a="1"/>
  <c r="BX34" i="1" s="1"/>
  <c r="BX209" i="1" a="1"/>
  <c r="BX209" i="1" s="1"/>
  <c r="BX36" i="1" a="1"/>
  <c r="BX36" i="1" s="1"/>
  <c r="BX37" i="1" a="1"/>
  <c r="BX37" i="1" s="1"/>
  <c r="BX38" i="1" a="1"/>
  <c r="BX38" i="1" s="1"/>
  <c r="BX39" i="1" a="1"/>
  <c r="BX39" i="1" s="1"/>
  <c r="BX40" i="1" a="1"/>
  <c r="BX40" i="1" s="1"/>
  <c r="BX41" i="1" a="1"/>
  <c r="BX41" i="1" s="1"/>
  <c r="BX42" i="1" a="1"/>
  <c r="BX42" i="1" s="1"/>
  <c r="BX43" i="1" a="1"/>
  <c r="BX43" i="1" s="1"/>
  <c r="BX44" i="1" a="1"/>
  <c r="BX44" i="1" s="1"/>
  <c r="BX45" i="1" a="1"/>
  <c r="BX45" i="1" s="1"/>
  <c r="BX46" i="1" a="1"/>
  <c r="BX46" i="1" s="1"/>
  <c r="BX47" i="1" a="1"/>
  <c r="BX47" i="1" s="1"/>
  <c r="BX48" i="1" a="1"/>
  <c r="BX48" i="1" s="1"/>
  <c r="BX49" i="1" a="1"/>
  <c r="BX49" i="1" s="1"/>
  <c r="BX50" i="1" a="1"/>
  <c r="BX50" i="1" s="1"/>
  <c r="BX51" i="1" a="1"/>
  <c r="BX51" i="1" s="1"/>
  <c r="BX52" i="1" a="1"/>
  <c r="BX52" i="1" s="1"/>
  <c r="BX53" i="1" a="1"/>
  <c r="BX53" i="1" s="1"/>
  <c r="BX54" i="1" a="1"/>
  <c r="BX54" i="1" s="1"/>
  <c r="BX55" i="1" a="1"/>
  <c r="BX55" i="1" s="1"/>
  <c r="BX56" i="1" a="1"/>
  <c r="BX56" i="1" s="1"/>
  <c r="BX57" i="1" a="1"/>
  <c r="BX57" i="1" s="1"/>
  <c r="BX58" i="1" a="1"/>
  <c r="BX58" i="1" s="1"/>
  <c r="BX59" i="1" a="1"/>
  <c r="BX59" i="1" s="1"/>
  <c r="BX60" i="1" a="1"/>
  <c r="BX60" i="1" s="1"/>
  <c r="BX61" i="1" a="1"/>
  <c r="BX61" i="1" s="1"/>
  <c r="BX62" i="1" a="1"/>
  <c r="BX62" i="1" s="1"/>
  <c r="BX63" i="1" a="1"/>
  <c r="BX63" i="1" s="1"/>
  <c r="BX64" i="1" a="1"/>
  <c r="BX64" i="1" s="1"/>
  <c r="BX127" i="1" a="1"/>
  <c r="BX127" i="1" s="1"/>
  <c r="BX66" i="1" a="1"/>
  <c r="BX66" i="1" s="1"/>
  <c r="BX121" i="1" a="1"/>
  <c r="BX121" i="1" s="1"/>
  <c r="BX68" i="1" a="1"/>
  <c r="BX68" i="1" s="1"/>
  <c r="BX69" i="1" a="1"/>
  <c r="BX69" i="1" s="1"/>
  <c r="BX184" i="1" a="1"/>
  <c r="BX184" i="1" s="1"/>
  <c r="BX71" i="1" a="1"/>
  <c r="BX71" i="1" s="1"/>
  <c r="BX72" i="1" a="1"/>
  <c r="BX72" i="1" s="1"/>
  <c r="BX73" i="1" a="1"/>
  <c r="BX73" i="1" s="1"/>
  <c r="BX74" i="1" a="1"/>
  <c r="BX74" i="1" s="1"/>
  <c r="BX75" i="1" a="1"/>
  <c r="BX75" i="1" s="1"/>
  <c r="BX76" i="1" a="1"/>
  <c r="BX76" i="1" s="1"/>
  <c r="BX77" i="1" a="1"/>
  <c r="BX77" i="1" s="1"/>
  <c r="BX78" i="1" a="1"/>
  <c r="BX78" i="1" s="1"/>
  <c r="BX79" i="1" a="1"/>
  <c r="BX79" i="1" s="1"/>
  <c r="BX80" i="1" a="1"/>
  <c r="BX80" i="1" s="1"/>
  <c r="BX81" i="1" a="1"/>
  <c r="BX81" i="1" s="1"/>
  <c r="BX82" i="1" a="1"/>
  <c r="BX82" i="1" s="1"/>
  <c r="BX83" i="1" a="1"/>
  <c r="BX83" i="1" s="1"/>
  <c r="BX84" i="1" a="1"/>
  <c r="BX84" i="1" s="1"/>
  <c r="BX85" i="1" a="1"/>
  <c r="BX85" i="1" s="1"/>
  <c r="BX86" i="1" a="1"/>
  <c r="BX86" i="1" s="1"/>
  <c r="BX87" i="1" a="1"/>
  <c r="BX87" i="1" s="1"/>
  <c r="BX88" i="1" a="1"/>
  <c r="BX88" i="1" s="1"/>
  <c r="BX124" i="1" a="1"/>
  <c r="BX124" i="1" s="1"/>
  <c r="BX163" i="1" a="1"/>
  <c r="BX163" i="1" s="1"/>
  <c r="BX91" i="1" a="1"/>
  <c r="BX91" i="1" s="1"/>
  <c r="BX180" i="1" a="1"/>
  <c r="BX180" i="1" s="1"/>
  <c r="BX93" i="1" a="1"/>
  <c r="BX93" i="1" s="1"/>
  <c r="BX94" i="1" a="1"/>
  <c r="BX94" i="1" s="1"/>
  <c r="BX95" i="1" a="1"/>
  <c r="BX95" i="1" s="1"/>
  <c r="BX96" i="1" a="1"/>
  <c r="BX96" i="1" s="1"/>
  <c r="BX97" i="1" a="1"/>
  <c r="BX97" i="1" s="1"/>
  <c r="BX98" i="1" a="1"/>
  <c r="BX98" i="1" s="1"/>
  <c r="BX99" i="1" a="1"/>
  <c r="BX99" i="1" s="1"/>
  <c r="BX100" i="1" a="1"/>
  <c r="BX100" i="1" s="1"/>
  <c r="BX101" i="1" a="1"/>
  <c r="BX101" i="1" s="1"/>
  <c r="BX102" i="1" a="1"/>
  <c r="BX102" i="1" s="1"/>
  <c r="BX103" i="1" a="1"/>
  <c r="BX103" i="1" s="1"/>
  <c r="BX104" i="1" a="1"/>
  <c r="BX104" i="1" s="1"/>
  <c r="BX105" i="1" a="1"/>
  <c r="BX105" i="1" s="1"/>
  <c r="BX106" i="1" a="1"/>
  <c r="BX106" i="1" s="1"/>
  <c r="BX107" i="1" a="1"/>
  <c r="BX107" i="1" s="1"/>
  <c r="BX108" i="1" a="1"/>
  <c r="BX108" i="1" s="1"/>
  <c r="BX109" i="1" a="1"/>
  <c r="BX109" i="1" s="1"/>
  <c r="BX110" i="1" a="1"/>
  <c r="BX110" i="1" s="1"/>
  <c r="BX111" i="1" a="1"/>
  <c r="BX111" i="1" s="1"/>
  <c r="BX112" i="1" a="1"/>
  <c r="BX112" i="1" s="1"/>
  <c r="BX113" i="1" a="1"/>
  <c r="BX113" i="1" s="1"/>
  <c r="BX89" i="1" a="1"/>
  <c r="BX89" i="1" s="1"/>
  <c r="BX115" i="1" a="1"/>
  <c r="BX115" i="1" s="1"/>
  <c r="BX116" i="1" a="1"/>
  <c r="BX116" i="1" s="1"/>
  <c r="BX117" i="1" a="1"/>
  <c r="BX117" i="1" s="1"/>
  <c r="BX118" i="1" a="1"/>
  <c r="BX118" i="1" s="1"/>
  <c r="BX119" i="1" a="1"/>
  <c r="BX119" i="1" s="1"/>
  <c r="BX67" i="1" a="1"/>
  <c r="BX67" i="1" s="1"/>
  <c r="BX70" i="1" a="1"/>
  <c r="BX70" i="1" s="1"/>
  <c r="BX122" i="1" a="1"/>
  <c r="BX122" i="1" s="1"/>
  <c r="BX123" i="1" a="1"/>
  <c r="BX123" i="1" s="1"/>
  <c r="BX153" i="1" a="1"/>
  <c r="BX153" i="1" s="1"/>
  <c r="BX125" i="1" a="1"/>
  <c r="BX125" i="1" s="1"/>
  <c r="BX126" i="1" a="1"/>
  <c r="BX126" i="1" s="1"/>
  <c r="BX14" i="1" a="1"/>
  <c r="BX14" i="1" s="1"/>
  <c r="BX128" i="1" a="1"/>
  <c r="BX128" i="1" s="1"/>
  <c r="BX129" i="1" a="1"/>
  <c r="BX129" i="1" s="1"/>
  <c r="BX130" i="1" a="1"/>
  <c r="BX130" i="1" s="1"/>
  <c r="BX131" i="1" a="1"/>
  <c r="BX131" i="1" s="1"/>
  <c r="BX132" i="1" a="1"/>
  <c r="BX132" i="1" s="1"/>
  <c r="BX133" i="1" a="1"/>
  <c r="BX133" i="1" s="1"/>
  <c r="BX134" i="1" a="1"/>
  <c r="BX134" i="1" s="1"/>
  <c r="BX135" i="1" a="1"/>
  <c r="BX135" i="1" s="1"/>
  <c r="BX136" i="1" a="1"/>
  <c r="BX136" i="1" s="1"/>
  <c r="BX137" i="1" a="1"/>
  <c r="BX137" i="1" s="1"/>
  <c r="BX138" i="1" a="1"/>
  <c r="BX138" i="1" s="1"/>
  <c r="BX139" i="1" a="1"/>
  <c r="BX139" i="1" s="1"/>
  <c r="BX140" i="1" a="1"/>
  <c r="BX140" i="1" s="1"/>
  <c r="BX141" i="1" a="1"/>
  <c r="BX141" i="1" s="1"/>
  <c r="BX142" i="1" a="1"/>
  <c r="BX142" i="1" s="1"/>
  <c r="BX143" i="1" a="1"/>
  <c r="BX143" i="1" s="1"/>
  <c r="BX144" i="1" a="1"/>
  <c r="BX144" i="1" s="1"/>
  <c r="BX145" i="1" a="1"/>
  <c r="BX145" i="1" s="1"/>
  <c r="BX146" i="1" a="1"/>
  <c r="BX146" i="1" s="1"/>
  <c r="BX147" i="1" a="1"/>
  <c r="BX147" i="1" s="1"/>
  <c r="BX148" i="1" a="1"/>
  <c r="BX148" i="1" s="1"/>
  <c r="BX149" i="1" a="1"/>
  <c r="BX149" i="1" s="1"/>
  <c r="BX150" i="1" a="1"/>
  <c r="BX150" i="1" s="1"/>
  <c r="BX151" i="1" a="1"/>
  <c r="BX151" i="1" s="1"/>
  <c r="BX152" i="1" a="1"/>
  <c r="BX152" i="1" s="1"/>
  <c r="BX120" i="1" a="1"/>
  <c r="BX120" i="1" s="1"/>
  <c r="BX154" i="1" a="1"/>
  <c r="BX154" i="1" s="1"/>
  <c r="BX92" i="1" a="1"/>
  <c r="BX92" i="1" s="1"/>
  <c r="BX156" i="1" a="1"/>
  <c r="BX156" i="1" s="1"/>
  <c r="BX157" i="1" a="1"/>
  <c r="BX157" i="1" s="1"/>
  <c r="BX158" i="1" a="1"/>
  <c r="BX158" i="1" s="1"/>
  <c r="BX159" i="1" a="1"/>
  <c r="BX159" i="1" s="1"/>
  <c r="BX160" i="1" a="1"/>
  <c r="BX160" i="1" s="1"/>
  <c r="BX161" i="1" a="1"/>
  <c r="BX161" i="1" s="1"/>
  <c r="BX162" i="1" a="1"/>
  <c r="BX162" i="1" s="1"/>
  <c r="BX65" i="1" a="1"/>
  <c r="BX65" i="1" s="1"/>
  <c r="BX164" i="1" a="1"/>
  <c r="BX164" i="1" s="1"/>
  <c r="BX165" i="1" a="1"/>
  <c r="BX165" i="1" s="1"/>
  <c r="BX166" i="1" a="1"/>
  <c r="BX166" i="1" s="1"/>
  <c r="BX167" i="1" a="1"/>
  <c r="BX167" i="1" s="1"/>
  <c r="BX168" i="1" a="1"/>
  <c r="BX168" i="1" s="1"/>
  <c r="BX169" i="1" a="1"/>
  <c r="BX169" i="1" s="1"/>
  <c r="BX170" i="1" a="1"/>
  <c r="BX170" i="1" s="1"/>
  <c r="BX171" i="1" a="1"/>
  <c r="BX171" i="1" s="1"/>
  <c r="BX172" i="1" a="1"/>
  <c r="BX172" i="1" s="1"/>
  <c r="BX173" i="1" a="1"/>
  <c r="BX173" i="1" s="1"/>
  <c r="BX174" i="1" a="1"/>
  <c r="BX174" i="1" s="1"/>
  <c r="BX175" i="1" a="1"/>
  <c r="BX175" i="1" s="1"/>
  <c r="BX176" i="1" a="1"/>
  <c r="BX176" i="1" s="1"/>
  <c r="BX177" i="1" a="1"/>
  <c r="BX177" i="1" s="1"/>
  <c r="BX178" i="1" a="1"/>
  <c r="BX178" i="1" s="1"/>
  <c r="BX179" i="1" a="1"/>
  <c r="BX179" i="1" s="1"/>
  <c r="BX155" i="1" a="1"/>
  <c r="BX155" i="1" s="1"/>
  <c r="BX181" i="1" a="1"/>
  <c r="BX181" i="1" s="1"/>
  <c r="BX182" i="1" a="1"/>
  <c r="BX182" i="1" s="1"/>
  <c r="BX183" i="1" a="1"/>
  <c r="BX183" i="1" s="1"/>
  <c r="BX191" i="1" a="1"/>
  <c r="BX191" i="1" s="1"/>
  <c r="BX185" i="1" a="1"/>
  <c r="BX185" i="1" s="1"/>
  <c r="BX19" i="1" a="1"/>
  <c r="BX19" i="1" s="1"/>
  <c r="BX187" i="1" a="1"/>
  <c r="BX187" i="1" s="1"/>
  <c r="BX188" i="1" a="1"/>
  <c r="BX188" i="1" s="1"/>
  <c r="BX189" i="1" a="1"/>
  <c r="BX189" i="1" s="1"/>
  <c r="BX190" i="1" a="1"/>
  <c r="BX190" i="1" s="1"/>
  <c r="BX35" i="1" a="1"/>
  <c r="BX35" i="1" s="1"/>
  <c r="BX192" i="1" a="1"/>
  <c r="BX192" i="1" s="1"/>
  <c r="BX193" i="1" a="1"/>
  <c r="BX193" i="1" s="1"/>
  <c r="BX194" i="1" a="1"/>
  <c r="BX194" i="1" s="1"/>
  <c r="BX195" i="1" a="1"/>
  <c r="BX195" i="1" s="1"/>
  <c r="BX196" i="1" a="1"/>
  <c r="BX196" i="1" s="1"/>
  <c r="BX197" i="1" a="1"/>
  <c r="BX197" i="1" s="1"/>
  <c r="BX198" i="1" a="1"/>
  <c r="BX198" i="1" s="1"/>
  <c r="BX199" i="1" a="1"/>
  <c r="BX199" i="1" s="1"/>
  <c r="BX200" i="1" a="1"/>
  <c r="BX200" i="1" s="1"/>
  <c r="BX201" i="1" a="1"/>
  <c r="BX201" i="1" s="1"/>
  <c r="BX255" i="1" a="1"/>
  <c r="BX255" i="1" s="1"/>
  <c r="BX203" i="1" a="1"/>
  <c r="BX203" i="1" s="1"/>
  <c r="BX204" i="1" a="1"/>
  <c r="BX204" i="1" s="1"/>
  <c r="BX205" i="1" a="1"/>
  <c r="BX205" i="1" s="1"/>
  <c r="BX206" i="1" a="1"/>
  <c r="BX206" i="1" s="1"/>
  <c r="BX207" i="1" a="1"/>
  <c r="BX207" i="1" s="1"/>
  <c r="BX208" i="1" a="1"/>
  <c r="BX208" i="1" s="1"/>
  <c r="BX114" i="1" a="1"/>
  <c r="BX114" i="1" s="1"/>
  <c r="BX210" i="1" a="1"/>
  <c r="BX210" i="1" s="1"/>
  <c r="BX211" i="1" a="1"/>
  <c r="BX211" i="1" s="1"/>
  <c r="BX212" i="1" a="1"/>
  <c r="BX212" i="1" s="1"/>
  <c r="BX213" i="1" a="1"/>
  <c r="BX213" i="1" s="1"/>
  <c r="BX214" i="1" a="1"/>
  <c r="BX214" i="1" s="1"/>
  <c r="BX215" i="1" a="1"/>
  <c r="BX215" i="1" s="1"/>
  <c r="BX216" i="1" a="1"/>
  <c r="BX216" i="1" s="1"/>
  <c r="BX217" i="1" a="1"/>
  <c r="BX217" i="1" s="1"/>
  <c r="BX218" i="1" a="1"/>
  <c r="BX218" i="1" s="1"/>
  <c r="BX219" i="1" a="1"/>
  <c r="BX219" i="1" s="1"/>
  <c r="BX220" i="1" a="1"/>
  <c r="BX220" i="1" s="1"/>
  <c r="BX221" i="1" a="1"/>
  <c r="BX221" i="1" s="1"/>
  <c r="BX222" i="1" a="1"/>
  <c r="BX222" i="1" s="1"/>
  <c r="BX223" i="1" a="1"/>
  <c r="BX223" i="1" s="1"/>
  <c r="BX224" i="1" a="1"/>
  <c r="BX224" i="1" s="1"/>
  <c r="BX225" i="1" a="1"/>
  <c r="BX225" i="1" s="1"/>
  <c r="BX226" i="1" a="1"/>
  <c r="BX226" i="1" s="1"/>
  <c r="BX227" i="1" a="1"/>
  <c r="BX227" i="1" s="1"/>
  <c r="BX228" i="1" a="1"/>
  <c r="BX228" i="1" s="1"/>
  <c r="BX229" i="1" a="1"/>
  <c r="BX229" i="1" s="1"/>
  <c r="BX230" i="1" a="1"/>
  <c r="BX230" i="1" s="1"/>
  <c r="BX231" i="1" a="1"/>
  <c r="BX231" i="1" s="1"/>
  <c r="BX232" i="1" a="1"/>
  <c r="BX232" i="1" s="1"/>
  <c r="BX233" i="1" a="1"/>
  <c r="BX233" i="1" s="1"/>
  <c r="BX234" i="1" a="1"/>
  <c r="BX234" i="1" s="1"/>
  <c r="BX235" i="1" a="1"/>
  <c r="BX235" i="1" s="1"/>
  <c r="BX236" i="1" a="1"/>
  <c r="BX236" i="1" s="1"/>
  <c r="BX237" i="1" a="1"/>
  <c r="BX237" i="1" s="1"/>
  <c r="BX238" i="1" a="1"/>
  <c r="BX238" i="1" s="1"/>
  <c r="BX239" i="1" a="1"/>
  <c r="BX239" i="1" s="1"/>
  <c r="BX240" i="1" a="1"/>
  <c r="BX240" i="1" s="1"/>
  <c r="BX241" i="1" a="1"/>
  <c r="BX241" i="1" s="1"/>
  <c r="BX242" i="1" a="1"/>
  <c r="BX242" i="1" s="1"/>
  <c r="BX243" i="1" a="1"/>
  <c r="BX243" i="1" s="1"/>
  <c r="BX244" i="1" a="1"/>
  <c r="BX244" i="1" s="1"/>
  <c r="BX245" i="1" a="1"/>
  <c r="BX245" i="1" s="1"/>
  <c r="BX246" i="1" a="1"/>
  <c r="BX246" i="1" s="1"/>
  <c r="BX247" i="1" a="1"/>
  <c r="BX247" i="1" s="1"/>
  <c r="BX248" i="1" a="1"/>
  <c r="BX248" i="1" s="1"/>
  <c r="BX249" i="1" a="1"/>
  <c r="BX249" i="1" s="1"/>
  <c r="BX250" i="1" a="1"/>
  <c r="BX250" i="1" s="1"/>
  <c r="BX251" i="1" a="1"/>
  <c r="BX251" i="1" s="1"/>
  <c r="BX252" i="1" a="1"/>
  <c r="BX252" i="1" s="1"/>
  <c r="BX253" i="1" a="1"/>
  <c r="BX253" i="1" s="1"/>
  <c r="BX254" i="1" a="1"/>
  <c r="BX254" i="1" s="1"/>
  <c r="BX202" i="1" a="1"/>
  <c r="BX202" i="1" s="1"/>
  <c r="BX256" i="1" a="1"/>
  <c r="BX256" i="1" s="1"/>
  <c r="BX257" i="1" a="1"/>
  <c r="BX257" i="1" s="1"/>
  <c r="BX258" i="1" a="1"/>
  <c r="BX258" i="1" s="1"/>
  <c r="BX259" i="1" a="1"/>
  <c r="BX259" i="1" s="1"/>
  <c r="BX260" i="1" a="1"/>
  <c r="BX260" i="1" s="1"/>
  <c r="BX261" i="1" a="1"/>
  <c r="BX261" i="1" s="1"/>
  <c r="BX262" i="1" a="1"/>
  <c r="BX262" i="1" s="1"/>
  <c r="BX263" i="1" a="1"/>
  <c r="BX263" i="1" s="1"/>
  <c r="BX264" i="1" a="1"/>
  <c r="BX264" i="1" s="1"/>
  <c r="BX265" i="1" a="1"/>
  <c r="BX265" i="1" s="1"/>
  <c r="BX266" i="1" a="1"/>
  <c r="BX266" i="1" s="1"/>
  <c r="BX267" i="1" a="1"/>
  <c r="BX267" i="1" s="1"/>
  <c r="BX268" i="1" a="1"/>
  <c r="BX268" i="1" s="1"/>
  <c r="BX269" i="1" a="1"/>
  <c r="BX269" i="1" s="1"/>
  <c r="BX270" i="1" a="1"/>
  <c r="BX270" i="1" s="1"/>
  <c r="BX271" i="1" a="1"/>
  <c r="BX271" i="1" s="1"/>
  <c r="BY6" i="1" a="1"/>
  <c r="BY6" i="1" s="1"/>
  <c r="BY7" i="1" a="1"/>
  <c r="BY7" i="1" s="1"/>
  <c r="BY8" i="1" a="1"/>
  <c r="BY8" i="1" s="1"/>
  <c r="BY9" i="1" a="1"/>
  <c r="BY9" i="1" s="1"/>
  <c r="BY10" i="1" a="1"/>
  <c r="BY10" i="1" s="1"/>
  <c r="BY11" i="1" a="1"/>
  <c r="BY11" i="1" s="1"/>
  <c r="BY12" i="1" a="1"/>
  <c r="BY12" i="1" s="1"/>
  <c r="BY13" i="1" a="1"/>
  <c r="BY13" i="1" s="1"/>
  <c r="BY186" i="1" a="1"/>
  <c r="BY186" i="1" s="1"/>
  <c r="BY15" i="1" a="1"/>
  <c r="BY15" i="1" s="1"/>
  <c r="BY16" i="1" a="1"/>
  <c r="BY16" i="1" s="1"/>
  <c r="BY17" i="1" a="1"/>
  <c r="BY17" i="1" s="1"/>
  <c r="BY18" i="1" a="1"/>
  <c r="BY18" i="1" s="1"/>
  <c r="BY90" i="1" a="1"/>
  <c r="BY90" i="1" s="1"/>
  <c r="BY20" i="1" a="1"/>
  <c r="BY20" i="1" s="1"/>
  <c r="BY21" i="1" a="1"/>
  <c r="BY21" i="1" s="1"/>
  <c r="BY22" i="1" a="1"/>
  <c r="BY22" i="1" s="1"/>
  <c r="BY23" i="1" a="1"/>
  <c r="BY23" i="1" s="1"/>
  <c r="BY24" i="1" a="1"/>
  <c r="BY24" i="1" s="1"/>
  <c r="BY25" i="1" a="1"/>
  <c r="BY25" i="1" s="1"/>
  <c r="BY26" i="1" a="1"/>
  <c r="BY26" i="1" s="1"/>
  <c r="BY27" i="1" a="1"/>
  <c r="BY27" i="1" s="1"/>
  <c r="BY28" i="1" a="1"/>
  <c r="BY28" i="1" s="1"/>
  <c r="BY29" i="1" a="1"/>
  <c r="BY29" i="1" s="1"/>
  <c r="BY30" i="1" a="1"/>
  <c r="BY30" i="1" s="1"/>
  <c r="BY31" i="1" a="1"/>
  <c r="BY31" i="1" s="1"/>
  <c r="BY32" i="1" a="1"/>
  <c r="BY32" i="1" s="1"/>
  <c r="BY33" i="1" a="1"/>
  <c r="BY33" i="1" s="1"/>
  <c r="BY34" i="1" a="1"/>
  <c r="BY34" i="1" s="1"/>
  <c r="BY209" i="1" a="1"/>
  <c r="BY209" i="1" s="1"/>
  <c r="BY36" i="1" a="1"/>
  <c r="BY36" i="1" s="1"/>
  <c r="BY37" i="1" a="1"/>
  <c r="BY37" i="1" s="1"/>
  <c r="BY38" i="1" a="1"/>
  <c r="BY38" i="1" s="1"/>
  <c r="BY39" i="1" a="1"/>
  <c r="BY39" i="1" s="1"/>
  <c r="BY40" i="1" a="1"/>
  <c r="BY40" i="1" s="1"/>
  <c r="BY41" i="1" a="1"/>
  <c r="BY41" i="1" s="1"/>
  <c r="BY42" i="1" a="1"/>
  <c r="BY42" i="1" s="1"/>
  <c r="BY43" i="1" a="1"/>
  <c r="BY43" i="1" s="1"/>
  <c r="BY44" i="1" a="1"/>
  <c r="BY44" i="1" s="1"/>
  <c r="BY45" i="1" a="1"/>
  <c r="BY45" i="1" s="1"/>
  <c r="BY46" i="1" a="1"/>
  <c r="BY46" i="1" s="1"/>
  <c r="BY47" i="1" a="1"/>
  <c r="BY47" i="1" s="1"/>
  <c r="BY48" i="1" a="1"/>
  <c r="BY48" i="1" s="1"/>
  <c r="BY49" i="1" a="1"/>
  <c r="BY49" i="1" s="1"/>
  <c r="BY50" i="1" a="1"/>
  <c r="BY50" i="1" s="1"/>
  <c r="BY51" i="1" a="1"/>
  <c r="BY51" i="1" s="1"/>
  <c r="BY52" i="1" a="1"/>
  <c r="BY52" i="1" s="1"/>
  <c r="BY53" i="1" a="1"/>
  <c r="BY53" i="1" s="1"/>
  <c r="BY54" i="1" a="1"/>
  <c r="BY54" i="1" s="1"/>
  <c r="BY55" i="1" a="1"/>
  <c r="BY55" i="1" s="1"/>
  <c r="BY56" i="1" a="1"/>
  <c r="BY56" i="1" s="1"/>
  <c r="BY57" i="1" a="1"/>
  <c r="BY57" i="1" s="1"/>
  <c r="BY58" i="1" a="1"/>
  <c r="BY58" i="1" s="1"/>
  <c r="BY59" i="1" a="1"/>
  <c r="BY59" i="1" s="1"/>
  <c r="BY60" i="1" a="1"/>
  <c r="BY60" i="1" s="1"/>
  <c r="BY61" i="1" a="1"/>
  <c r="BY61" i="1" s="1"/>
  <c r="BY62" i="1" a="1"/>
  <c r="BY62" i="1" s="1"/>
  <c r="BY63" i="1" a="1"/>
  <c r="BY63" i="1" s="1"/>
  <c r="BY64" i="1" a="1"/>
  <c r="BY64" i="1" s="1"/>
  <c r="BY127" i="1" a="1"/>
  <c r="BY127" i="1" s="1"/>
  <c r="BY66" i="1" a="1"/>
  <c r="BY66" i="1" s="1"/>
  <c r="BY121" i="1" a="1"/>
  <c r="BY121" i="1" s="1"/>
  <c r="BY68" i="1" a="1"/>
  <c r="BY68" i="1" s="1"/>
  <c r="BY69" i="1" a="1"/>
  <c r="BY69" i="1" s="1"/>
  <c r="BY184" i="1" a="1"/>
  <c r="BY184" i="1" s="1"/>
  <c r="BY71" i="1" a="1"/>
  <c r="BY71" i="1" s="1"/>
  <c r="BY72" i="1" a="1"/>
  <c r="BY72" i="1" s="1"/>
  <c r="BY73" i="1" a="1"/>
  <c r="BY73" i="1" s="1"/>
  <c r="BY74" i="1" a="1"/>
  <c r="BY74" i="1" s="1"/>
  <c r="BY75" i="1" a="1"/>
  <c r="BY75" i="1" s="1"/>
  <c r="BY76" i="1" a="1"/>
  <c r="BY76" i="1" s="1"/>
  <c r="BY77" i="1" a="1"/>
  <c r="BY77" i="1" s="1"/>
  <c r="BY78" i="1" a="1"/>
  <c r="BY78" i="1" s="1"/>
  <c r="BY79" i="1" a="1"/>
  <c r="BY79" i="1" s="1"/>
  <c r="BY80" i="1" a="1"/>
  <c r="BY80" i="1" s="1"/>
  <c r="BY81" i="1" a="1"/>
  <c r="BY81" i="1" s="1"/>
  <c r="BY82" i="1" a="1"/>
  <c r="BY82" i="1" s="1"/>
  <c r="BY83" i="1" a="1"/>
  <c r="BY83" i="1" s="1"/>
  <c r="BY84" i="1" a="1"/>
  <c r="BY84" i="1" s="1"/>
  <c r="BY85" i="1" a="1"/>
  <c r="BY85" i="1" s="1"/>
  <c r="BY86" i="1" a="1"/>
  <c r="BY86" i="1" s="1"/>
  <c r="BY87" i="1" a="1"/>
  <c r="BY87" i="1" s="1"/>
  <c r="BY88" i="1" a="1"/>
  <c r="BY88" i="1" s="1"/>
  <c r="BY124" i="1" a="1"/>
  <c r="BY124" i="1" s="1"/>
  <c r="BY163" i="1" a="1"/>
  <c r="BY163" i="1" s="1"/>
  <c r="BY91" i="1" a="1"/>
  <c r="BY91" i="1" s="1"/>
  <c r="BY180" i="1" a="1"/>
  <c r="BY180" i="1" s="1"/>
  <c r="BY93" i="1" a="1"/>
  <c r="BY93" i="1" s="1"/>
  <c r="BY94" i="1" a="1"/>
  <c r="BY94" i="1" s="1"/>
  <c r="BY95" i="1" a="1"/>
  <c r="BY95" i="1" s="1"/>
  <c r="BY96" i="1" a="1"/>
  <c r="BY96" i="1" s="1"/>
  <c r="BY97" i="1" a="1"/>
  <c r="BY97" i="1" s="1"/>
  <c r="BY98" i="1" a="1"/>
  <c r="BY98" i="1" s="1"/>
  <c r="BY99" i="1" a="1"/>
  <c r="BY99" i="1" s="1"/>
  <c r="BY100" i="1" a="1"/>
  <c r="BY100" i="1" s="1"/>
  <c r="BY101" i="1" a="1"/>
  <c r="BY101" i="1" s="1"/>
  <c r="BY102" i="1" a="1"/>
  <c r="BY102" i="1" s="1"/>
  <c r="BY103" i="1" a="1"/>
  <c r="BY103" i="1" s="1"/>
  <c r="BY104" i="1" a="1"/>
  <c r="BY104" i="1" s="1"/>
  <c r="BY105" i="1" a="1"/>
  <c r="BY105" i="1" s="1"/>
  <c r="BY106" i="1" a="1"/>
  <c r="BY106" i="1" s="1"/>
  <c r="BY107" i="1" a="1"/>
  <c r="BY107" i="1" s="1"/>
  <c r="BY108" i="1" a="1"/>
  <c r="BY108" i="1" s="1"/>
  <c r="BY109" i="1" a="1"/>
  <c r="BY109" i="1" s="1"/>
  <c r="BY110" i="1" a="1"/>
  <c r="BY110" i="1" s="1"/>
  <c r="BY111" i="1" a="1"/>
  <c r="BY111" i="1" s="1"/>
  <c r="BY112" i="1" a="1"/>
  <c r="BY112" i="1" s="1"/>
  <c r="BY113" i="1" a="1"/>
  <c r="BY113" i="1" s="1"/>
  <c r="BY89" i="1" a="1"/>
  <c r="BY89" i="1" s="1"/>
  <c r="BY115" i="1" a="1"/>
  <c r="BY115" i="1" s="1"/>
  <c r="BY116" i="1" a="1"/>
  <c r="BY116" i="1" s="1"/>
  <c r="BY117" i="1" a="1"/>
  <c r="BY117" i="1" s="1"/>
  <c r="BY118" i="1" a="1"/>
  <c r="BY118" i="1" s="1"/>
  <c r="BY119" i="1" a="1"/>
  <c r="BY119" i="1" s="1"/>
  <c r="BY67" i="1" a="1"/>
  <c r="BY67" i="1" s="1"/>
  <c r="BY70" i="1" a="1"/>
  <c r="BY70" i="1" s="1"/>
  <c r="BY122" i="1" a="1"/>
  <c r="BY122" i="1" s="1"/>
  <c r="BY123" i="1" a="1"/>
  <c r="BY123" i="1" s="1"/>
  <c r="BY153" i="1" a="1"/>
  <c r="BY153" i="1" s="1"/>
  <c r="BY125" i="1" a="1"/>
  <c r="BY125" i="1" s="1"/>
  <c r="BY126" i="1" a="1"/>
  <c r="BY126" i="1" s="1"/>
  <c r="BY14" i="1" a="1"/>
  <c r="BY14" i="1" s="1"/>
  <c r="BY128" i="1" a="1"/>
  <c r="BY128" i="1" s="1"/>
  <c r="BY129" i="1" a="1"/>
  <c r="BY129" i="1" s="1"/>
  <c r="BY130" i="1" a="1"/>
  <c r="BY130" i="1" s="1"/>
  <c r="BY131" i="1" a="1"/>
  <c r="BY131" i="1" s="1"/>
  <c r="BY132" i="1" a="1"/>
  <c r="BY132" i="1" s="1"/>
  <c r="BY133" i="1" a="1"/>
  <c r="BY133" i="1" s="1"/>
  <c r="BY134" i="1" a="1"/>
  <c r="BY134" i="1" s="1"/>
  <c r="BY135" i="1" a="1"/>
  <c r="BY135" i="1" s="1"/>
  <c r="BY136" i="1" a="1"/>
  <c r="BY136" i="1" s="1"/>
  <c r="BY137" i="1" a="1"/>
  <c r="BY137" i="1" s="1"/>
  <c r="BY138" i="1" a="1"/>
  <c r="BY138" i="1" s="1"/>
  <c r="BY139" i="1" a="1"/>
  <c r="BY139" i="1" s="1"/>
  <c r="BY140" i="1" a="1"/>
  <c r="BY140" i="1" s="1"/>
  <c r="BY141" i="1" a="1"/>
  <c r="BY141" i="1" s="1"/>
  <c r="BY142" i="1" a="1"/>
  <c r="BY142" i="1" s="1"/>
  <c r="BY143" i="1" a="1"/>
  <c r="BY143" i="1" s="1"/>
  <c r="BY144" i="1" a="1"/>
  <c r="BY144" i="1" s="1"/>
  <c r="BY145" i="1" a="1"/>
  <c r="BY145" i="1" s="1"/>
  <c r="BY146" i="1" a="1"/>
  <c r="BY146" i="1" s="1"/>
  <c r="BY147" i="1" a="1"/>
  <c r="BY147" i="1" s="1"/>
  <c r="BY148" i="1" a="1"/>
  <c r="BY148" i="1" s="1"/>
  <c r="BY149" i="1" a="1"/>
  <c r="BY149" i="1" s="1"/>
  <c r="BY150" i="1" a="1"/>
  <c r="BY150" i="1" s="1"/>
  <c r="BY151" i="1" a="1"/>
  <c r="BY151" i="1" s="1"/>
  <c r="BY152" i="1" a="1"/>
  <c r="BY152" i="1" s="1"/>
  <c r="BY120" i="1" a="1"/>
  <c r="BY120" i="1" s="1"/>
  <c r="BY154" i="1" a="1"/>
  <c r="BY154" i="1" s="1"/>
  <c r="BY92" i="1" a="1"/>
  <c r="BY92" i="1" s="1"/>
  <c r="BY156" i="1" a="1"/>
  <c r="BY156" i="1" s="1"/>
  <c r="BY157" i="1" a="1"/>
  <c r="BY157" i="1" s="1"/>
  <c r="BY158" i="1" a="1"/>
  <c r="BY158" i="1" s="1"/>
  <c r="BY159" i="1" a="1"/>
  <c r="BY159" i="1" s="1"/>
  <c r="BY160" i="1" a="1"/>
  <c r="BY160" i="1" s="1"/>
  <c r="BY161" i="1" a="1"/>
  <c r="BY161" i="1" s="1"/>
  <c r="BY162" i="1" a="1"/>
  <c r="BY162" i="1" s="1"/>
  <c r="BY65" i="1" a="1"/>
  <c r="BY65" i="1" s="1"/>
  <c r="BY164" i="1" a="1"/>
  <c r="BY164" i="1" s="1"/>
  <c r="BY165" i="1" a="1"/>
  <c r="BY165" i="1" s="1"/>
  <c r="BY166" i="1" a="1"/>
  <c r="BY166" i="1" s="1"/>
  <c r="BY167" i="1" a="1"/>
  <c r="BY167" i="1" s="1"/>
  <c r="BY168" i="1" a="1"/>
  <c r="BY168" i="1" s="1"/>
  <c r="BY169" i="1" a="1"/>
  <c r="BY169" i="1" s="1"/>
  <c r="BY170" i="1" a="1"/>
  <c r="BY170" i="1" s="1"/>
  <c r="BY171" i="1" a="1"/>
  <c r="BY171" i="1" s="1"/>
  <c r="BY172" i="1" a="1"/>
  <c r="BY172" i="1" s="1"/>
  <c r="BY173" i="1" a="1"/>
  <c r="BY173" i="1" s="1"/>
  <c r="BY174" i="1" a="1"/>
  <c r="BY174" i="1" s="1"/>
  <c r="BY175" i="1" a="1"/>
  <c r="BY175" i="1" s="1"/>
  <c r="BY176" i="1" a="1"/>
  <c r="BY176" i="1" s="1"/>
  <c r="BY177" i="1" a="1"/>
  <c r="BY177" i="1" s="1"/>
  <c r="BY178" i="1" a="1"/>
  <c r="BY178" i="1" s="1"/>
  <c r="BY179" i="1" a="1"/>
  <c r="BY179" i="1" s="1"/>
  <c r="BY155" i="1" a="1"/>
  <c r="BY155" i="1" s="1"/>
  <c r="BY181" i="1" a="1"/>
  <c r="BY181" i="1" s="1"/>
  <c r="BY182" i="1" a="1"/>
  <c r="BY182" i="1" s="1"/>
  <c r="BY183" i="1" a="1"/>
  <c r="BY183" i="1" s="1"/>
  <c r="BY191" i="1" a="1"/>
  <c r="BY191" i="1" s="1"/>
  <c r="BY185" i="1" a="1"/>
  <c r="BY185" i="1" s="1"/>
  <c r="BY19" i="1" a="1"/>
  <c r="BY19" i="1" s="1"/>
  <c r="BY187" i="1" a="1"/>
  <c r="BY187" i="1" s="1"/>
  <c r="BY188" i="1" a="1"/>
  <c r="BY188" i="1" s="1"/>
  <c r="BY189" i="1" a="1"/>
  <c r="BY189" i="1" s="1"/>
  <c r="BY190" i="1" a="1"/>
  <c r="BY190" i="1" s="1"/>
  <c r="BY35" i="1" a="1"/>
  <c r="BY35" i="1" s="1"/>
  <c r="BY192" i="1" a="1"/>
  <c r="BY192" i="1" s="1"/>
  <c r="BY193" i="1" a="1"/>
  <c r="BY193" i="1" s="1"/>
  <c r="BY194" i="1" a="1"/>
  <c r="BY194" i="1" s="1"/>
  <c r="BY195" i="1" a="1"/>
  <c r="BY195" i="1" s="1"/>
  <c r="BY196" i="1" a="1"/>
  <c r="BY196" i="1" s="1"/>
  <c r="BY197" i="1" a="1"/>
  <c r="BY197" i="1" s="1"/>
  <c r="BY198" i="1" a="1"/>
  <c r="BY198" i="1" s="1"/>
  <c r="BY199" i="1" a="1"/>
  <c r="BY199" i="1" s="1"/>
  <c r="BY200" i="1" a="1"/>
  <c r="BY200" i="1" s="1"/>
  <c r="BY201" i="1" a="1"/>
  <c r="BY201" i="1" s="1"/>
  <c r="BY255" i="1" a="1"/>
  <c r="BY255" i="1" s="1"/>
  <c r="BY203" i="1" a="1"/>
  <c r="BY203" i="1" s="1"/>
  <c r="BY204" i="1" a="1"/>
  <c r="BY204" i="1" s="1"/>
  <c r="BY205" i="1" a="1"/>
  <c r="BY205" i="1" s="1"/>
  <c r="BY206" i="1" a="1"/>
  <c r="BY206" i="1" s="1"/>
  <c r="BY207" i="1" a="1"/>
  <c r="BY207" i="1" s="1"/>
  <c r="BY208" i="1" a="1"/>
  <c r="BY208" i="1" s="1"/>
  <c r="BY114" i="1" a="1"/>
  <c r="BY114" i="1" s="1"/>
  <c r="BY210" i="1" a="1"/>
  <c r="BY210" i="1" s="1"/>
  <c r="BY211" i="1" a="1"/>
  <c r="BY211" i="1" s="1"/>
  <c r="BY212" i="1" a="1"/>
  <c r="BY212" i="1" s="1"/>
  <c r="BY213" i="1" a="1"/>
  <c r="BY213" i="1" s="1"/>
  <c r="BY214" i="1" a="1"/>
  <c r="BY214" i="1" s="1"/>
  <c r="BY215" i="1" a="1"/>
  <c r="BY215" i="1" s="1"/>
  <c r="BY216" i="1" a="1"/>
  <c r="BY216" i="1" s="1"/>
  <c r="BY217" i="1" a="1"/>
  <c r="BY217" i="1" s="1"/>
  <c r="BY218" i="1" a="1"/>
  <c r="BY218" i="1" s="1"/>
  <c r="BY219" i="1" a="1"/>
  <c r="BY219" i="1" s="1"/>
  <c r="BY220" i="1" a="1"/>
  <c r="BY220" i="1" s="1"/>
  <c r="BY221" i="1" a="1"/>
  <c r="BY221" i="1" s="1"/>
  <c r="BY222" i="1" a="1"/>
  <c r="BY222" i="1" s="1"/>
  <c r="BY223" i="1" a="1"/>
  <c r="BY223" i="1" s="1"/>
  <c r="BY224" i="1" a="1"/>
  <c r="BY224" i="1" s="1"/>
  <c r="BY225" i="1" a="1"/>
  <c r="BY225" i="1" s="1"/>
  <c r="BY226" i="1" a="1"/>
  <c r="BY226" i="1" s="1"/>
  <c r="BY227" i="1" a="1"/>
  <c r="BY227" i="1" s="1"/>
  <c r="BY228" i="1" a="1"/>
  <c r="BY228" i="1" s="1"/>
  <c r="BY229" i="1" a="1"/>
  <c r="BY229" i="1" s="1"/>
  <c r="BY230" i="1" a="1"/>
  <c r="BY230" i="1" s="1"/>
  <c r="BY231" i="1" a="1"/>
  <c r="BY231" i="1" s="1"/>
  <c r="BY232" i="1" a="1"/>
  <c r="BY232" i="1" s="1"/>
  <c r="BY233" i="1" a="1"/>
  <c r="BY233" i="1" s="1"/>
  <c r="BY234" i="1" a="1"/>
  <c r="BY234" i="1" s="1"/>
  <c r="BY235" i="1" a="1"/>
  <c r="BY235" i="1" s="1"/>
  <c r="BY236" i="1" a="1"/>
  <c r="BY236" i="1" s="1"/>
  <c r="BY237" i="1" a="1"/>
  <c r="BY237" i="1" s="1"/>
  <c r="BY238" i="1" a="1"/>
  <c r="BY238" i="1" s="1"/>
  <c r="BY239" i="1" a="1"/>
  <c r="BY239" i="1" s="1"/>
  <c r="BY240" i="1" a="1"/>
  <c r="BY240" i="1" s="1"/>
  <c r="BY241" i="1" a="1"/>
  <c r="BY241" i="1" s="1"/>
  <c r="BY242" i="1" a="1"/>
  <c r="BY242" i="1" s="1"/>
  <c r="BY243" i="1" a="1"/>
  <c r="BY243" i="1" s="1"/>
  <c r="BY244" i="1" a="1"/>
  <c r="BY244" i="1" s="1"/>
  <c r="BY245" i="1" a="1"/>
  <c r="BY245" i="1" s="1"/>
  <c r="BY246" i="1" a="1"/>
  <c r="BY246" i="1" s="1"/>
  <c r="BY247" i="1" a="1"/>
  <c r="BY247" i="1" s="1"/>
  <c r="BY248" i="1" a="1"/>
  <c r="BY248" i="1" s="1"/>
  <c r="BY249" i="1" a="1"/>
  <c r="BY249" i="1" s="1"/>
  <c r="BY250" i="1" a="1"/>
  <c r="BY250" i="1" s="1"/>
  <c r="BY251" i="1" a="1"/>
  <c r="BY251" i="1" s="1"/>
  <c r="BY252" i="1" a="1"/>
  <c r="BY252" i="1" s="1"/>
  <c r="BY253" i="1" a="1"/>
  <c r="BY253" i="1" s="1"/>
  <c r="BY254" i="1" a="1"/>
  <c r="BY254" i="1" s="1"/>
  <c r="BY202" i="1" a="1"/>
  <c r="BY202" i="1" s="1"/>
  <c r="BY256" i="1" a="1"/>
  <c r="BY256" i="1" s="1"/>
  <c r="BY257" i="1" a="1"/>
  <c r="BY257" i="1" s="1"/>
  <c r="BY258" i="1" a="1"/>
  <c r="BY258" i="1" s="1"/>
  <c r="BY259" i="1" a="1"/>
  <c r="BY259" i="1" s="1"/>
  <c r="BY260" i="1" a="1"/>
  <c r="BY260" i="1" s="1"/>
  <c r="BY261" i="1" a="1"/>
  <c r="BY261" i="1" s="1"/>
  <c r="BY262" i="1" a="1"/>
  <c r="BY262" i="1" s="1"/>
  <c r="BY263" i="1" a="1"/>
  <c r="BY263" i="1" s="1"/>
  <c r="BY264" i="1" a="1"/>
  <c r="BY264" i="1" s="1"/>
  <c r="BY265" i="1" a="1"/>
  <c r="BY265" i="1" s="1"/>
  <c r="BY266" i="1" a="1"/>
  <c r="BY266" i="1" s="1"/>
  <c r="BY267" i="1" a="1"/>
  <c r="BY267" i="1" s="1"/>
  <c r="BY268" i="1" a="1"/>
  <c r="BY268" i="1" s="1"/>
  <c r="BY269" i="1" a="1"/>
  <c r="BY269" i="1" s="1"/>
  <c r="BY270" i="1" a="1"/>
  <c r="BY270" i="1" s="1"/>
  <c r="BY271" i="1" a="1"/>
  <c r="BY271" i="1" s="1"/>
  <c r="BP9" i="1" a="1"/>
  <c r="BP9" i="1" s="1"/>
  <c r="CC9" i="1" s="1"/>
  <c r="BP10" i="1" a="1"/>
  <c r="BP10" i="1" s="1"/>
  <c r="CC10" i="1" s="1"/>
  <c r="BP11" i="1" a="1"/>
  <c r="BP11" i="1" s="1"/>
  <c r="CC11" i="1" s="1"/>
  <c r="BP12" i="1" a="1"/>
  <c r="BP12" i="1" s="1"/>
  <c r="CC12" i="1" s="1"/>
  <c r="BP13" i="1" a="1"/>
  <c r="BP13" i="1" s="1"/>
  <c r="CC13" i="1" s="1"/>
  <c r="BP15" i="1" a="1"/>
  <c r="BP15" i="1" s="1"/>
  <c r="CC15" i="1" s="1"/>
  <c r="BP16" i="1" a="1"/>
  <c r="BP16" i="1" s="1"/>
  <c r="CC16" i="1" s="1"/>
  <c r="BP17" i="1" a="1"/>
  <c r="BP17" i="1" s="1"/>
  <c r="CC17" i="1" s="1"/>
  <c r="BP18" i="1" a="1"/>
  <c r="BP18" i="1" s="1"/>
  <c r="CC18" i="1" s="1"/>
  <c r="BP20" i="1" a="1"/>
  <c r="BP20" i="1" s="1"/>
  <c r="CC20" i="1" s="1"/>
  <c r="BP21" i="1" a="1"/>
  <c r="BP21" i="1" s="1"/>
  <c r="CC21" i="1" s="1"/>
  <c r="BP55" i="1" a="1"/>
  <c r="BP55" i="1" s="1"/>
  <c r="CC55" i="1" s="1"/>
  <c r="D13" i="9" l="1"/>
  <c r="D8" i="9"/>
  <c r="D232" i="9"/>
  <c r="D3" i="9"/>
  <c r="D241" i="9"/>
  <c r="D51" i="9"/>
  <c r="D7" i="9"/>
  <c r="D61" i="9"/>
  <c r="D4" i="9"/>
  <c r="D17" i="9"/>
  <c r="D16" i="9"/>
  <c r="D11" i="9"/>
  <c r="D6" i="9"/>
  <c r="D10" i="9"/>
  <c r="D234" i="9"/>
  <c r="D12" i="9"/>
  <c r="D14" i="9"/>
  <c r="D9" i="9"/>
  <c r="D5" i="9"/>
  <c r="D18" i="9"/>
  <c r="D117" i="9"/>
  <c r="DX8" i="1"/>
  <c r="CA9" i="1"/>
  <c r="CA245" i="1"/>
  <c r="CA65" i="1"/>
  <c r="CA7" i="1"/>
  <c r="CA55" i="1"/>
  <c r="CA17" i="1"/>
  <c r="CA12" i="1"/>
  <c r="CA8" i="1"/>
  <c r="CA132" i="1"/>
  <c r="CA13" i="1"/>
  <c r="CA14" i="1"/>
  <c r="CA238" i="1"/>
  <c r="CA18" i="1"/>
  <c r="CA21" i="1"/>
  <c r="CA16" i="1"/>
  <c r="CA11" i="1"/>
  <c r="CA20" i="1"/>
  <c r="CA15" i="1"/>
  <c r="CA10" i="1"/>
  <c r="CA236" i="1"/>
  <c r="CA22" i="1"/>
  <c r="CA121" i="1"/>
  <c r="EH13" i="1"/>
  <c r="EJ13" i="1" s="1"/>
  <c r="EL13" i="1" s="1"/>
  <c r="EH7" i="1"/>
  <c r="EJ7" i="1" s="1"/>
  <c r="EL7" i="1" s="1"/>
  <c r="EH55" i="1"/>
  <c r="EJ55" i="1" s="1"/>
  <c r="EL55" i="1" s="1"/>
  <c r="EH21" i="1"/>
  <c r="EJ21" i="1" s="1"/>
  <c r="EL21" i="1" s="1"/>
  <c r="EH16" i="1"/>
  <c r="EJ16" i="1" s="1"/>
  <c r="EL16" i="1" s="1"/>
  <c r="EH12" i="1"/>
  <c r="EJ12" i="1" s="1"/>
  <c r="EL12" i="1" s="1"/>
  <c r="EH245" i="1"/>
  <c r="EJ245" i="1" s="1"/>
  <c r="EL245" i="1" s="1"/>
  <c r="EH17" i="1"/>
  <c r="EJ17" i="1" s="1"/>
  <c r="EL17" i="1" s="1"/>
  <c r="EH20" i="1"/>
  <c r="EJ20" i="1" s="1"/>
  <c r="EL20" i="1" s="1"/>
  <c r="EH14" i="1"/>
  <c r="EJ14" i="1" s="1"/>
  <c r="EL14" i="1" s="1"/>
  <c r="EH8" i="1"/>
  <c r="EJ8" i="1" s="1"/>
  <c r="EL8" i="1" s="1"/>
  <c r="EH132" i="1"/>
  <c r="EJ132" i="1" s="1"/>
  <c r="EL132" i="1" s="1"/>
  <c r="EH9" i="1"/>
  <c r="EJ9" i="1" s="1"/>
  <c r="EL9" i="1" s="1"/>
  <c r="EH65" i="1"/>
  <c r="EJ65" i="1" s="1"/>
  <c r="EL65" i="1" s="1"/>
  <c r="EH15" i="1"/>
  <c r="EJ15" i="1" s="1"/>
  <c r="EL15" i="1" s="1"/>
  <c r="EH11" i="1"/>
  <c r="EJ11" i="1" s="1"/>
  <c r="EL11" i="1" s="1"/>
  <c r="EH18" i="1"/>
  <c r="EJ18" i="1" s="1"/>
  <c r="EL18" i="1" s="1"/>
  <c r="EH10" i="1"/>
  <c r="EJ10" i="1" s="1"/>
  <c r="EL10" i="1" s="1"/>
  <c r="EH236" i="1"/>
  <c r="EJ236" i="1" s="1"/>
  <c r="EL236" i="1" s="1"/>
  <c r="EH22" i="1"/>
  <c r="EJ22" i="1" s="1"/>
  <c r="EL22" i="1" s="1"/>
  <c r="EH238" i="1"/>
  <c r="EJ238" i="1" s="1"/>
  <c r="EL238" i="1" s="1"/>
  <c r="EH121" i="1"/>
  <c r="EJ121" i="1" s="1"/>
  <c r="EL121" i="1" s="1"/>
  <c r="EH186" i="1"/>
  <c r="EJ186" i="1" s="1"/>
  <c r="EL186" i="1" s="1"/>
  <c r="EJ90" i="1"/>
  <c r="EL90" i="1" s="1"/>
  <c r="BT73" i="1" a="1"/>
  <c r="BT73" i="1" s="1"/>
  <c r="BT74" i="1" a="1"/>
  <c r="BT74" i="1" s="1"/>
  <c r="BT75" i="1" a="1"/>
  <c r="BT75" i="1" s="1"/>
  <c r="BT76" i="1" a="1"/>
  <c r="BT76" i="1" s="1"/>
  <c r="BT77" i="1" a="1"/>
  <c r="BT77" i="1" s="1"/>
  <c r="BT78" i="1" a="1"/>
  <c r="BT78" i="1" s="1"/>
  <c r="BT79" i="1" a="1"/>
  <c r="BT79" i="1" s="1"/>
  <c r="BT80" i="1" a="1"/>
  <c r="BT80" i="1" s="1"/>
  <c r="BT81" i="1" a="1"/>
  <c r="BT81" i="1" s="1"/>
  <c r="BT82" i="1" a="1"/>
  <c r="BT82" i="1" s="1"/>
  <c r="BT83" i="1" a="1"/>
  <c r="BT83" i="1" s="1"/>
  <c r="BT84" i="1" a="1"/>
  <c r="BT84" i="1" s="1"/>
  <c r="BT85" i="1" a="1"/>
  <c r="BT85" i="1" s="1"/>
  <c r="BT86" i="1" a="1"/>
  <c r="BT86" i="1" s="1"/>
  <c r="BT87" i="1" a="1"/>
  <c r="BT87" i="1" s="1"/>
  <c r="BT88" i="1" a="1"/>
  <c r="BT88" i="1" s="1"/>
  <c r="BT124" i="1" a="1"/>
  <c r="BT124" i="1" s="1"/>
  <c r="BT163" i="1" a="1"/>
  <c r="BT163" i="1" s="1"/>
  <c r="BT91" i="1" a="1"/>
  <c r="BT91" i="1" s="1"/>
  <c r="BT180" i="1" a="1"/>
  <c r="BT180" i="1" s="1"/>
  <c r="BT93" i="1" a="1"/>
  <c r="BT93" i="1" s="1"/>
  <c r="BT94" i="1" a="1"/>
  <c r="BT94" i="1" s="1"/>
  <c r="BT95" i="1" a="1"/>
  <c r="BT95" i="1" s="1"/>
  <c r="BT96" i="1" a="1"/>
  <c r="BT96" i="1" s="1"/>
  <c r="BT97" i="1" a="1"/>
  <c r="BT97" i="1" s="1"/>
  <c r="BT98" i="1" a="1"/>
  <c r="BT98" i="1" s="1"/>
  <c r="BT99" i="1" a="1"/>
  <c r="BT99" i="1" s="1"/>
  <c r="BT100" i="1" a="1"/>
  <c r="BT100" i="1" s="1"/>
  <c r="BT101" i="1" a="1"/>
  <c r="BT101" i="1" s="1"/>
  <c r="BT102" i="1" a="1"/>
  <c r="BT102" i="1" s="1"/>
  <c r="BT103" i="1" a="1"/>
  <c r="BT103" i="1" s="1"/>
  <c r="BT104" i="1" a="1"/>
  <c r="BT104" i="1" s="1"/>
  <c r="BT105" i="1" a="1"/>
  <c r="BT105" i="1" s="1"/>
  <c r="BT106" i="1" a="1"/>
  <c r="BT106" i="1" s="1"/>
  <c r="BT107" i="1" a="1"/>
  <c r="BT107" i="1" s="1"/>
  <c r="BT108" i="1" a="1"/>
  <c r="BT108" i="1" s="1"/>
  <c r="BT109" i="1" a="1"/>
  <c r="BT109" i="1" s="1"/>
  <c r="BT110" i="1" a="1"/>
  <c r="BT110" i="1" s="1"/>
  <c r="BT111" i="1" a="1"/>
  <c r="BT111" i="1" s="1"/>
  <c r="BT112" i="1" a="1"/>
  <c r="BT112" i="1" s="1"/>
  <c r="BT113" i="1" a="1"/>
  <c r="BT113" i="1" s="1"/>
  <c r="BT89" i="1" a="1"/>
  <c r="BT89" i="1" s="1"/>
  <c r="BT115" i="1" a="1"/>
  <c r="BT115" i="1" s="1"/>
  <c r="BT116" i="1" a="1"/>
  <c r="BT116" i="1" s="1"/>
  <c r="BT117" i="1" a="1"/>
  <c r="BT117" i="1" s="1"/>
  <c r="BT118" i="1" a="1"/>
  <c r="BT118" i="1" s="1"/>
  <c r="BT119" i="1" a="1"/>
  <c r="BT119" i="1" s="1"/>
  <c r="BT67" i="1" a="1"/>
  <c r="BT67" i="1" s="1"/>
  <c r="BT70" i="1" a="1"/>
  <c r="BT70" i="1" s="1"/>
  <c r="BT122" i="1" a="1"/>
  <c r="BT122" i="1" s="1"/>
  <c r="BT123" i="1" a="1"/>
  <c r="BT123" i="1" s="1"/>
  <c r="BT153" i="1" a="1"/>
  <c r="BT153" i="1" s="1"/>
  <c r="BT125" i="1" a="1"/>
  <c r="BT125" i="1" s="1"/>
  <c r="BT126" i="1" a="1"/>
  <c r="BT126" i="1" s="1"/>
  <c r="BT14" i="1" a="1"/>
  <c r="BT14" i="1" s="1"/>
  <c r="BT128" i="1" a="1"/>
  <c r="BT128" i="1" s="1"/>
  <c r="BT129" i="1" a="1"/>
  <c r="BT129" i="1" s="1"/>
  <c r="BT130" i="1" a="1"/>
  <c r="BT130" i="1" s="1"/>
  <c r="BT131" i="1" a="1"/>
  <c r="BT131" i="1" s="1"/>
  <c r="BT132" i="1" a="1"/>
  <c r="BT132" i="1" s="1"/>
  <c r="BT133" i="1" a="1"/>
  <c r="BT133" i="1" s="1"/>
  <c r="BT134" i="1" a="1"/>
  <c r="BT134" i="1" s="1"/>
  <c r="BT135" i="1" a="1"/>
  <c r="BT135" i="1" s="1"/>
  <c r="BT136" i="1" a="1"/>
  <c r="BT136" i="1" s="1"/>
  <c r="BT137" i="1" a="1"/>
  <c r="BT137" i="1" s="1"/>
  <c r="BT138" i="1" a="1"/>
  <c r="BT138" i="1" s="1"/>
  <c r="BT139" i="1" a="1"/>
  <c r="BT139" i="1" s="1"/>
  <c r="BT140" i="1" a="1"/>
  <c r="BT140" i="1" s="1"/>
  <c r="BT141" i="1" a="1"/>
  <c r="BT141" i="1" s="1"/>
  <c r="BT142" i="1" a="1"/>
  <c r="BT142" i="1" s="1"/>
  <c r="BT143" i="1" a="1"/>
  <c r="BT143" i="1" s="1"/>
  <c r="BT144" i="1" a="1"/>
  <c r="BT144" i="1" s="1"/>
  <c r="BT145" i="1" a="1"/>
  <c r="BT145" i="1" s="1"/>
  <c r="BT146" i="1" a="1"/>
  <c r="BT146" i="1" s="1"/>
  <c r="BT147" i="1" a="1"/>
  <c r="BT147" i="1" s="1"/>
  <c r="BT148" i="1" a="1"/>
  <c r="BT148" i="1" s="1"/>
  <c r="BT149" i="1" a="1"/>
  <c r="BT149" i="1" s="1"/>
  <c r="BT150" i="1" a="1"/>
  <c r="BT150" i="1" s="1"/>
  <c r="BT151" i="1" a="1"/>
  <c r="BT151" i="1" s="1"/>
  <c r="BT152" i="1" a="1"/>
  <c r="BT152" i="1" s="1"/>
  <c r="BT120" i="1" a="1"/>
  <c r="BT120" i="1" s="1"/>
  <c r="BT154" i="1" a="1"/>
  <c r="BT154" i="1" s="1"/>
  <c r="BT92" i="1" a="1"/>
  <c r="BT92" i="1" s="1"/>
  <c r="BT156" i="1" a="1"/>
  <c r="BT156" i="1" s="1"/>
  <c r="BT157" i="1" a="1"/>
  <c r="BT157" i="1" s="1"/>
  <c r="BT158" i="1" a="1"/>
  <c r="BT158" i="1" s="1"/>
  <c r="BT159" i="1" a="1"/>
  <c r="BT159" i="1" s="1"/>
  <c r="BT160" i="1" a="1"/>
  <c r="BT160" i="1" s="1"/>
  <c r="BT161" i="1" a="1"/>
  <c r="BT161" i="1" s="1"/>
  <c r="BT162" i="1" a="1"/>
  <c r="BT162" i="1" s="1"/>
  <c r="BT65" i="1" a="1"/>
  <c r="BT65" i="1" s="1"/>
  <c r="BT164" i="1" a="1"/>
  <c r="BT164" i="1" s="1"/>
  <c r="BT165" i="1" a="1"/>
  <c r="BT165" i="1" s="1"/>
  <c r="BT166" i="1" a="1"/>
  <c r="BT166" i="1" s="1"/>
  <c r="BT167" i="1" a="1"/>
  <c r="BT167" i="1" s="1"/>
  <c r="BT168" i="1" a="1"/>
  <c r="BT168" i="1" s="1"/>
  <c r="BT169" i="1" a="1"/>
  <c r="BT169" i="1" s="1"/>
  <c r="BT170" i="1" a="1"/>
  <c r="BT170" i="1" s="1"/>
  <c r="BT171" i="1" a="1"/>
  <c r="BT171" i="1" s="1"/>
  <c r="BT172" i="1" a="1"/>
  <c r="BT172" i="1" s="1"/>
  <c r="BT173" i="1" a="1"/>
  <c r="BT173" i="1" s="1"/>
  <c r="BT174" i="1" a="1"/>
  <c r="BT174" i="1" s="1"/>
  <c r="BT175" i="1" a="1"/>
  <c r="BT175" i="1" s="1"/>
  <c r="BT176" i="1" a="1"/>
  <c r="BT176" i="1" s="1"/>
  <c r="BT177" i="1" a="1"/>
  <c r="BT177" i="1" s="1"/>
  <c r="BT178" i="1" a="1"/>
  <c r="BT178" i="1" s="1"/>
  <c r="BT179" i="1" a="1"/>
  <c r="BT179" i="1" s="1"/>
  <c r="BT155" i="1" a="1"/>
  <c r="BT155" i="1" s="1"/>
  <c r="BT181" i="1" a="1"/>
  <c r="BT181" i="1" s="1"/>
  <c r="BT182" i="1" a="1"/>
  <c r="BT182" i="1" s="1"/>
  <c r="BT183" i="1" a="1"/>
  <c r="BT183" i="1" s="1"/>
  <c r="BT191" i="1" a="1"/>
  <c r="BT191" i="1" s="1"/>
  <c r="BT185" i="1" a="1"/>
  <c r="BT185" i="1" s="1"/>
  <c r="BT19" i="1" a="1"/>
  <c r="BT19" i="1" s="1"/>
  <c r="BT187" i="1" a="1"/>
  <c r="BT187" i="1" s="1"/>
  <c r="BT188" i="1" a="1"/>
  <c r="BT188" i="1" s="1"/>
  <c r="BT189" i="1" a="1"/>
  <c r="BT189" i="1" s="1"/>
  <c r="BT190" i="1" a="1"/>
  <c r="BT190" i="1" s="1"/>
  <c r="BT35" i="1" a="1"/>
  <c r="BT35" i="1" s="1"/>
  <c r="BT192" i="1" a="1"/>
  <c r="BT192" i="1" s="1"/>
  <c r="BT193" i="1" a="1"/>
  <c r="BT193" i="1" s="1"/>
  <c r="BT194" i="1" a="1"/>
  <c r="BT194" i="1" s="1"/>
  <c r="BT195" i="1" a="1"/>
  <c r="BT195" i="1" s="1"/>
  <c r="BT196" i="1" a="1"/>
  <c r="BT196" i="1" s="1"/>
  <c r="BT197" i="1" a="1"/>
  <c r="BT197" i="1" s="1"/>
  <c r="BT198" i="1" a="1"/>
  <c r="BT198" i="1" s="1"/>
  <c r="BT199" i="1" a="1"/>
  <c r="BT199" i="1" s="1"/>
  <c r="BT200" i="1" a="1"/>
  <c r="BT200" i="1" s="1"/>
  <c r="BT201" i="1" a="1"/>
  <c r="BT201" i="1" s="1"/>
  <c r="BT255" i="1" a="1"/>
  <c r="BT255" i="1" s="1"/>
  <c r="BT203" i="1" a="1"/>
  <c r="BT203" i="1" s="1"/>
  <c r="BT204" i="1" a="1"/>
  <c r="BT204" i="1" s="1"/>
  <c r="BT205" i="1" a="1"/>
  <c r="BT205" i="1" s="1"/>
  <c r="BT206" i="1" a="1"/>
  <c r="BT206" i="1" s="1"/>
  <c r="BT207" i="1" a="1"/>
  <c r="BT207" i="1" s="1"/>
  <c r="BT208" i="1" a="1"/>
  <c r="BT208" i="1" s="1"/>
  <c r="BT114" i="1" a="1"/>
  <c r="BT114" i="1" s="1"/>
  <c r="BT210" i="1" a="1"/>
  <c r="BT210" i="1" s="1"/>
  <c r="BT211" i="1" a="1"/>
  <c r="BT211" i="1" s="1"/>
  <c r="BT212" i="1" a="1"/>
  <c r="BT212" i="1" s="1"/>
  <c r="BT213" i="1" a="1"/>
  <c r="BT213" i="1" s="1"/>
  <c r="BT214" i="1" a="1"/>
  <c r="BT214" i="1" s="1"/>
  <c r="BT215" i="1" a="1"/>
  <c r="BT215" i="1" s="1"/>
  <c r="BT216" i="1" a="1"/>
  <c r="BT216" i="1" s="1"/>
  <c r="BT217" i="1" a="1"/>
  <c r="BT217" i="1" s="1"/>
  <c r="BT218" i="1" a="1"/>
  <c r="BT218" i="1" s="1"/>
  <c r="BT219" i="1" a="1"/>
  <c r="BT219" i="1" s="1"/>
  <c r="BT220" i="1" a="1"/>
  <c r="BT220" i="1" s="1"/>
  <c r="BT221" i="1" a="1"/>
  <c r="BT221" i="1" s="1"/>
  <c r="BT222" i="1" a="1"/>
  <c r="BT222" i="1" s="1"/>
  <c r="BT223" i="1" a="1"/>
  <c r="BT223" i="1" s="1"/>
  <c r="BT224" i="1" a="1"/>
  <c r="BT224" i="1" s="1"/>
  <c r="BT225" i="1" a="1"/>
  <c r="BT225" i="1" s="1"/>
  <c r="BT226" i="1" a="1"/>
  <c r="BT226" i="1" s="1"/>
  <c r="BT227" i="1" a="1"/>
  <c r="BT227" i="1" s="1"/>
  <c r="BT228" i="1" a="1"/>
  <c r="BT228" i="1" s="1"/>
  <c r="BT229" i="1" a="1"/>
  <c r="BT229" i="1" s="1"/>
  <c r="BT230" i="1" a="1"/>
  <c r="BT230" i="1" s="1"/>
  <c r="BT231" i="1" a="1"/>
  <c r="BT231" i="1" s="1"/>
  <c r="BT232" i="1" a="1"/>
  <c r="BT232" i="1" s="1"/>
  <c r="BT233" i="1" a="1"/>
  <c r="BT233" i="1" s="1"/>
  <c r="BT234" i="1" a="1"/>
  <c r="BT234" i="1" s="1"/>
  <c r="BT235" i="1" a="1"/>
  <c r="BT235" i="1" s="1"/>
  <c r="BT236" i="1" a="1"/>
  <c r="BT236" i="1" s="1"/>
  <c r="BT237" i="1" a="1"/>
  <c r="BT237" i="1" s="1"/>
  <c r="BT238" i="1" a="1"/>
  <c r="BT238" i="1" s="1"/>
  <c r="BT239" i="1" a="1"/>
  <c r="BT239" i="1" s="1"/>
  <c r="BT240" i="1" a="1"/>
  <c r="BT240" i="1" s="1"/>
  <c r="BT241" i="1" a="1"/>
  <c r="BT241" i="1" s="1"/>
  <c r="BT242" i="1" a="1"/>
  <c r="BT242" i="1" s="1"/>
  <c r="BT243" i="1" a="1"/>
  <c r="BT243" i="1" s="1"/>
  <c r="BT244" i="1" a="1"/>
  <c r="BT244" i="1" s="1"/>
  <c r="BT245" i="1" a="1"/>
  <c r="BT245" i="1" s="1"/>
  <c r="BT246" i="1" a="1"/>
  <c r="BT246" i="1" s="1"/>
  <c r="BT247" i="1" a="1"/>
  <c r="BT247" i="1" s="1"/>
  <c r="BT248" i="1" a="1"/>
  <c r="BT248" i="1" s="1"/>
  <c r="BT249" i="1" a="1"/>
  <c r="BT249" i="1" s="1"/>
  <c r="BT250" i="1" a="1"/>
  <c r="BT250" i="1" s="1"/>
  <c r="BT251" i="1" a="1"/>
  <c r="BT251" i="1" s="1"/>
  <c r="BT252" i="1" a="1"/>
  <c r="BT252" i="1" s="1"/>
  <c r="BT253" i="1" a="1"/>
  <c r="BT253" i="1" s="1"/>
  <c r="BT254" i="1" a="1"/>
  <c r="BT254" i="1" s="1"/>
  <c r="BT202" i="1" a="1"/>
  <c r="BT202" i="1" s="1"/>
  <c r="BT256" i="1" a="1"/>
  <c r="BT256" i="1" s="1"/>
  <c r="BT257" i="1" a="1"/>
  <c r="BT257" i="1" s="1"/>
  <c r="BT258" i="1" a="1"/>
  <c r="BT258" i="1" s="1"/>
  <c r="BT259" i="1" a="1"/>
  <c r="BT259" i="1" s="1"/>
  <c r="BT260" i="1" a="1"/>
  <c r="BT260" i="1" s="1"/>
  <c r="BT261" i="1" a="1"/>
  <c r="BT261" i="1" s="1"/>
  <c r="BT262" i="1" a="1"/>
  <c r="BT262" i="1" s="1"/>
  <c r="BT263" i="1" a="1"/>
  <c r="BT263" i="1" s="1"/>
  <c r="BT264" i="1" a="1"/>
  <c r="BT264" i="1" s="1"/>
  <c r="BT265" i="1" a="1"/>
  <c r="BT265" i="1" s="1"/>
  <c r="BT266" i="1" a="1"/>
  <c r="BT266" i="1" s="1"/>
  <c r="BT267" i="1" a="1"/>
  <c r="BT267" i="1" s="1"/>
  <c r="BT268" i="1" a="1"/>
  <c r="BT268" i="1" s="1"/>
  <c r="BT269" i="1" a="1"/>
  <c r="BT269" i="1" s="1"/>
  <c r="BT270" i="1" a="1"/>
  <c r="BT270" i="1" s="1"/>
  <c r="BT271" i="1" a="1"/>
  <c r="BT271" i="1" s="1"/>
  <c r="BT6" i="1" a="1"/>
  <c r="BT6" i="1" s="1"/>
  <c r="BT7" i="1" a="1"/>
  <c r="BT7" i="1" s="1"/>
  <c r="BT8" i="1" a="1"/>
  <c r="BT8" i="1" s="1"/>
  <c r="BT9" i="1" a="1"/>
  <c r="BT9" i="1" s="1"/>
  <c r="BT10" i="1" a="1"/>
  <c r="BT10" i="1" s="1"/>
  <c r="BT11" i="1" a="1"/>
  <c r="BT11" i="1" s="1"/>
  <c r="BT12" i="1" a="1"/>
  <c r="BT12" i="1" s="1"/>
  <c r="BT13" i="1" a="1"/>
  <c r="BT13" i="1" s="1"/>
  <c r="BT15" i="1" a="1"/>
  <c r="BT15" i="1" s="1"/>
  <c r="BT16" i="1" a="1"/>
  <c r="BT16" i="1" s="1"/>
  <c r="BT17" i="1" a="1"/>
  <c r="BT17" i="1" s="1"/>
  <c r="BT18" i="1" a="1"/>
  <c r="BT18" i="1" s="1"/>
  <c r="BT90" i="1" a="1"/>
  <c r="BT90" i="1" s="1"/>
  <c r="BT20" i="1" a="1"/>
  <c r="BT20" i="1" s="1"/>
  <c r="BT21" i="1" a="1"/>
  <c r="BT21" i="1" s="1"/>
  <c r="BT22" i="1" a="1"/>
  <c r="BT22" i="1" s="1"/>
  <c r="BT23" i="1" a="1"/>
  <c r="BT23" i="1" s="1"/>
  <c r="BT24" i="1" a="1"/>
  <c r="BT24" i="1" s="1"/>
  <c r="BT25" i="1" a="1"/>
  <c r="BT25" i="1" s="1"/>
  <c r="BT26" i="1" a="1"/>
  <c r="BT26" i="1" s="1"/>
  <c r="BT27" i="1" a="1"/>
  <c r="BT27" i="1" s="1"/>
  <c r="BT28" i="1" a="1"/>
  <c r="BT28" i="1" s="1"/>
  <c r="BT29" i="1" a="1"/>
  <c r="BT29" i="1" s="1"/>
  <c r="BT30" i="1" a="1"/>
  <c r="BT30" i="1" s="1"/>
  <c r="BT31" i="1" a="1"/>
  <c r="BT31" i="1" s="1"/>
  <c r="BT32" i="1" a="1"/>
  <c r="BT32" i="1" s="1"/>
  <c r="BT33" i="1" a="1"/>
  <c r="BT33" i="1" s="1"/>
  <c r="BT34" i="1" a="1"/>
  <c r="BT34" i="1" s="1"/>
  <c r="BT209" i="1" a="1"/>
  <c r="BT209" i="1" s="1"/>
  <c r="BT36" i="1" a="1"/>
  <c r="BT36" i="1" s="1"/>
  <c r="BT37" i="1" a="1"/>
  <c r="BT37" i="1" s="1"/>
  <c r="BT38" i="1" a="1"/>
  <c r="BT38" i="1" s="1"/>
  <c r="BT39" i="1" a="1"/>
  <c r="BT39" i="1" s="1"/>
  <c r="BT40" i="1" a="1"/>
  <c r="BT40" i="1" s="1"/>
  <c r="BT41" i="1" a="1"/>
  <c r="BT41" i="1" s="1"/>
  <c r="BT42" i="1" a="1"/>
  <c r="BT42" i="1" s="1"/>
  <c r="BT43" i="1" a="1"/>
  <c r="BT43" i="1" s="1"/>
  <c r="BT44" i="1" a="1"/>
  <c r="BT44" i="1" s="1"/>
  <c r="BT45" i="1" a="1"/>
  <c r="BT45" i="1" s="1"/>
  <c r="BT46" i="1" a="1"/>
  <c r="BT46" i="1" s="1"/>
  <c r="BT47" i="1" a="1"/>
  <c r="BT47" i="1" s="1"/>
  <c r="BT48" i="1" a="1"/>
  <c r="BT48" i="1" s="1"/>
  <c r="BT49" i="1" a="1"/>
  <c r="BT49" i="1" s="1"/>
  <c r="BT50" i="1" a="1"/>
  <c r="BT50" i="1" s="1"/>
  <c r="BT51" i="1" a="1"/>
  <c r="BT51" i="1" s="1"/>
  <c r="BT52" i="1" a="1"/>
  <c r="BT52" i="1" s="1"/>
  <c r="BT53" i="1" a="1"/>
  <c r="BT53" i="1" s="1"/>
  <c r="BT54" i="1" a="1"/>
  <c r="BT54" i="1" s="1"/>
  <c r="BT55" i="1" a="1"/>
  <c r="BT55" i="1" s="1"/>
  <c r="BT56" i="1" a="1"/>
  <c r="BT56" i="1" s="1"/>
  <c r="BT57" i="1" a="1"/>
  <c r="BT57" i="1" s="1"/>
  <c r="BT58" i="1" a="1"/>
  <c r="BT58" i="1" s="1"/>
  <c r="BT59" i="1" a="1"/>
  <c r="BT59" i="1" s="1"/>
  <c r="BT60" i="1" a="1"/>
  <c r="BT60" i="1" s="1"/>
  <c r="BT61" i="1" a="1"/>
  <c r="BT61" i="1" s="1"/>
  <c r="BT62" i="1" a="1"/>
  <c r="BT62" i="1" s="1"/>
  <c r="BT63" i="1" a="1"/>
  <c r="BT63" i="1" s="1"/>
  <c r="BT64" i="1" a="1"/>
  <c r="BT64" i="1" s="1"/>
  <c r="BT127" i="1" a="1"/>
  <c r="BT127" i="1" s="1"/>
  <c r="BT66" i="1" a="1"/>
  <c r="BT66" i="1" s="1"/>
  <c r="BT121" i="1" a="1"/>
  <c r="BT121" i="1" s="1"/>
  <c r="BT68" i="1" a="1"/>
  <c r="BT68" i="1" s="1"/>
  <c r="BT69" i="1" a="1"/>
  <c r="BT69" i="1" s="1"/>
  <c r="BT184" i="1" a="1"/>
  <c r="BT184" i="1" s="1"/>
  <c r="BT71" i="1" a="1"/>
  <c r="BT71" i="1" s="1"/>
  <c r="BT72" i="1" a="1"/>
  <c r="BT72" i="1" s="1"/>
  <c r="DO6" i="1" a="1"/>
  <c r="DO6" i="1" s="1"/>
  <c r="CN6" i="1" l="1"/>
  <c r="CR6" i="1" l="1"/>
  <c r="CO6" i="1"/>
  <c r="CS6" i="1"/>
  <c r="CP6" i="1"/>
  <c r="CT6" i="1"/>
  <c r="DX180" i="1"/>
  <c r="CU6" i="1" l="1" a="1"/>
  <c r="CU6" i="1" s="1"/>
  <c r="CV6" i="1" a="1"/>
  <c r="CV6" i="1" s="1"/>
  <c r="DX90" i="1"/>
  <c r="CW6" i="1" l="1"/>
  <c r="CX6" i="1" l="1"/>
  <c r="DK6" i="1"/>
  <c r="DD6" i="1"/>
  <c r="DE6" i="1"/>
  <c r="DG6" i="1"/>
  <c r="DF6" i="1"/>
  <c r="DB6" i="1"/>
  <c r="DC6" i="1"/>
  <c r="DI6" i="1"/>
  <c r="DA6" i="1"/>
  <c r="CZ6" i="1"/>
  <c r="DH6" i="1"/>
  <c r="DJ6" i="1"/>
  <c r="CY6" i="1"/>
  <c r="DN6" i="1" l="1" a="1"/>
  <c r="DN6" i="1" s="1"/>
  <c r="DM6" i="1" a="1"/>
  <c r="DM6" i="1" s="1"/>
  <c r="DW6" i="1" l="1"/>
  <c r="DQ6" i="1"/>
  <c r="DR6" i="1"/>
  <c r="DP6" i="1" l="1"/>
  <c r="DO7" i="1" a="1"/>
  <c r="DO7" i="1" s="1"/>
  <c r="DO8" i="1" a="1"/>
  <c r="DO8" i="1" s="1"/>
  <c r="DO9" i="1" a="1"/>
  <c r="DO9" i="1" s="1"/>
  <c r="DO10" i="1" a="1"/>
  <c r="DO10" i="1" s="1"/>
  <c r="DO11" i="1" a="1"/>
  <c r="DO11" i="1" s="1"/>
  <c r="DO12" i="1" a="1"/>
  <c r="DO12" i="1" s="1"/>
  <c r="DO13" i="1" a="1"/>
  <c r="DO13" i="1" s="1"/>
  <c r="DO186" i="1" a="1"/>
  <c r="DO186" i="1" s="1"/>
  <c r="DO15" i="1" a="1"/>
  <c r="DO15" i="1" s="1"/>
  <c r="DO16" i="1" a="1"/>
  <c r="DO16" i="1" s="1"/>
  <c r="DO17" i="1" a="1"/>
  <c r="DO17" i="1" s="1"/>
  <c r="DO18" i="1" a="1"/>
  <c r="DO18" i="1" s="1"/>
  <c r="DO90" i="1" a="1"/>
  <c r="DO90" i="1" s="1"/>
  <c r="DO20" i="1" a="1"/>
  <c r="DO20" i="1" s="1"/>
  <c r="DO21" i="1" a="1"/>
  <c r="DO21" i="1" s="1"/>
  <c r="DO22" i="1" a="1"/>
  <c r="DO22" i="1" s="1"/>
  <c r="DO23" i="1" a="1"/>
  <c r="DO23" i="1" s="1"/>
  <c r="DO24" i="1" a="1"/>
  <c r="DO24" i="1" s="1"/>
  <c r="DO25" i="1" a="1"/>
  <c r="DO25" i="1" s="1"/>
  <c r="DO26" i="1" a="1"/>
  <c r="DO26" i="1" s="1"/>
  <c r="DO27" i="1" a="1"/>
  <c r="DO27" i="1" s="1"/>
  <c r="DO28" i="1" a="1"/>
  <c r="DO28" i="1" s="1"/>
  <c r="DO29" i="1" a="1"/>
  <c r="DO29" i="1" s="1"/>
  <c r="DO30" i="1" a="1"/>
  <c r="DO30" i="1" s="1"/>
  <c r="DO31" i="1" a="1"/>
  <c r="DO31" i="1" s="1"/>
  <c r="DO32" i="1" a="1"/>
  <c r="DO32" i="1" s="1"/>
  <c r="DO33" i="1" a="1"/>
  <c r="DO33" i="1" s="1"/>
  <c r="DO34" i="1" a="1"/>
  <c r="DO34" i="1" s="1"/>
  <c r="DO209" i="1" a="1"/>
  <c r="DO209" i="1" s="1"/>
  <c r="DO36" i="1" a="1"/>
  <c r="DO36" i="1" s="1"/>
  <c r="DO37" i="1" a="1"/>
  <c r="DO37" i="1" s="1"/>
  <c r="DO38" i="1" a="1"/>
  <c r="DO38" i="1" s="1"/>
  <c r="DO39" i="1" a="1"/>
  <c r="DO39" i="1" s="1"/>
  <c r="DO40" i="1" a="1"/>
  <c r="DO40" i="1" s="1"/>
  <c r="DO41" i="1" a="1"/>
  <c r="DO41" i="1" s="1"/>
  <c r="DO42" i="1" a="1"/>
  <c r="DO42" i="1" s="1"/>
  <c r="DO43" i="1" a="1"/>
  <c r="DO43" i="1" s="1"/>
  <c r="DO44" i="1" a="1"/>
  <c r="DO44" i="1" s="1"/>
  <c r="DO45" i="1" a="1"/>
  <c r="DO45" i="1" s="1"/>
  <c r="DO46" i="1" a="1"/>
  <c r="DO46" i="1" s="1"/>
  <c r="DO47" i="1" a="1"/>
  <c r="DO47" i="1" s="1"/>
  <c r="DO48" i="1" a="1"/>
  <c r="DO48" i="1" s="1"/>
  <c r="DO49" i="1" a="1"/>
  <c r="DO49" i="1" s="1"/>
  <c r="DO50" i="1" a="1"/>
  <c r="DO50" i="1" s="1"/>
  <c r="DO51" i="1" a="1"/>
  <c r="DO51" i="1" s="1"/>
  <c r="DO52" i="1" a="1"/>
  <c r="DO52" i="1" s="1"/>
  <c r="DO53" i="1" a="1"/>
  <c r="DO53" i="1" s="1"/>
  <c r="DO54" i="1" a="1"/>
  <c r="DO54" i="1" s="1"/>
  <c r="DO55" i="1" a="1"/>
  <c r="DO55" i="1" s="1"/>
  <c r="DO56" i="1" a="1"/>
  <c r="DO56" i="1" s="1"/>
  <c r="DO57" i="1" a="1"/>
  <c r="DO57" i="1" s="1"/>
  <c r="DO58" i="1" a="1"/>
  <c r="DO58" i="1" s="1"/>
  <c r="DO59" i="1" a="1"/>
  <c r="DO59" i="1" s="1"/>
  <c r="DO60" i="1" a="1"/>
  <c r="DO60" i="1" s="1"/>
  <c r="DO61" i="1" a="1"/>
  <c r="DO61" i="1" s="1"/>
  <c r="DO62" i="1" a="1"/>
  <c r="DO62" i="1" s="1"/>
  <c r="DO63" i="1" a="1"/>
  <c r="DO63" i="1" s="1"/>
  <c r="DO64" i="1" a="1"/>
  <c r="DO64" i="1" s="1"/>
  <c r="DO127" i="1" a="1"/>
  <c r="DO127" i="1" s="1"/>
  <c r="DO66" i="1" a="1"/>
  <c r="DO66" i="1" s="1"/>
  <c r="DO121" i="1" a="1"/>
  <c r="DO121" i="1" s="1"/>
  <c r="DO68" i="1" a="1"/>
  <c r="DO68" i="1" s="1"/>
  <c r="DO69" i="1" a="1"/>
  <c r="DO69" i="1" s="1"/>
  <c r="DO184" i="1" a="1"/>
  <c r="DO184" i="1" s="1"/>
  <c r="DO71" i="1" a="1"/>
  <c r="DO71" i="1" s="1"/>
  <c r="DO72" i="1" a="1"/>
  <c r="DO72" i="1" s="1"/>
  <c r="DO73" i="1" a="1"/>
  <c r="DO73" i="1" s="1"/>
  <c r="DO74" i="1" a="1"/>
  <c r="DO74" i="1" s="1"/>
  <c r="DO75" i="1" a="1"/>
  <c r="DO75" i="1" s="1"/>
  <c r="DO76" i="1" a="1"/>
  <c r="DO76" i="1" s="1"/>
  <c r="DO77" i="1" a="1"/>
  <c r="DO77" i="1" s="1"/>
  <c r="DO78" i="1" a="1"/>
  <c r="DO78" i="1" s="1"/>
  <c r="DO79" i="1" a="1"/>
  <c r="DO79" i="1" s="1"/>
  <c r="DO80" i="1" a="1"/>
  <c r="DO80" i="1" s="1"/>
  <c r="DO81" i="1" a="1"/>
  <c r="DO81" i="1" s="1"/>
  <c r="DO82" i="1" a="1"/>
  <c r="DO82" i="1" s="1"/>
  <c r="DO83" i="1" a="1"/>
  <c r="DO83" i="1" s="1"/>
  <c r="DO84" i="1" a="1"/>
  <c r="DO84" i="1" s="1"/>
  <c r="DO85" i="1" a="1"/>
  <c r="DO85" i="1" s="1"/>
  <c r="DO86" i="1" a="1"/>
  <c r="DO86" i="1" s="1"/>
  <c r="DO87" i="1" a="1"/>
  <c r="DO87" i="1" s="1"/>
  <c r="DO88" i="1" a="1"/>
  <c r="DO88" i="1" s="1"/>
  <c r="DO124" i="1" a="1"/>
  <c r="DO124" i="1" s="1"/>
  <c r="DO163" i="1" a="1"/>
  <c r="DO163" i="1" s="1"/>
  <c r="DO91" i="1" a="1"/>
  <c r="DO91" i="1" s="1"/>
  <c r="DO93" i="1" a="1"/>
  <c r="DO93" i="1" s="1"/>
  <c r="DO94" i="1" a="1"/>
  <c r="DO94" i="1" s="1"/>
  <c r="DO95" i="1" a="1"/>
  <c r="DO95" i="1" s="1"/>
  <c r="DO96" i="1" a="1"/>
  <c r="DO96" i="1" s="1"/>
  <c r="DO97" i="1" a="1"/>
  <c r="DO97" i="1" s="1"/>
  <c r="DO98" i="1" a="1"/>
  <c r="DO98" i="1" s="1"/>
  <c r="DO99" i="1" a="1"/>
  <c r="DO99" i="1" s="1"/>
  <c r="DO100" i="1" a="1"/>
  <c r="DO100" i="1" s="1"/>
  <c r="DO101" i="1" a="1"/>
  <c r="DO101" i="1" s="1"/>
  <c r="DO102" i="1" a="1"/>
  <c r="DO102" i="1" s="1"/>
  <c r="DO103" i="1" a="1"/>
  <c r="DO103" i="1" s="1"/>
  <c r="DO104" i="1" a="1"/>
  <c r="DO104" i="1" s="1"/>
  <c r="DO105" i="1" a="1"/>
  <c r="DO105" i="1" s="1"/>
  <c r="DO106" i="1" a="1"/>
  <c r="DO106" i="1" s="1"/>
  <c r="DO107" i="1" a="1"/>
  <c r="DO107" i="1" s="1"/>
  <c r="DO108" i="1" a="1"/>
  <c r="DO108" i="1" s="1"/>
  <c r="DO109" i="1" a="1"/>
  <c r="DO109" i="1" s="1"/>
  <c r="DO110" i="1" a="1"/>
  <c r="DO110" i="1" s="1"/>
  <c r="DO111" i="1" a="1"/>
  <c r="DO111" i="1" s="1"/>
  <c r="DO112" i="1" a="1"/>
  <c r="DO112" i="1" s="1"/>
  <c r="DO113" i="1" a="1"/>
  <c r="DO113" i="1" s="1"/>
  <c r="DO89" i="1" a="1"/>
  <c r="DO89" i="1" s="1"/>
  <c r="DO115" i="1" a="1"/>
  <c r="DO115" i="1" s="1"/>
  <c r="DO116" i="1" a="1"/>
  <c r="DO116" i="1" s="1"/>
  <c r="DO117" i="1" a="1"/>
  <c r="DO117" i="1" s="1"/>
  <c r="DO118" i="1" a="1"/>
  <c r="DO118" i="1" s="1"/>
  <c r="DO119" i="1" a="1"/>
  <c r="DO119" i="1" s="1"/>
  <c r="DO67" i="1" a="1"/>
  <c r="DO67" i="1" s="1"/>
  <c r="DO70" i="1" a="1"/>
  <c r="DO70" i="1" s="1"/>
  <c r="DO122" i="1" a="1"/>
  <c r="DO122" i="1" s="1"/>
  <c r="DO123" i="1" a="1"/>
  <c r="DO123" i="1" s="1"/>
  <c r="DO153" i="1" a="1"/>
  <c r="DO153" i="1" s="1"/>
  <c r="DO125" i="1" a="1"/>
  <c r="DO125" i="1" s="1"/>
  <c r="DO126" i="1" a="1"/>
  <c r="DO126" i="1" s="1"/>
  <c r="DO14" i="1" a="1"/>
  <c r="DO14" i="1" s="1"/>
  <c r="DO128" i="1" a="1"/>
  <c r="DO128" i="1" s="1"/>
  <c r="DO129" i="1" a="1"/>
  <c r="DO129" i="1" s="1"/>
  <c r="DO130" i="1" a="1"/>
  <c r="DO130" i="1" s="1"/>
  <c r="DO131" i="1" a="1"/>
  <c r="DO131" i="1" s="1"/>
  <c r="DO132" i="1" a="1"/>
  <c r="DO132" i="1" s="1"/>
  <c r="DO133" i="1" a="1"/>
  <c r="DO133" i="1" s="1"/>
  <c r="DO134" i="1" a="1"/>
  <c r="DO134" i="1" s="1"/>
  <c r="DO135" i="1" a="1"/>
  <c r="DO135" i="1" s="1"/>
  <c r="DO136" i="1" a="1"/>
  <c r="DO136" i="1" s="1"/>
  <c r="DO137" i="1" a="1"/>
  <c r="DO137" i="1" s="1"/>
  <c r="DO138" i="1" a="1"/>
  <c r="DO138" i="1" s="1"/>
  <c r="DO139" i="1" a="1"/>
  <c r="DO139" i="1" s="1"/>
  <c r="DO140" i="1" a="1"/>
  <c r="DO140" i="1" s="1"/>
  <c r="DO141" i="1" a="1"/>
  <c r="DO141" i="1" s="1"/>
  <c r="DO142" i="1" a="1"/>
  <c r="DO142" i="1" s="1"/>
  <c r="DO143" i="1" a="1"/>
  <c r="DO143" i="1" s="1"/>
  <c r="DO144" i="1" a="1"/>
  <c r="DO144" i="1" s="1"/>
  <c r="DO145" i="1" a="1"/>
  <c r="DO145" i="1" s="1"/>
  <c r="DO146" i="1" a="1"/>
  <c r="DO146" i="1" s="1"/>
  <c r="DO147" i="1" a="1"/>
  <c r="DO147" i="1" s="1"/>
  <c r="DO148" i="1" a="1"/>
  <c r="DO148" i="1" s="1"/>
  <c r="DO149" i="1" a="1"/>
  <c r="DO149" i="1" s="1"/>
  <c r="DO150" i="1" a="1"/>
  <c r="DO150" i="1" s="1"/>
  <c r="DO151" i="1" a="1"/>
  <c r="DO151" i="1" s="1"/>
  <c r="DO152" i="1" a="1"/>
  <c r="DO152" i="1" s="1"/>
  <c r="DO120" i="1" a="1"/>
  <c r="DO120" i="1" s="1"/>
  <c r="DO154" i="1" a="1"/>
  <c r="DO154" i="1" s="1"/>
  <c r="DO92" i="1" a="1"/>
  <c r="DO92" i="1" s="1"/>
  <c r="DO156" i="1" a="1"/>
  <c r="DO156" i="1" s="1"/>
  <c r="DO157" i="1" a="1"/>
  <c r="DO157" i="1" s="1"/>
  <c r="DO158" i="1" a="1"/>
  <c r="DO158" i="1" s="1"/>
  <c r="DO159" i="1" a="1"/>
  <c r="DO159" i="1" s="1"/>
  <c r="DO160" i="1" a="1"/>
  <c r="DO160" i="1" s="1"/>
  <c r="DO161" i="1" a="1"/>
  <c r="DO161" i="1" s="1"/>
  <c r="DO162" i="1" a="1"/>
  <c r="DO162" i="1" s="1"/>
  <c r="DO65" i="1" a="1"/>
  <c r="DO65" i="1" s="1"/>
  <c r="DO164" i="1" a="1"/>
  <c r="DO164" i="1" s="1"/>
  <c r="DO165" i="1" a="1"/>
  <c r="DO165" i="1" s="1"/>
  <c r="DO166" i="1" a="1"/>
  <c r="DO166" i="1" s="1"/>
  <c r="DO167" i="1" a="1"/>
  <c r="DO167" i="1" s="1"/>
  <c r="DO168" i="1" a="1"/>
  <c r="DO168" i="1" s="1"/>
  <c r="DO169" i="1" a="1"/>
  <c r="DO169" i="1" s="1"/>
  <c r="DO170" i="1" a="1"/>
  <c r="DO170" i="1" s="1"/>
  <c r="DO171" i="1" a="1"/>
  <c r="DO171" i="1" s="1"/>
  <c r="DO172" i="1" a="1"/>
  <c r="DO172" i="1" s="1"/>
  <c r="DO173" i="1" a="1"/>
  <c r="DO173" i="1" s="1"/>
  <c r="DO174" i="1" a="1"/>
  <c r="DO174" i="1" s="1"/>
  <c r="DO175" i="1" a="1"/>
  <c r="DO175" i="1" s="1"/>
  <c r="DO176" i="1" a="1"/>
  <c r="DO176" i="1" s="1"/>
  <c r="DO177" i="1" a="1"/>
  <c r="DO177" i="1" s="1"/>
  <c r="DO178" i="1" a="1"/>
  <c r="DO178" i="1" s="1"/>
  <c r="DO179" i="1" a="1"/>
  <c r="DO179" i="1" s="1"/>
  <c r="DO155" i="1" a="1"/>
  <c r="DO155" i="1" s="1"/>
  <c r="DO181" i="1" a="1"/>
  <c r="DO181" i="1" s="1"/>
  <c r="DO182" i="1" a="1"/>
  <c r="DO182" i="1" s="1"/>
  <c r="DO183" i="1" a="1"/>
  <c r="DO183" i="1" s="1"/>
  <c r="DO191" i="1" a="1"/>
  <c r="DO191" i="1" s="1"/>
  <c r="DO185" i="1" a="1"/>
  <c r="DO185" i="1" s="1"/>
  <c r="DO19" i="1" a="1"/>
  <c r="DO19" i="1" s="1"/>
  <c r="DO187" i="1" a="1"/>
  <c r="DO187" i="1" s="1"/>
  <c r="DO188" i="1" a="1"/>
  <c r="DO188" i="1" s="1"/>
  <c r="DO189" i="1" a="1"/>
  <c r="DO189" i="1" s="1"/>
  <c r="DO190" i="1" a="1"/>
  <c r="DO190" i="1" s="1"/>
  <c r="DO35" i="1" a="1"/>
  <c r="DO35" i="1" s="1"/>
  <c r="DO192" i="1" a="1"/>
  <c r="DO192" i="1" s="1"/>
  <c r="DO193" i="1" a="1"/>
  <c r="DO193" i="1" s="1"/>
  <c r="DO194" i="1" a="1"/>
  <c r="DO194" i="1" s="1"/>
  <c r="DO195" i="1" a="1"/>
  <c r="DO195" i="1" s="1"/>
  <c r="DO196" i="1" a="1"/>
  <c r="DO196" i="1" s="1"/>
  <c r="DO197" i="1" a="1"/>
  <c r="DO197" i="1" s="1"/>
  <c r="DO198" i="1" a="1"/>
  <c r="DO198" i="1" s="1"/>
  <c r="DO199" i="1" a="1"/>
  <c r="DO199" i="1" s="1"/>
  <c r="DO200" i="1" a="1"/>
  <c r="DO200" i="1" s="1"/>
  <c r="DO201" i="1" a="1"/>
  <c r="DO201" i="1" s="1"/>
  <c r="DO255" i="1" a="1"/>
  <c r="DO255" i="1" s="1"/>
  <c r="DO203" i="1" a="1"/>
  <c r="DO203" i="1" s="1"/>
  <c r="DO204" i="1" a="1"/>
  <c r="DO204" i="1" s="1"/>
  <c r="DO205" i="1" a="1"/>
  <c r="DO205" i="1" s="1"/>
  <c r="DO206" i="1" a="1"/>
  <c r="DO206" i="1" s="1"/>
  <c r="DO207" i="1" a="1"/>
  <c r="DO207" i="1" s="1"/>
  <c r="DO208" i="1" a="1"/>
  <c r="DO208" i="1" s="1"/>
  <c r="DO114" i="1" a="1"/>
  <c r="DO114" i="1" s="1"/>
  <c r="DO210" i="1" a="1"/>
  <c r="DO210" i="1" s="1"/>
  <c r="DO211" i="1" a="1"/>
  <c r="DO211" i="1" s="1"/>
  <c r="DO212" i="1" a="1"/>
  <c r="DO212" i="1" s="1"/>
  <c r="DO213" i="1" a="1"/>
  <c r="DO213" i="1" s="1"/>
  <c r="DO214" i="1" a="1"/>
  <c r="DO214" i="1" s="1"/>
  <c r="DO215" i="1" a="1"/>
  <c r="DO215" i="1" s="1"/>
  <c r="DO216" i="1" a="1"/>
  <c r="DO216" i="1" s="1"/>
  <c r="DO217" i="1" a="1"/>
  <c r="DO217" i="1" s="1"/>
  <c r="DO218" i="1" a="1"/>
  <c r="DO218" i="1" s="1"/>
  <c r="DO219" i="1" a="1"/>
  <c r="DO219" i="1" s="1"/>
  <c r="DO220" i="1" a="1"/>
  <c r="DO220" i="1" s="1"/>
  <c r="DO221" i="1" a="1"/>
  <c r="DO221" i="1" s="1"/>
  <c r="DO222" i="1" a="1"/>
  <c r="DO222" i="1" s="1"/>
  <c r="DO223" i="1" a="1"/>
  <c r="DO223" i="1" s="1"/>
  <c r="DO224" i="1" a="1"/>
  <c r="DO224" i="1" s="1"/>
  <c r="DO225" i="1" a="1"/>
  <c r="DO225" i="1" s="1"/>
  <c r="DO226" i="1" a="1"/>
  <c r="DO226" i="1" s="1"/>
  <c r="DO227" i="1" a="1"/>
  <c r="DO227" i="1" s="1"/>
  <c r="DO228" i="1" a="1"/>
  <c r="DO228" i="1" s="1"/>
  <c r="DO229" i="1" a="1"/>
  <c r="DO229" i="1" s="1"/>
  <c r="DO230" i="1" a="1"/>
  <c r="DO230" i="1" s="1"/>
  <c r="DO231" i="1" a="1"/>
  <c r="DO231" i="1" s="1"/>
  <c r="DO232" i="1" a="1"/>
  <c r="DO232" i="1" s="1"/>
  <c r="DO233" i="1" a="1"/>
  <c r="DO233" i="1" s="1"/>
  <c r="DO234" i="1" a="1"/>
  <c r="DO234" i="1" s="1"/>
  <c r="DO235" i="1" a="1"/>
  <c r="DO235" i="1" s="1"/>
  <c r="DO236" i="1" a="1"/>
  <c r="DO236" i="1" s="1"/>
  <c r="DO237" i="1" a="1"/>
  <c r="DO237" i="1" s="1"/>
  <c r="DO238" i="1" a="1"/>
  <c r="DO238" i="1" s="1"/>
  <c r="DO239" i="1" a="1"/>
  <c r="DO239" i="1" s="1"/>
  <c r="DO240" i="1" a="1"/>
  <c r="DO240" i="1" s="1"/>
  <c r="DO241" i="1" a="1"/>
  <c r="DO241" i="1" s="1"/>
  <c r="DO242" i="1" a="1"/>
  <c r="DO242" i="1" s="1"/>
  <c r="DO243" i="1" a="1"/>
  <c r="DO243" i="1" s="1"/>
  <c r="DO244" i="1" a="1"/>
  <c r="DO244" i="1" s="1"/>
  <c r="DO245" i="1" a="1"/>
  <c r="DO245" i="1" s="1"/>
  <c r="DO246" i="1" a="1"/>
  <c r="DO246" i="1" s="1"/>
  <c r="DO247" i="1" a="1"/>
  <c r="DO247" i="1" s="1"/>
  <c r="DO248" i="1" a="1"/>
  <c r="DO248" i="1" s="1"/>
  <c r="DO249" i="1" a="1"/>
  <c r="DO249" i="1" s="1"/>
  <c r="DO250" i="1" a="1"/>
  <c r="DO250" i="1" s="1"/>
  <c r="DO251" i="1" a="1"/>
  <c r="DO251" i="1" s="1"/>
  <c r="DO252" i="1" a="1"/>
  <c r="DO252" i="1" s="1"/>
  <c r="DO253" i="1" a="1"/>
  <c r="DO253" i="1" s="1"/>
  <c r="DO254" i="1" a="1"/>
  <c r="DO254" i="1" s="1"/>
  <c r="DO202" i="1" a="1"/>
  <c r="DO202" i="1" s="1"/>
  <c r="DO256" i="1" a="1"/>
  <c r="DO256" i="1" s="1"/>
  <c r="DO257" i="1" a="1"/>
  <c r="DO257" i="1" s="1"/>
  <c r="DO258" i="1" a="1"/>
  <c r="DO258" i="1" s="1"/>
  <c r="DO259" i="1" a="1"/>
  <c r="DO259" i="1" s="1"/>
  <c r="DO260" i="1" a="1"/>
  <c r="DO260" i="1" s="1"/>
  <c r="DO261" i="1" a="1"/>
  <c r="DO261" i="1" s="1"/>
  <c r="DO262" i="1" a="1"/>
  <c r="DO262" i="1" s="1"/>
  <c r="DO263" i="1" a="1"/>
  <c r="DO263" i="1" s="1"/>
  <c r="DO264" i="1" a="1"/>
  <c r="DO264" i="1" s="1"/>
  <c r="DO265" i="1" a="1"/>
  <c r="DO265" i="1" s="1"/>
  <c r="DO266" i="1" a="1"/>
  <c r="DO266" i="1" s="1"/>
  <c r="DO267" i="1" a="1"/>
  <c r="DO267" i="1" s="1"/>
  <c r="DO268" i="1" a="1"/>
  <c r="DO268" i="1" s="1"/>
  <c r="DO269" i="1" a="1"/>
  <c r="DO269" i="1" s="1"/>
  <c r="DO270" i="1" a="1"/>
  <c r="DO270" i="1" s="1"/>
  <c r="DO271" i="1" a="1"/>
  <c r="DO271" i="1" s="1"/>
  <c r="BP23" i="1" l="1" a="1"/>
  <c r="BP23" i="1" s="1"/>
  <c r="CC23" i="1" s="1"/>
  <c r="BP24" i="1" a="1"/>
  <c r="BP24" i="1" s="1"/>
  <c r="CC24" i="1" s="1"/>
  <c r="BP25" i="1" a="1"/>
  <c r="BP25" i="1" s="1"/>
  <c r="CC25" i="1" s="1"/>
  <c r="BP26" i="1" a="1"/>
  <c r="BP26" i="1" s="1"/>
  <c r="CC26" i="1" s="1"/>
  <c r="BP27" i="1" a="1"/>
  <c r="BP27" i="1" s="1"/>
  <c r="CC27" i="1" s="1"/>
  <c r="BP28" i="1" a="1"/>
  <c r="BP28" i="1" s="1"/>
  <c r="CC28" i="1" s="1"/>
  <c r="BP29" i="1" a="1"/>
  <c r="BP29" i="1" s="1"/>
  <c r="CC29" i="1" s="1"/>
  <c r="BP30" i="1" a="1"/>
  <c r="BP30" i="1" s="1"/>
  <c r="CC30" i="1" s="1"/>
  <c r="BP31" i="1" a="1"/>
  <c r="BP31" i="1" s="1"/>
  <c r="CC31" i="1" s="1"/>
  <c r="BP32" i="1" a="1"/>
  <c r="BP32" i="1" s="1"/>
  <c r="CC32" i="1" s="1"/>
  <c r="BP33" i="1" a="1"/>
  <c r="BP33" i="1" s="1"/>
  <c r="CC33" i="1" s="1"/>
  <c r="BP34" i="1" a="1"/>
  <c r="BP34" i="1" s="1"/>
  <c r="CC34" i="1" s="1"/>
  <c r="BP36" i="1" a="1"/>
  <c r="BP36" i="1" s="1"/>
  <c r="CC36" i="1" s="1"/>
  <c r="BP37" i="1" a="1"/>
  <c r="BP37" i="1" s="1"/>
  <c r="CC37" i="1" s="1"/>
  <c r="BP38" i="1" a="1"/>
  <c r="BP38" i="1" s="1"/>
  <c r="CC38" i="1" s="1"/>
  <c r="BP39" i="1" a="1"/>
  <c r="BP39" i="1" s="1"/>
  <c r="CC39" i="1" s="1"/>
  <c r="BP40" i="1" a="1"/>
  <c r="BP40" i="1" s="1"/>
  <c r="CC40" i="1" s="1"/>
  <c r="BP41" i="1" a="1"/>
  <c r="BP41" i="1" s="1"/>
  <c r="CC41" i="1" s="1"/>
  <c r="BP42" i="1" a="1"/>
  <c r="BP42" i="1" s="1"/>
  <c r="CC42" i="1" s="1"/>
  <c r="BP43" i="1" a="1"/>
  <c r="BP43" i="1" s="1"/>
  <c r="CC43" i="1" s="1"/>
  <c r="BP44" i="1" a="1"/>
  <c r="BP44" i="1" s="1"/>
  <c r="CC44" i="1" s="1"/>
  <c r="BP45" i="1" a="1"/>
  <c r="BP45" i="1" s="1"/>
  <c r="CC45" i="1" s="1"/>
  <c r="BP46" i="1" a="1"/>
  <c r="BP46" i="1" s="1"/>
  <c r="CC46" i="1" s="1"/>
  <c r="BP47" i="1" a="1"/>
  <c r="BP47" i="1" s="1"/>
  <c r="CC47" i="1" s="1"/>
  <c r="BP48" i="1" a="1"/>
  <c r="BP48" i="1" s="1"/>
  <c r="CC48" i="1" s="1"/>
  <c r="BP49" i="1" a="1"/>
  <c r="BP49" i="1" s="1"/>
  <c r="CC49" i="1" s="1"/>
  <c r="BP50" i="1" a="1"/>
  <c r="BP50" i="1" s="1"/>
  <c r="CC50" i="1" s="1"/>
  <c r="BP51" i="1" a="1"/>
  <c r="BP51" i="1" s="1"/>
  <c r="CC51" i="1" s="1"/>
  <c r="BP52" i="1" a="1"/>
  <c r="BP52" i="1" s="1"/>
  <c r="CC52" i="1" s="1"/>
  <c r="BP53" i="1" a="1"/>
  <c r="BP53" i="1" s="1"/>
  <c r="CC53" i="1" s="1"/>
  <c r="BP54" i="1" a="1"/>
  <c r="BP54" i="1" s="1"/>
  <c r="CC54" i="1" s="1"/>
  <c r="BP56" i="1" a="1"/>
  <c r="BP56" i="1" s="1"/>
  <c r="CC56" i="1" s="1"/>
  <c r="BP57" i="1" a="1"/>
  <c r="BP57" i="1" s="1"/>
  <c r="CC57" i="1" s="1"/>
  <c r="BP58" i="1" a="1"/>
  <c r="BP58" i="1" s="1"/>
  <c r="CC58" i="1" s="1"/>
  <c r="BP59" i="1" a="1"/>
  <c r="BP59" i="1" s="1"/>
  <c r="CC59" i="1" s="1"/>
  <c r="BP60" i="1" a="1"/>
  <c r="BP60" i="1" s="1"/>
  <c r="CC60" i="1" s="1"/>
  <c r="BP61" i="1" a="1"/>
  <c r="BP61" i="1" s="1"/>
  <c r="CC61" i="1" s="1"/>
  <c r="BP62" i="1" a="1"/>
  <c r="BP62" i="1" s="1"/>
  <c r="CC62" i="1" s="1"/>
  <c r="BP63" i="1" a="1"/>
  <c r="BP63" i="1" s="1"/>
  <c r="CC63" i="1" s="1"/>
  <c r="BP64" i="1" a="1"/>
  <c r="BP64" i="1" s="1"/>
  <c r="CC64" i="1" s="1"/>
  <c r="BP127" i="1" a="1"/>
  <c r="BP127" i="1" s="1"/>
  <c r="CC127" i="1" s="1"/>
  <c r="BP66" i="1" a="1"/>
  <c r="BP66" i="1" s="1"/>
  <c r="CC66" i="1" s="1"/>
  <c r="BP68" i="1" a="1"/>
  <c r="BP68" i="1" s="1"/>
  <c r="CC68" i="1" s="1"/>
  <c r="BP69" i="1" a="1"/>
  <c r="BP69" i="1" s="1"/>
  <c r="CC69" i="1" s="1"/>
  <c r="BP184" i="1" a="1"/>
  <c r="BP184" i="1" s="1"/>
  <c r="CC184" i="1" s="1"/>
  <c r="BP71" i="1" a="1"/>
  <c r="BP71" i="1" s="1"/>
  <c r="CC71" i="1" s="1"/>
  <c r="BP72" i="1" a="1"/>
  <c r="BP72" i="1" s="1"/>
  <c r="CC72" i="1" s="1"/>
  <c r="BP73" i="1" a="1"/>
  <c r="BP73" i="1" s="1"/>
  <c r="CC73" i="1" s="1"/>
  <c r="BP74" i="1" a="1"/>
  <c r="BP74" i="1" s="1"/>
  <c r="CC74" i="1" s="1"/>
  <c r="BP75" i="1" a="1"/>
  <c r="BP75" i="1" s="1"/>
  <c r="CC75" i="1" s="1"/>
  <c r="BP76" i="1" a="1"/>
  <c r="BP76" i="1" s="1"/>
  <c r="CC76" i="1" s="1"/>
  <c r="BP77" i="1" a="1"/>
  <c r="BP77" i="1" s="1"/>
  <c r="CC77" i="1" s="1"/>
  <c r="BP78" i="1" a="1"/>
  <c r="BP78" i="1" s="1"/>
  <c r="CC78" i="1" s="1"/>
  <c r="BP79" i="1" a="1"/>
  <c r="BP79" i="1" s="1"/>
  <c r="CC79" i="1" s="1"/>
  <c r="BP80" i="1" a="1"/>
  <c r="BP80" i="1" s="1"/>
  <c r="CC80" i="1" s="1"/>
  <c r="BP81" i="1" a="1"/>
  <c r="BP81" i="1" s="1"/>
  <c r="CC81" i="1" s="1"/>
  <c r="BP82" i="1" a="1"/>
  <c r="BP82" i="1" s="1"/>
  <c r="CC82" i="1" s="1"/>
  <c r="BP83" i="1" a="1"/>
  <c r="BP83" i="1" s="1"/>
  <c r="CC83" i="1" s="1"/>
  <c r="BP84" i="1" a="1"/>
  <c r="BP84" i="1" s="1"/>
  <c r="CC84" i="1" s="1"/>
  <c r="BP85" i="1" a="1"/>
  <c r="BP85" i="1" s="1"/>
  <c r="CC85" i="1" s="1"/>
  <c r="BP86" i="1" a="1"/>
  <c r="BP86" i="1" s="1"/>
  <c r="CC86" i="1" s="1"/>
  <c r="BP87" i="1" a="1"/>
  <c r="BP87" i="1" s="1"/>
  <c r="CC87" i="1" s="1"/>
  <c r="BP88" i="1" a="1"/>
  <c r="BP88" i="1" s="1"/>
  <c r="CC88" i="1" s="1"/>
  <c r="BP163" i="1" a="1"/>
  <c r="BP163" i="1" s="1"/>
  <c r="CC163" i="1" s="1"/>
  <c r="BP91" i="1" a="1"/>
  <c r="BP91" i="1" s="1"/>
  <c r="CC91" i="1" s="1"/>
  <c r="BP93" i="1" a="1"/>
  <c r="BP93" i="1" s="1"/>
  <c r="CC93" i="1" s="1"/>
  <c r="BP94" i="1" a="1"/>
  <c r="BP94" i="1" s="1"/>
  <c r="CC94" i="1" s="1"/>
  <c r="BP95" i="1" a="1"/>
  <c r="BP95" i="1" s="1"/>
  <c r="CC95" i="1" s="1"/>
  <c r="BP96" i="1" a="1"/>
  <c r="BP96" i="1" s="1"/>
  <c r="CC96" i="1" s="1"/>
  <c r="BP97" i="1" a="1"/>
  <c r="BP97" i="1" s="1"/>
  <c r="CC97" i="1" s="1"/>
  <c r="BP98" i="1" a="1"/>
  <c r="BP98" i="1" s="1"/>
  <c r="CC98" i="1" s="1"/>
  <c r="BP99" i="1" a="1"/>
  <c r="BP99" i="1" s="1"/>
  <c r="CC99" i="1" s="1"/>
  <c r="BP100" i="1" a="1"/>
  <c r="BP100" i="1" s="1"/>
  <c r="CC100" i="1" s="1"/>
  <c r="BP101" i="1" a="1"/>
  <c r="BP101" i="1" s="1"/>
  <c r="CC101" i="1" s="1"/>
  <c r="BP102" i="1" a="1"/>
  <c r="BP102" i="1" s="1"/>
  <c r="CC102" i="1" s="1"/>
  <c r="BP103" i="1" a="1"/>
  <c r="BP103" i="1" s="1"/>
  <c r="CC103" i="1" s="1"/>
  <c r="BP104" i="1" a="1"/>
  <c r="BP104" i="1" s="1"/>
  <c r="CC104" i="1" s="1"/>
  <c r="BP105" i="1" a="1"/>
  <c r="BP105" i="1" s="1"/>
  <c r="CC105" i="1" s="1"/>
  <c r="BP106" i="1" a="1"/>
  <c r="BP106" i="1" s="1"/>
  <c r="CC106" i="1" s="1"/>
  <c r="BP107" i="1" a="1"/>
  <c r="BP107" i="1" s="1"/>
  <c r="CC107" i="1" s="1"/>
  <c r="BP108" i="1" a="1"/>
  <c r="BP108" i="1" s="1"/>
  <c r="CC108" i="1" s="1"/>
  <c r="BP109" i="1" a="1"/>
  <c r="BP109" i="1" s="1"/>
  <c r="CC109" i="1" s="1"/>
  <c r="BP110" i="1" a="1"/>
  <c r="BP110" i="1" s="1"/>
  <c r="CC110" i="1" s="1"/>
  <c r="BP111" i="1" a="1"/>
  <c r="BP111" i="1" s="1"/>
  <c r="CC111" i="1" s="1"/>
  <c r="BP112" i="1" a="1"/>
  <c r="BP112" i="1" s="1"/>
  <c r="CC112" i="1" s="1"/>
  <c r="BP89" i="1" a="1"/>
  <c r="BP89" i="1" s="1"/>
  <c r="CC89" i="1" s="1"/>
  <c r="BP115" i="1" a="1"/>
  <c r="BP115" i="1" s="1"/>
  <c r="CC115" i="1" s="1"/>
  <c r="BP116" i="1" a="1"/>
  <c r="BP116" i="1" s="1"/>
  <c r="CC116" i="1" s="1"/>
  <c r="BP117" i="1" a="1"/>
  <c r="BP117" i="1" s="1"/>
  <c r="CC117" i="1" s="1"/>
  <c r="BP118" i="1" a="1"/>
  <c r="BP118" i="1" s="1"/>
  <c r="CC118" i="1" s="1"/>
  <c r="BP119" i="1" a="1"/>
  <c r="BP119" i="1" s="1"/>
  <c r="CC119" i="1" s="1"/>
  <c r="BP67" i="1" a="1"/>
  <c r="BP67" i="1" s="1"/>
  <c r="CC67" i="1" s="1"/>
  <c r="BP122" i="1" a="1"/>
  <c r="BP122" i="1" s="1"/>
  <c r="CC122" i="1" s="1"/>
  <c r="BP123" i="1" a="1"/>
  <c r="BP123" i="1" s="1"/>
  <c r="CC123" i="1" s="1"/>
  <c r="BP153" i="1" a="1"/>
  <c r="BP153" i="1" s="1"/>
  <c r="CC153" i="1" s="1"/>
  <c r="BP125" i="1" a="1"/>
  <c r="BP125" i="1" s="1"/>
  <c r="CC125" i="1" s="1"/>
  <c r="BP126" i="1" a="1"/>
  <c r="BP126" i="1" s="1"/>
  <c r="CC126" i="1" s="1"/>
  <c r="BP128" i="1" a="1"/>
  <c r="BP128" i="1" s="1"/>
  <c r="CC128" i="1" s="1"/>
  <c r="BP129" i="1" a="1"/>
  <c r="BP129" i="1" s="1"/>
  <c r="CC129" i="1" s="1"/>
  <c r="BP130" i="1" a="1"/>
  <c r="BP130" i="1" s="1"/>
  <c r="CC130" i="1" s="1"/>
  <c r="BP131" i="1" a="1"/>
  <c r="BP131" i="1" s="1"/>
  <c r="CC131" i="1" s="1"/>
  <c r="BP133" i="1" a="1"/>
  <c r="BP133" i="1" s="1"/>
  <c r="CC133" i="1" s="1"/>
  <c r="BP134" i="1" a="1"/>
  <c r="BP134" i="1" s="1"/>
  <c r="CC134" i="1" s="1"/>
  <c r="BP135" i="1" a="1"/>
  <c r="BP135" i="1" s="1"/>
  <c r="CC135" i="1" s="1"/>
  <c r="BP136" i="1" a="1"/>
  <c r="BP136" i="1" s="1"/>
  <c r="CC136" i="1" s="1"/>
  <c r="BP137" i="1" a="1"/>
  <c r="BP137" i="1" s="1"/>
  <c r="CC137" i="1" s="1"/>
  <c r="BP138" i="1" a="1"/>
  <c r="BP138" i="1" s="1"/>
  <c r="CC138" i="1" s="1"/>
  <c r="BP139" i="1" a="1"/>
  <c r="BP139" i="1" s="1"/>
  <c r="CC139" i="1" s="1"/>
  <c r="BP140" i="1" a="1"/>
  <c r="BP140" i="1" s="1"/>
  <c r="CC140" i="1" s="1"/>
  <c r="BP141" i="1" a="1"/>
  <c r="BP141" i="1" s="1"/>
  <c r="CC141" i="1" s="1"/>
  <c r="BP142" i="1" a="1"/>
  <c r="BP142" i="1" s="1"/>
  <c r="CC142" i="1" s="1"/>
  <c r="BP143" i="1" a="1"/>
  <c r="BP143" i="1" s="1"/>
  <c r="CC143" i="1" s="1"/>
  <c r="BP144" i="1" a="1"/>
  <c r="BP144" i="1" s="1"/>
  <c r="CC144" i="1" s="1"/>
  <c r="BP145" i="1" a="1"/>
  <c r="BP145" i="1" s="1"/>
  <c r="CC145" i="1" s="1"/>
  <c r="BP146" i="1" a="1"/>
  <c r="BP146" i="1" s="1"/>
  <c r="CC146" i="1" s="1"/>
  <c r="BP147" i="1" a="1"/>
  <c r="BP147" i="1" s="1"/>
  <c r="CC147" i="1" s="1"/>
  <c r="BP148" i="1" a="1"/>
  <c r="BP148" i="1" s="1"/>
  <c r="CC148" i="1" s="1"/>
  <c r="BP149" i="1" a="1"/>
  <c r="BP149" i="1" s="1"/>
  <c r="CC149" i="1" s="1"/>
  <c r="BP150" i="1" a="1"/>
  <c r="BP150" i="1" s="1"/>
  <c r="CC150" i="1" s="1"/>
  <c r="BP151" i="1" a="1"/>
  <c r="BP151" i="1" s="1"/>
  <c r="CC151" i="1" s="1"/>
  <c r="BP152" i="1" a="1"/>
  <c r="BP152" i="1" s="1"/>
  <c r="CC152" i="1" s="1"/>
  <c r="BP120" i="1" a="1"/>
  <c r="BP120" i="1" s="1"/>
  <c r="CC120" i="1" s="1"/>
  <c r="BP154" i="1" a="1"/>
  <c r="BP154" i="1" s="1"/>
  <c r="CC154" i="1" s="1"/>
  <c r="BP92" i="1" a="1"/>
  <c r="BP92" i="1" s="1"/>
  <c r="CC92" i="1" s="1"/>
  <c r="BP156" i="1" a="1"/>
  <c r="BP156" i="1" s="1"/>
  <c r="CC156" i="1" s="1"/>
  <c r="BP157" i="1" a="1"/>
  <c r="BP157" i="1" s="1"/>
  <c r="CC157" i="1" s="1"/>
  <c r="BP158" i="1" a="1"/>
  <c r="BP158" i="1" s="1"/>
  <c r="CC158" i="1" s="1"/>
  <c r="BP159" i="1" a="1"/>
  <c r="BP159" i="1" s="1"/>
  <c r="CC159" i="1" s="1"/>
  <c r="BP160" i="1" a="1"/>
  <c r="BP160" i="1" s="1"/>
  <c r="CC160" i="1" s="1"/>
  <c r="BP161" i="1" a="1"/>
  <c r="BP161" i="1" s="1"/>
  <c r="CC161" i="1" s="1"/>
  <c r="BP162" i="1" a="1"/>
  <c r="BP162" i="1" s="1"/>
  <c r="CC162" i="1" s="1"/>
  <c r="BP164" i="1" a="1"/>
  <c r="BP164" i="1" s="1"/>
  <c r="CC164" i="1" s="1"/>
  <c r="BP165" i="1" a="1"/>
  <c r="BP165" i="1" s="1"/>
  <c r="CC165" i="1" s="1"/>
  <c r="BP166" i="1" a="1"/>
  <c r="BP166" i="1" s="1"/>
  <c r="CC166" i="1" s="1"/>
  <c r="BP167" i="1" a="1"/>
  <c r="BP167" i="1" s="1"/>
  <c r="CC167" i="1" s="1"/>
  <c r="BP168" i="1" a="1"/>
  <c r="BP168" i="1" s="1"/>
  <c r="CC168" i="1" s="1"/>
  <c r="BP169" i="1" a="1"/>
  <c r="BP169" i="1" s="1"/>
  <c r="CC169" i="1" s="1"/>
  <c r="BP170" i="1" a="1"/>
  <c r="BP170" i="1" s="1"/>
  <c r="CC170" i="1" s="1"/>
  <c r="BP171" i="1" a="1"/>
  <c r="BP171" i="1" s="1"/>
  <c r="CC171" i="1" s="1"/>
  <c r="BP172" i="1" a="1"/>
  <c r="BP172" i="1" s="1"/>
  <c r="CC172" i="1" s="1"/>
  <c r="BP173" i="1" a="1"/>
  <c r="BP173" i="1" s="1"/>
  <c r="CC173" i="1" s="1"/>
  <c r="BP174" i="1" a="1"/>
  <c r="BP174" i="1" s="1"/>
  <c r="CC174" i="1" s="1"/>
  <c r="BP175" i="1" a="1"/>
  <c r="BP175" i="1" s="1"/>
  <c r="CC175" i="1" s="1"/>
  <c r="BP176" i="1" a="1"/>
  <c r="BP176" i="1" s="1"/>
  <c r="CC176" i="1" s="1"/>
  <c r="BP177" i="1" a="1"/>
  <c r="BP177" i="1" s="1"/>
  <c r="CC177" i="1" s="1"/>
  <c r="BP178" i="1" a="1"/>
  <c r="BP178" i="1" s="1"/>
  <c r="CC178" i="1" s="1"/>
  <c r="BP179" i="1" a="1"/>
  <c r="BP179" i="1" s="1"/>
  <c r="CC179" i="1" s="1"/>
  <c r="EH155" i="1"/>
  <c r="BP181" i="1" a="1"/>
  <c r="BP181" i="1" s="1"/>
  <c r="CC181" i="1" s="1"/>
  <c r="BP182" i="1" a="1"/>
  <c r="BP182" i="1" s="1"/>
  <c r="CC182" i="1" s="1"/>
  <c r="BP183" i="1" a="1"/>
  <c r="BP183" i="1" s="1"/>
  <c r="CC183" i="1" s="1"/>
  <c r="BP191" i="1" a="1"/>
  <c r="BP191" i="1" s="1"/>
  <c r="CC191" i="1" s="1"/>
  <c r="BP185" i="1" a="1"/>
  <c r="BP185" i="1" s="1"/>
  <c r="CC185" i="1" s="1"/>
  <c r="BP19" i="1" a="1"/>
  <c r="BP19" i="1" s="1"/>
  <c r="CC19" i="1" s="1"/>
  <c r="BP187" i="1" a="1"/>
  <c r="BP187" i="1" s="1"/>
  <c r="CC187" i="1" s="1"/>
  <c r="BP188" i="1" a="1"/>
  <c r="BP188" i="1" s="1"/>
  <c r="CC188" i="1" s="1"/>
  <c r="BP189" i="1" a="1"/>
  <c r="BP189" i="1" s="1"/>
  <c r="CC189" i="1" s="1"/>
  <c r="BP190" i="1" a="1"/>
  <c r="BP190" i="1" s="1"/>
  <c r="CC190" i="1" s="1"/>
  <c r="BP35" i="1" a="1"/>
  <c r="BP35" i="1" s="1"/>
  <c r="CC35" i="1" s="1"/>
  <c r="BP192" i="1" a="1"/>
  <c r="BP192" i="1" s="1"/>
  <c r="CC192" i="1" s="1"/>
  <c r="BP193" i="1" a="1"/>
  <c r="BP193" i="1" s="1"/>
  <c r="CC193" i="1" s="1"/>
  <c r="BP194" i="1" a="1"/>
  <c r="BP194" i="1" s="1"/>
  <c r="CC194" i="1" s="1"/>
  <c r="BP195" i="1" a="1"/>
  <c r="BP195" i="1" s="1"/>
  <c r="CC195" i="1" s="1"/>
  <c r="BP196" i="1" a="1"/>
  <c r="BP196" i="1" s="1"/>
  <c r="CC196" i="1" s="1"/>
  <c r="BP197" i="1" a="1"/>
  <c r="BP197" i="1" s="1"/>
  <c r="CC197" i="1" s="1"/>
  <c r="BP198" i="1" a="1"/>
  <c r="BP198" i="1" s="1"/>
  <c r="CC198" i="1" s="1"/>
  <c r="BP199" i="1" a="1"/>
  <c r="BP199" i="1" s="1"/>
  <c r="CC199" i="1" s="1"/>
  <c r="BP200" i="1" a="1"/>
  <c r="BP200" i="1" s="1"/>
  <c r="CC200" i="1" s="1"/>
  <c r="BP201" i="1" a="1"/>
  <c r="BP201" i="1" s="1"/>
  <c r="CC201" i="1" s="1"/>
  <c r="BP255" i="1" a="1"/>
  <c r="BP255" i="1" s="1"/>
  <c r="CC255" i="1" s="1"/>
  <c r="BP203" i="1" a="1"/>
  <c r="BP203" i="1" s="1"/>
  <c r="CC203" i="1" s="1"/>
  <c r="BP204" i="1" a="1"/>
  <c r="BP204" i="1" s="1"/>
  <c r="CC204" i="1" s="1"/>
  <c r="BP205" i="1" a="1"/>
  <c r="BP205" i="1" s="1"/>
  <c r="CC205" i="1" s="1"/>
  <c r="BP206" i="1" a="1"/>
  <c r="BP206" i="1" s="1"/>
  <c r="CC206" i="1" s="1"/>
  <c r="BP207" i="1" a="1"/>
  <c r="BP207" i="1" s="1"/>
  <c r="CC207" i="1" s="1"/>
  <c r="BP208" i="1" a="1"/>
  <c r="BP208" i="1" s="1"/>
  <c r="CC208" i="1" s="1"/>
  <c r="BP114" i="1" a="1"/>
  <c r="BP114" i="1" s="1"/>
  <c r="CC114" i="1" s="1"/>
  <c r="BP210" i="1" a="1"/>
  <c r="BP210" i="1" s="1"/>
  <c r="CC210" i="1" s="1"/>
  <c r="BP211" i="1" a="1"/>
  <c r="BP211" i="1" s="1"/>
  <c r="CC211" i="1" s="1"/>
  <c r="BP212" i="1" a="1"/>
  <c r="BP212" i="1" s="1"/>
  <c r="CC212" i="1" s="1"/>
  <c r="BP213" i="1" a="1"/>
  <c r="BP213" i="1" s="1"/>
  <c r="CC213" i="1" s="1"/>
  <c r="BP214" i="1" a="1"/>
  <c r="BP214" i="1" s="1"/>
  <c r="CC214" i="1" s="1"/>
  <c r="BP215" i="1" a="1"/>
  <c r="BP215" i="1" s="1"/>
  <c r="CC215" i="1" s="1"/>
  <c r="BP216" i="1" a="1"/>
  <c r="BP216" i="1" s="1"/>
  <c r="CC216" i="1" s="1"/>
  <c r="BP217" i="1" a="1"/>
  <c r="BP217" i="1" s="1"/>
  <c r="CC217" i="1" s="1"/>
  <c r="BP218" i="1" a="1"/>
  <c r="BP218" i="1" s="1"/>
  <c r="CC218" i="1" s="1"/>
  <c r="BP219" i="1" a="1"/>
  <c r="BP219" i="1" s="1"/>
  <c r="CC219" i="1" s="1"/>
  <c r="BP220" i="1" a="1"/>
  <c r="BP220" i="1" s="1"/>
  <c r="CC220" i="1" s="1"/>
  <c r="BP221" i="1" a="1"/>
  <c r="BP221" i="1" s="1"/>
  <c r="CC221" i="1" s="1"/>
  <c r="BP222" i="1" a="1"/>
  <c r="BP222" i="1" s="1"/>
  <c r="CC222" i="1" s="1"/>
  <c r="BP223" i="1" a="1"/>
  <c r="BP223" i="1" s="1"/>
  <c r="CC223" i="1" s="1"/>
  <c r="BP224" i="1" a="1"/>
  <c r="BP224" i="1" s="1"/>
  <c r="CC224" i="1" s="1"/>
  <c r="BP225" i="1" a="1"/>
  <c r="BP225" i="1" s="1"/>
  <c r="CC225" i="1" s="1"/>
  <c r="BP226" i="1" a="1"/>
  <c r="BP226" i="1" s="1"/>
  <c r="CC226" i="1" s="1"/>
  <c r="BP227" i="1" a="1"/>
  <c r="BP227" i="1" s="1"/>
  <c r="CC227" i="1" s="1"/>
  <c r="BP228" i="1" a="1"/>
  <c r="BP228" i="1" s="1"/>
  <c r="CC228" i="1" s="1"/>
  <c r="BP229" i="1" a="1"/>
  <c r="BP229" i="1" s="1"/>
  <c r="CC229" i="1" s="1"/>
  <c r="BP230" i="1" a="1"/>
  <c r="BP230" i="1" s="1"/>
  <c r="CC230" i="1" s="1"/>
  <c r="BP231" i="1" a="1"/>
  <c r="BP231" i="1" s="1"/>
  <c r="CC231" i="1" s="1"/>
  <c r="BP232" i="1" a="1"/>
  <c r="BP232" i="1" s="1"/>
  <c r="CC232" i="1" s="1"/>
  <c r="BP233" i="1" a="1"/>
  <c r="BP233" i="1" s="1"/>
  <c r="CC233" i="1" s="1"/>
  <c r="BP234" i="1" a="1"/>
  <c r="BP234" i="1" s="1"/>
  <c r="CC234" i="1" s="1"/>
  <c r="BP235" i="1" a="1"/>
  <c r="BP235" i="1" s="1"/>
  <c r="CC235" i="1" s="1"/>
  <c r="BP237" i="1" a="1"/>
  <c r="BP237" i="1" s="1"/>
  <c r="CC237" i="1" s="1"/>
  <c r="BP239" i="1" a="1"/>
  <c r="BP239" i="1" s="1"/>
  <c r="CC239" i="1" s="1"/>
  <c r="BP240" i="1" a="1"/>
  <c r="BP240" i="1" s="1"/>
  <c r="CC240" i="1" s="1"/>
  <c r="BP241" i="1" a="1"/>
  <c r="BP241" i="1" s="1"/>
  <c r="CC241" i="1" s="1"/>
  <c r="BP242" i="1" a="1"/>
  <c r="BP242" i="1" s="1"/>
  <c r="CC242" i="1" s="1"/>
  <c r="BP243" i="1" a="1"/>
  <c r="BP243" i="1" s="1"/>
  <c r="CC243" i="1" s="1"/>
  <c r="BP244" i="1" a="1"/>
  <c r="BP244" i="1" s="1"/>
  <c r="CC244" i="1" s="1"/>
  <c r="BP246" i="1" a="1"/>
  <c r="BP246" i="1" s="1"/>
  <c r="CC246" i="1" s="1"/>
  <c r="BP247" i="1" a="1"/>
  <c r="BP247" i="1" s="1"/>
  <c r="CC247" i="1" s="1"/>
  <c r="BP248" i="1" a="1"/>
  <c r="BP248" i="1" s="1"/>
  <c r="CC248" i="1" s="1"/>
  <c r="BP249" i="1" a="1"/>
  <c r="BP249" i="1" s="1"/>
  <c r="CC249" i="1" s="1"/>
  <c r="BP250" i="1" a="1"/>
  <c r="BP250" i="1" s="1"/>
  <c r="CC250" i="1" s="1"/>
  <c r="BP251" i="1" a="1"/>
  <c r="BP251" i="1" s="1"/>
  <c r="CC251" i="1" s="1"/>
  <c r="BP252" i="1" a="1"/>
  <c r="BP252" i="1" s="1"/>
  <c r="CC252" i="1" s="1"/>
  <c r="BP253" i="1" a="1"/>
  <c r="BP253" i="1" s="1"/>
  <c r="CC253" i="1" s="1"/>
  <c r="BP254" i="1" a="1"/>
  <c r="BP254" i="1" s="1"/>
  <c r="CC254" i="1" s="1"/>
  <c r="BP202" i="1" a="1"/>
  <c r="BP202" i="1" s="1"/>
  <c r="CC202" i="1" s="1"/>
  <c r="BP256" i="1" a="1"/>
  <c r="BP256" i="1" s="1"/>
  <c r="CC256" i="1" s="1"/>
  <c r="BP257" i="1" a="1"/>
  <c r="BP257" i="1" s="1"/>
  <c r="CC257" i="1" s="1"/>
  <c r="BP258" i="1" a="1"/>
  <c r="BP258" i="1" s="1"/>
  <c r="CC258" i="1" s="1"/>
  <c r="BP259" i="1" a="1"/>
  <c r="BP259" i="1" s="1"/>
  <c r="CC259" i="1" s="1"/>
  <c r="BP260" i="1" a="1"/>
  <c r="BP260" i="1" s="1"/>
  <c r="CC260" i="1" s="1"/>
  <c r="BP261" i="1" a="1"/>
  <c r="BP261" i="1" s="1"/>
  <c r="CC261" i="1" s="1"/>
  <c r="BP262" i="1" a="1"/>
  <c r="BP262" i="1" s="1"/>
  <c r="CC262" i="1" s="1"/>
  <c r="BP263" i="1" a="1"/>
  <c r="BP263" i="1" s="1"/>
  <c r="CC263" i="1" s="1"/>
  <c r="BP264" i="1" a="1"/>
  <c r="BP264" i="1" s="1"/>
  <c r="CC264" i="1" s="1"/>
  <c r="BP265" i="1" a="1"/>
  <c r="BP265" i="1" s="1"/>
  <c r="CC265" i="1" s="1"/>
  <c r="BP266" i="1" a="1"/>
  <c r="BP266" i="1" s="1"/>
  <c r="CC266" i="1" s="1"/>
  <c r="BP267" i="1" a="1"/>
  <c r="BP267" i="1" s="1"/>
  <c r="CC267" i="1" s="1"/>
  <c r="BP268" i="1" a="1"/>
  <c r="BP268" i="1" s="1"/>
  <c r="CC268" i="1" s="1"/>
  <c r="BP269" i="1" a="1"/>
  <c r="BP269" i="1" s="1"/>
  <c r="CC269" i="1" s="1"/>
  <c r="BP270" i="1" a="1"/>
  <c r="BP270" i="1" s="1"/>
  <c r="CC270" i="1" s="1"/>
  <c r="BP271" i="1" a="1"/>
  <c r="BP271" i="1" s="1"/>
  <c r="CC271" i="1" s="1"/>
  <c r="D266" i="9" l="1"/>
  <c r="D265" i="9"/>
  <c r="D263" i="9"/>
  <c r="D198" i="9"/>
  <c r="D243" i="9"/>
  <c r="D238" i="9"/>
  <c r="D233" i="9"/>
  <c r="D228" i="9"/>
  <c r="D224" i="9"/>
  <c r="D220" i="9"/>
  <c r="D216" i="9"/>
  <c r="D212" i="9"/>
  <c r="D208" i="9"/>
  <c r="D204" i="9"/>
  <c r="D200" i="9"/>
  <c r="D196" i="9"/>
  <c r="D192" i="9"/>
  <c r="D188" i="9"/>
  <c r="D184" i="9"/>
  <c r="D187" i="9"/>
  <c r="D172" i="9"/>
  <c r="D168" i="9"/>
  <c r="D164" i="9"/>
  <c r="D160" i="9"/>
  <c r="D155" i="9"/>
  <c r="D88" i="9"/>
  <c r="D147" i="9"/>
  <c r="D143" i="9"/>
  <c r="D139" i="9"/>
  <c r="D135" i="9"/>
  <c r="D131" i="9"/>
  <c r="D126" i="9"/>
  <c r="D121" i="9"/>
  <c r="D63" i="9"/>
  <c r="D112" i="9"/>
  <c r="D107" i="9"/>
  <c r="D103" i="9"/>
  <c r="D99" i="9"/>
  <c r="D95" i="9"/>
  <c r="D91" i="9"/>
  <c r="D159" i="9"/>
  <c r="D81" i="9"/>
  <c r="D77" i="9"/>
  <c r="D73" i="9"/>
  <c r="D69" i="9"/>
  <c r="D65" i="9"/>
  <c r="D60" i="9"/>
  <c r="D56" i="9"/>
  <c r="D52" i="9"/>
  <c r="D47" i="9"/>
  <c r="D43" i="9"/>
  <c r="D39" i="9"/>
  <c r="D35" i="9"/>
  <c r="D30" i="9"/>
  <c r="D26" i="9"/>
  <c r="D22" i="9"/>
  <c r="D267" i="9"/>
  <c r="D259" i="9"/>
  <c r="D255" i="9"/>
  <c r="D247" i="9"/>
  <c r="D262" i="9"/>
  <c r="D258" i="9"/>
  <c r="D254" i="9"/>
  <c r="D250" i="9"/>
  <c r="D246" i="9"/>
  <c r="D242" i="9"/>
  <c r="D237" i="9"/>
  <c r="D231" i="9"/>
  <c r="D227" i="9"/>
  <c r="D223" i="9"/>
  <c r="D219" i="9"/>
  <c r="D215" i="9"/>
  <c r="D211" i="9"/>
  <c r="D207" i="9"/>
  <c r="D203" i="9"/>
  <c r="D199" i="9"/>
  <c r="D195" i="9"/>
  <c r="D191" i="9"/>
  <c r="D31" i="9"/>
  <c r="D183" i="9"/>
  <c r="D179" i="9"/>
  <c r="D175" i="9"/>
  <c r="D171" i="9"/>
  <c r="D167" i="9"/>
  <c r="D163" i="9"/>
  <c r="D158" i="9"/>
  <c r="D154" i="9"/>
  <c r="D150" i="9"/>
  <c r="D146" i="9"/>
  <c r="D142" i="9"/>
  <c r="D138" i="9"/>
  <c r="D134" i="9"/>
  <c r="D130" i="9"/>
  <c r="D125" i="9"/>
  <c r="D149" i="9"/>
  <c r="D115" i="9"/>
  <c r="D111" i="9"/>
  <c r="D106" i="9"/>
  <c r="D102" i="9"/>
  <c r="D98" i="9"/>
  <c r="D94" i="9"/>
  <c r="D90" i="9"/>
  <c r="D84" i="9"/>
  <c r="D80" i="9"/>
  <c r="D76" i="9"/>
  <c r="D72" i="9"/>
  <c r="D68" i="9"/>
  <c r="D64" i="9"/>
  <c r="D59" i="9"/>
  <c r="D55" i="9"/>
  <c r="D50" i="9"/>
  <c r="D46" i="9"/>
  <c r="D42" i="9"/>
  <c r="D38" i="9"/>
  <c r="D34" i="9"/>
  <c r="D29" i="9"/>
  <c r="D25" i="9"/>
  <c r="D21" i="9"/>
  <c r="D261" i="9"/>
  <c r="D253" i="9"/>
  <c r="D240" i="9"/>
  <c r="D236" i="9"/>
  <c r="D230" i="9"/>
  <c r="D226" i="9"/>
  <c r="D222" i="9"/>
  <c r="D218" i="9"/>
  <c r="D214" i="9"/>
  <c r="D210" i="9"/>
  <c r="D206" i="9"/>
  <c r="D202" i="9"/>
  <c r="D251" i="9"/>
  <c r="D194" i="9"/>
  <c r="D190" i="9"/>
  <c r="D186" i="9"/>
  <c r="D15" i="9"/>
  <c r="D178" i="9"/>
  <c r="D174" i="9"/>
  <c r="D170" i="9"/>
  <c r="D166" i="9"/>
  <c r="D162" i="9"/>
  <c r="D157" i="9"/>
  <c r="D153" i="9"/>
  <c r="D116" i="9"/>
  <c r="D145" i="9"/>
  <c r="D141" i="9"/>
  <c r="D137" i="9"/>
  <c r="D133" i="9"/>
  <c r="D129" i="9"/>
  <c r="D124" i="9"/>
  <c r="D119" i="9"/>
  <c r="D114" i="9"/>
  <c r="D85" i="9"/>
  <c r="D105" i="9"/>
  <c r="D101" i="9"/>
  <c r="D97" i="9"/>
  <c r="D93" i="9"/>
  <c r="D89" i="9"/>
  <c r="D83" i="9"/>
  <c r="D79" i="9"/>
  <c r="D75" i="9"/>
  <c r="D71" i="9"/>
  <c r="D67" i="9"/>
  <c r="D62" i="9"/>
  <c r="D58" i="9"/>
  <c r="D54" i="9"/>
  <c r="D49" i="9"/>
  <c r="D45" i="9"/>
  <c r="D41" i="9"/>
  <c r="D37" i="9"/>
  <c r="D33" i="9"/>
  <c r="D28" i="9"/>
  <c r="D24" i="9"/>
  <c r="D20" i="9"/>
  <c r="D257" i="9"/>
  <c r="D249" i="9"/>
  <c r="D245" i="9"/>
  <c r="D264" i="9"/>
  <c r="D260" i="9"/>
  <c r="D256" i="9"/>
  <c r="D252" i="9"/>
  <c r="D248" i="9"/>
  <c r="D244" i="9"/>
  <c r="D239" i="9"/>
  <c r="D235" i="9"/>
  <c r="D229" i="9"/>
  <c r="D225" i="9"/>
  <c r="D221" i="9"/>
  <c r="D217" i="9"/>
  <c r="D213" i="9"/>
  <c r="D209" i="9"/>
  <c r="D110" i="9"/>
  <c r="D201" i="9"/>
  <c r="D197" i="9"/>
  <c r="D193" i="9"/>
  <c r="D189" i="9"/>
  <c r="D185" i="9"/>
  <c r="D181" i="9"/>
  <c r="D177" i="9"/>
  <c r="D173" i="9"/>
  <c r="D169" i="9"/>
  <c r="D165" i="9"/>
  <c r="D161" i="9"/>
  <c r="D156" i="9"/>
  <c r="D152" i="9"/>
  <c r="D148" i="9"/>
  <c r="D144" i="9"/>
  <c r="D140" i="9"/>
  <c r="D136" i="9"/>
  <c r="D132" i="9"/>
  <c r="D127" i="9"/>
  <c r="D122" i="9"/>
  <c r="D118" i="9"/>
  <c r="D113" i="9"/>
  <c r="D108" i="9"/>
  <c r="D104" i="9"/>
  <c r="D100" i="9"/>
  <c r="D96" i="9"/>
  <c r="D92" i="9"/>
  <c r="D87" i="9"/>
  <c r="D82" i="9"/>
  <c r="D78" i="9"/>
  <c r="D74" i="9"/>
  <c r="D70" i="9"/>
  <c r="D180" i="9"/>
  <c r="D123" i="9"/>
  <c r="D57" i="9"/>
  <c r="D53" i="9"/>
  <c r="D48" i="9"/>
  <c r="D44" i="9"/>
  <c r="D40" i="9"/>
  <c r="D36" i="9"/>
  <c r="D32" i="9"/>
  <c r="D27" i="9"/>
  <c r="D23" i="9"/>
  <c r="D19" i="9"/>
  <c r="CA271" i="1"/>
  <c r="CA259" i="1"/>
  <c r="CA251" i="1"/>
  <c r="CA247" i="1"/>
  <c r="CA242" i="1"/>
  <c r="CA237" i="1"/>
  <c r="CA232" i="1"/>
  <c r="CA228" i="1"/>
  <c r="CA224" i="1"/>
  <c r="CA220" i="1"/>
  <c r="CA216" i="1"/>
  <c r="CA212" i="1"/>
  <c r="CA208" i="1"/>
  <c r="CA204" i="1"/>
  <c r="CA200" i="1"/>
  <c r="CA196" i="1"/>
  <c r="CA192" i="1"/>
  <c r="CA188" i="1"/>
  <c r="CA191" i="1"/>
  <c r="CA176" i="1"/>
  <c r="CA172" i="1"/>
  <c r="CA168" i="1"/>
  <c r="CA164" i="1"/>
  <c r="CA159" i="1"/>
  <c r="CA92" i="1"/>
  <c r="CA151" i="1"/>
  <c r="CA147" i="1"/>
  <c r="CA143" i="1"/>
  <c r="CA139" i="1"/>
  <c r="CA135" i="1"/>
  <c r="CA130" i="1"/>
  <c r="CA125" i="1"/>
  <c r="CA67" i="1"/>
  <c r="CA116" i="1"/>
  <c r="CA111" i="1"/>
  <c r="CA107" i="1"/>
  <c r="CA103" i="1"/>
  <c r="CA99" i="1"/>
  <c r="CA95" i="1"/>
  <c r="CA163" i="1"/>
  <c r="CA86" i="1"/>
  <c r="CA82" i="1"/>
  <c r="CA78" i="1"/>
  <c r="CA74" i="1"/>
  <c r="CA184" i="1"/>
  <c r="CA127" i="1"/>
  <c r="CA61" i="1"/>
  <c r="CA57" i="1"/>
  <c r="CA52" i="1"/>
  <c r="CA48" i="1"/>
  <c r="CA44" i="1"/>
  <c r="CA40" i="1"/>
  <c r="CA36" i="1"/>
  <c r="CA31" i="1"/>
  <c r="CA27" i="1"/>
  <c r="CA23" i="1"/>
  <c r="CA267" i="1"/>
  <c r="CA202" i="1"/>
  <c r="CA270" i="1"/>
  <c r="CA266" i="1"/>
  <c r="CA262" i="1"/>
  <c r="CA258" i="1"/>
  <c r="CA254" i="1"/>
  <c r="CA250" i="1"/>
  <c r="CA246" i="1"/>
  <c r="CA241" i="1"/>
  <c r="CA235" i="1"/>
  <c r="CA231" i="1"/>
  <c r="CA227" i="1"/>
  <c r="CA223" i="1"/>
  <c r="CA219" i="1"/>
  <c r="CA215" i="1"/>
  <c r="CA211" i="1"/>
  <c r="CA207" i="1"/>
  <c r="CA203" i="1"/>
  <c r="CA199" i="1"/>
  <c r="CA195" i="1"/>
  <c r="CA35" i="1"/>
  <c r="CA187" i="1"/>
  <c r="CA183" i="1"/>
  <c r="CA179" i="1"/>
  <c r="CA175" i="1"/>
  <c r="CA171" i="1"/>
  <c r="CA167" i="1"/>
  <c r="CA162" i="1"/>
  <c r="CA158" i="1"/>
  <c r="CA154" i="1"/>
  <c r="CA150" i="1"/>
  <c r="CA146" i="1"/>
  <c r="CA142" i="1"/>
  <c r="CA138" i="1"/>
  <c r="CA134" i="1"/>
  <c r="CA129" i="1"/>
  <c r="CA153" i="1"/>
  <c r="CA119" i="1"/>
  <c r="CA115" i="1"/>
  <c r="CA110" i="1"/>
  <c r="CA106" i="1"/>
  <c r="CA102" i="1"/>
  <c r="CA98" i="1"/>
  <c r="CA94" i="1"/>
  <c r="CA124" i="1"/>
  <c r="CA85" i="1"/>
  <c r="CA81" i="1"/>
  <c r="CA77" i="1"/>
  <c r="CA73" i="1"/>
  <c r="CA69" i="1"/>
  <c r="CA64" i="1"/>
  <c r="CA60" i="1"/>
  <c r="CA56" i="1"/>
  <c r="CA51" i="1"/>
  <c r="CA47" i="1"/>
  <c r="CA43" i="1"/>
  <c r="CA39" i="1"/>
  <c r="CA34" i="1"/>
  <c r="CA30" i="1"/>
  <c r="CA26" i="1"/>
  <c r="CA269" i="1"/>
  <c r="CA261" i="1"/>
  <c r="CA253" i="1"/>
  <c r="CA244" i="1"/>
  <c r="CA240" i="1"/>
  <c r="CA234" i="1"/>
  <c r="CA230" i="1"/>
  <c r="CA226" i="1"/>
  <c r="CA222" i="1"/>
  <c r="CA218" i="1"/>
  <c r="CA214" i="1"/>
  <c r="CA210" i="1"/>
  <c r="CA206" i="1"/>
  <c r="CA255" i="1"/>
  <c r="CA198" i="1"/>
  <c r="CA194" i="1"/>
  <c r="CA190" i="1"/>
  <c r="CA19" i="1"/>
  <c r="CA182" i="1"/>
  <c r="CA178" i="1"/>
  <c r="CA174" i="1"/>
  <c r="CA170" i="1"/>
  <c r="CA166" i="1"/>
  <c r="CA161" i="1"/>
  <c r="CA157" i="1"/>
  <c r="CA120" i="1"/>
  <c r="CA149" i="1"/>
  <c r="CA145" i="1"/>
  <c r="CA141" i="1"/>
  <c r="CA137" i="1"/>
  <c r="CA133" i="1"/>
  <c r="CA128" i="1"/>
  <c r="CA123" i="1"/>
  <c r="CA118" i="1"/>
  <c r="CA89" i="1"/>
  <c r="CA109" i="1"/>
  <c r="CA105" i="1"/>
  <c r="CA101" i="1"/>
  <c r="CA97" i="1"/>
  <c r="CA93" i="1"/>
  <c r="CA88" i="1"/>
  <c r="CA84" i="1"/>
  <c r="CA80" i="1"/>
  <c r="CA76" i="1"/>
  <c r="CA72" i="1"/>
  <c r="CA68" i="1"/>
  <c r="CA63" i="1"/>
  <c r="CA59" i="1"/>
  <c r="CA54" i="1"/>
  <c r="CA50" i="1"/>
  <c r="CA46" i="1"/>
  <c r="CA42" i="1"/>
  <c r="CA38" i="1"/>
  <c r="CA33" i="1"/>
  <c r="CA29" i="1"/>
  <c r="CA25" i="1"/>
  <c r="CA263" i="1"/>
  <c r="CA265" i="1"/>
  <c r="CA257" i="1"/>
  <c r="CA249" i="1"/>
  <c r="CA268" i="1"/>
  <c r="CA264" i="1"/>
  <c r="CA260" i="1"/>
  <c r="CA256" i="1"/>
  <c r="CA252" i="1"/>
  <c r="CA248" i="1"/>
  <c r="CA243" i="1"/>
  <c r="CA239" i="1"/>
  <c r="CA233" i="1"/>
  <c r="CA229" i="1"/>
  <c r="CA225" i="1"/>
  <c r="CA221" i="1"/>
  <c r="CA217" i="1"/>
  <c r="CA213" i="1"/>
  <c r="CA114" i="1"/>
  <c r="CA205" i="1"/>
  <c r="CA201" i="1"/>
  <c r="CA197" i="1"/>
  <c r="CA193" i="1"/>
  <c r="CA189" i="1"/>
  <c r="CA185" i="1"/>
  <c r="CA181" i="1"/>
  <c r="CA177" i="1"/>
  <c r="CA173" i="1"/>
  <c r="CA169" i="1"/>
  <c r="CA165" i="1"/>
  <c r="CA160" i="1"/>
  <c r="CA156" i="1"/>
  <c r="CA152" i="1"/>
  <c r="CA148" i="1"/>
  <c r="CA144" i="1"/>
  <c r="CA140" i="1"/>
  <c r="CA136" i="1"/>
  <c r="CA131" i="1"/>
  <c r="CA126" i="1"/>
  <c r="CA122" i="1"/>
  <c r="CA117" i="1"/>
  <c r="CA112" i="1"/>
  <c r="CA108" i="1"/>
  <c r="CA104" i="1"/>
  <c r="CA100" i="1"/>
  <c r="CA96" i="1"/>
  <c r="CA91" i="1"/>
  <c r="CA87" i="1"/>
  <c r="CA83" i="1"/>
  <c r="CA79" i="1"/>
  <c r="CA75" i="1"/>
  <c r="CA71" i="1"/>
  <c r="CA66" i="1"/>
  <c r="CA62" i="1"/>
  <c r="CA58" i="1"/>
  <c r="CA53" i="1"/>
  <c r="CA49" i="1"/>
  <c r="CA45" i="1"/>
  <c r="CA41" i="1"/>
  <c r="CA37" i="1"/>
  <c r="CA32" i="1"/>
  <c r="CA28" i="1"/>
  <c r="CA24" i="1"/>
  <c r="EH269" i="1"/>
  <c r="EJ269" i="1" s="1"/>
  <c r="EL269" i="1" s="1"/>
  <c r="EH265" i="1"/>
  <c r="EJ265" i="1" s="1"/>
  <c r="EL265" i="1" s="1"/>
  <c r="EH261" i="1"/>
  <c r="EJ261" i="1" s="1"/>
  <c r="EL261" i="1" s="1"/>
  <c r="EH257" i="1"/>
  <c r="EJ257" i="1" s="1"/>
  <c r="EL257" i="1" s="1"/>
  <c r="EH253" i="1"/>
  <c r="EJ253" i="1" s="1"/>
  <c r="EL253" i="1" s="1"/>
  <c r="EH249" i="1"/>
  <c r="EJ249" i="1" s="1"/>
  <c r="EL249" i="1" s="1"/>
  <c r="EH244" i="1"/>
  <c r="EJ244" i="1" s="1"/>
  <c r="EL244" i="1" s="1"/>
  <c r="EH240" i="1"/>
  <c r="EJ240" i="1" s="1"/>
  <c r="EL240" i="1" s="1"/>
  <c r="EH234" i="1"/>
  <c r="EJ234" i="1" s="1"/>
  <c r="EL234" i="1" s="1"/>
  <c r="EH230" i="1"/>
  <c r="EJ230" i="1" s="1"/>
  <c r="EL230" i="1" s="1"/>
  <c r="EH226" i="1"/>
  <c r="EJ226" i="1" s="1"/>
  <c r="EL226" i="1" s="1"/>
  <c r="EH222" i="1"/>
  <c r="EJ222" i="1" s="1"/>
  <c r="EL222" i="1" s="1"/>
  <c r="EH218" i="1"/>
  <c r="EJ218" i="1" s="1"/>
  <c r="EL218" i="1" s="1"/>
  <c r="EH214" i="1"/>
  <c r="EJ214" i="1" s="1"/>
  <c r="EL214" i="1" s="1"/>
  <c r="EH210" i="1"/>
  <c r="EJ210" i="1" s="1"/>
  <c r="EL210" i="1" s="1"/>
  <c r="EH206" i="1"/>
  <c r="EJ206" i="1" s="1"/>
  <c r="EL206" i="1" s="1"/>
  <c r="EH255" i="1"/>
  <c r="EJ255" i="1" s="1"/>
  <c r="EL255" i="1" s="1"/>
  <c r="EH198" i="1"/>
  <c r="EJ198" i="1" s="1"/>
  <c r="EL198" i="1" s="1"/>
  <c r="EH194" i="1"/>
  <c r="EJ194" i="1" s="1"/>
  <c r="EL194" i="1" s="1"/>
  <c r="EH190" i="1"/>
  <c r="EJ190" i="1" s="1"/>
  <c r="EL190" i="1" s="1"/>
  <c r="EH182" i="1"/>
  <c r="EJ182" i="1" s="1"/>
  <c r="EL182" i="1" s="1"/>
  <c r="EH178" i="1"/>
  <c r="EJ178" i="1" s="1"/>
  <c r="EL178" i="1" s="1"/>
  <c r="EH174" i="1"/>
  <c r="EJ174" i="1" s="1"/>
  <c r="EL174" i="1" s="1"/>
  <c r="EH170" i="1"/>
  <c r="EJ170" i="1" s="1"/>
  <c r="EL170" i="1" s="1"/>
  <c r="EH166" i="1"/>
  <c r="EJ166" i="1" s="1"/>
  <c r="EL166" i="1" s="1"/>
  <c r="EH161" i="1"/>
  <c r="EJ161" i="1" s="1"/>
  <c r="EL161" i="1" s="1"/>
  <c r="EH157" i="1"/>
  <c r="EJ157" i="1" s="1"/>
  <c r="EL157" i="1" s="1"/>
  <c r="EH149" i="1"/>
  <c r="EJ149" i="1" s="1"/>
  <c r="EL149" i="1" s="1"/>
  <c r="EH145" i="1"/>
  <c r="EJ145" i="1" s="1"/>
  <c r="EL145" i="1" s="1"/>
  <c r="EH141" i="1"/>
  <c r="EJ141" i="1" s="1"/>
  <c r="EL141" i="1" s="1"/>
  <c r="EH137" i="1"/>
  <c r="EJ137" i="1" s="1"/>
  <c r="EL137" i="1" s="1"/>
  <c r="EH133" i="1"/>
  <c r="EJ133" i="1" s="1"/>
  <c r="EL133" i="1" s="1"/>
  <c r="EH128" i="1"/>
  <c r="EJ128" i="1" s="1"/>
  <c r="EL128" i="1" s="1"/>
  <c r="EH123" i="1"/>
  <c r="EJ123" i="1" s="1"/>
  <c r="EL123" i="1" s="1"/>
  <c r="EH119" i="1"/>
  <c r="EJ119" i="1" s="1"/>
  <c r="EL119" i="1" s="1"/>
  <c r="EH115" i="1"/>
  <c r="EJ115" i="1" s="1"/>
  <c r="EL115" i="1" s="1"/>
  <c r="EH110" i="1"/>
  <c r="EJ110" i="1" s="1"/>
  <c r="EL110" i="1" s="1"/>
  <c r="EH106" i="1"/>
  <c r="EJ106" i="1" s="1"/>
  <c r="EL106" i="1" s="1"/>
  <c r="EH102" i="1"/>
  <c r="EJ102" i="1" s="1"/>
  <c r="EL102" i="1" s="1"/>
  <c r="EH98" i="1"/>
  <c r="EJ98" i="1" s="1"/>
  <c r="EL98" i="1" s="1"/>
  <c r="EH94" i="1"/>
  <c r="EJ94" i="1" s="1"/>
  <c r="EL94" i="1" s="1"/>
  <c r="EH163" i="1"/>
  <c r="EJ163" i="1" s="1"/>
  <c r="EL163" i="1" s="1"/>
  <c r="EH86" i="1"/>
  <c r="EJ86" i="1" s="1"/>
  <c r="EL86" i="1" s="1"/>
  <c r="EH82" i="1"/>
  <c r="EJ82" i="1" s="1"/>
  <c r="EL82" i="1" s="1"/>
  <c r="EH78" i="1"/>
  <c r="EJ78" i="1" s="1"/>
  <c r="EL78" i="1" s="1"/>
  <c r="EH74" i="1"/>
  <c r="EJ74" i="1" s="1"/>
  <c r="EL74" i="1" s="1"/>
  <c r="EH184" i="1"/>
  <c r="EJ184" i="1" s="1"/>
  <c r="EL184" i="1" s="1"/>
  <c r="EH127" i="1"/>
  <c r="EJ127" i="1" s="1"/>
  <c r="EL127" i="1" s="1"/>
  <c r="EH61" i="1"/>
  <c r="EJ61" i="1" s="1"/>
  <c r="EL61" i="1" s="1"/>
  <c r="EH57" i="1"/>
  <c r="EJ57" i="1" s="1"/>
  <c r="EL57" i="1" s="1"/>
  <c r="EH52" i="1"/>
  <c r="EJ52" i="1" s="1"/>
  <c r="EL52" i="1" s="1"/>
  <c r="EH48" i="1"/>
  <c r="EJ48" i="1" s="1"/>
  <c r="EL48" i="1" s="1"/>
  <c r="EH44" i="1"/>
  <c r="EJ44" i="1" s="1"/>
  <c r="EL44" i="1" s="1"/>
  <c r="EH40" i="1"/>
  <c r="EJ40" i="1" s="1"/>
  <c r="EL40" i="1" s="1"/>
  <c r="EH36" i="1"/>
  <c r="EJ36" i="1" s="1"/>
  <c r="EL36" i="1" s="1"/>
  <c r="EH31" i="1"/>
  <c r="EJ31" i="1" s="1"/>
  <c r="EL31" i="1" s="1"/>
  <c r="EH27" i="1"/>
  <c r="EJ27" i="1" s="1"/>
  <c r="EL27" i="1" s="1"/>
  <c r="EH23" i="1"/>
  <c r="EJ23" i="1" s="1"/>
  <c r="EL23" i="1" s="1"/>
  <c r="EH271" i="1"/>
  <c r="EJ271" i="1" s="1"/>
  <c r="EL271" i="1" s="1"/>
  <c r="EH268" i="1"/>
  <c r="EJ268" i="1" s="1"/>
  <c r="EL268" i="1" s="1"/>
  <c r="EH264" i="1"/>
  <c r="EJ264" i="1" s="1"/>
  <c r="EL264" i="1" s="1"/>
  <c r="EH260" i="1"/>
  <c r="EJ260" i="1" s="1"/>
  <c r="EL260" i="1" s="1"/>
  <c r="EH256" i="1"/>
  <c r="EJ256" i="1" s="1"/>
  <c r="EL256" i="1" s="1"/>
  <c r="EH252" i="1"/>
  <c r="EJ252" i="1" s="1"/>
  <c r="EL252" i="1" s="1"/>
  <c r="EH248" i="1"/>
  <c r="EJ248" i="1" s="1"/>
  <c r="EL248" i="1" s="1"/>
  <c r="EH243" i="1"/>
  <c r="EJ243" i="1" s="1"/>
  <c r="EL243" i="1" s="1"/>
  <c r="EH239" i="1"/>
  <c r="EJ239" i="1" s="1"/>
  <c r="EL239" i="1" s="1"/>
  <c r="EH233" i="1"/>
  <c r="EJ233" i="1" s="1"/>
  <c r="EL233" i="1" s="1"/>
  <c r="EH229" i="1"/>
  <c r="EJ229" i="1" s="1"/>
  <c r="EL229" i="1" s="1"/>
  <c r="EH225" i="1"/>
  <c r="EJ225" i="1" s="1"/>
  <c r="EL225" i="1" s="1"/>
  <c r="EH221" i="1"/>
  <c r="EJ221" i="1" s="1"/>
  <c r="EL221" i="1" s="1"/>
  <c r="EH217" i="1"/>
  <c r="EJ217" i="1" s="1"/>
  <c r="EL217" i="1" s="1"/>
  <c r="EH213" i="1"/>
  <c r="EJ213" i="1" s="1"/>
  <c r="EL213" i="1" s="1"/>
  <c r="EH205" i="1"/>
  <c r="EJ205" i="1" s="1"/>
  <c r="EL205" i="1" s="1"/>
  <c r="EH201" i="1"/>
  <c r="EJ201" i="1" s="1"/>
  <c r="EL201" i="1" s="1"/>
  <c r="EH197" i="1"/>
  <c r="EJ197" i="1" s="1"/>
  <c r="EL197" i="1" s="1"/>
  <c r="EH193" i="1"/>
  <c r="EJ193" i="1" s="1"/>
  <c r="EL193" i="1" s="1"/>
  <c r="EH189" i="1"/>
  <c r="EJ189" i="1" s="1"/>
  <c r="EL189" i="1" s="1"/>
  <c r="EH185" i="1"/>
  <c r="EJ185" i="1" s="1"/>
  <c r="EL185" i="1" s="1"/>
  <c r="EH181" i="1"/>
  <c r="EJ181" i="1" s="1"/>
  <c r="EL181" i="1" s="1"/>
  <c r="EH177" i="1"/>
  <c r="EJ177" i="1" s="1"/>
  <c r="EL177" i="1" s="1"/>
  <c r="EH173" i="1"/>
  <c r="EJ173" i="1" s="1"/>
  <c r="EL173" i="1" s="1"/>
  <c r="EH169" i="1"/>
  <c r="EJ169" i="1" s="1"/>
  <c r="EL169" i="1" s="1"/>
  <c r="EH165" i="1"/>
  <c r="EJ165" i="1" s="1"/>
  <c r="EL165" i="1" s="1"/>
  <c r="EH160" i="1"/>
  <c r="EJ160" i="1" s="1"/>
  <c r="EL160" i="1" s="1"/>
  <c r="EH156" i="1"/>
  <c r="EJ156" i="1" s="1"/>
  <c r="EL156" i="1" s="1"/>
  <c r="EH152" i="1"/>
  <c r="EJ152" i="1" s="1"/>
  <c r="EL152" i="1" s="1"/>
  <c r="EH148" i="1"/>
  <c r="EJ148" i="1" s="1"/>
  <c r="EL148" i="1" s="1"/>
  <c r="EH144" i="1"/>
  <c r="EJ144" i="1" s="1"/>
  <c r="EL144" i="1" s="1"/>
  <c r="EH140" i="1"/>
  <c r="EJ140" i="1" s="1"/>
  <c r="EL140" i="1" s="1"/>
  <c r="EH136" i="1"/>
  <c r="EJ136" i="1" s="1"/>
  <c r="EL136" i="1" s="1"/>
  <c r="EH131" i="1"/>
  <c r="EJ131" i="1" s="1"/>
  <c r="EL131" i="1" s="1"/>
  <c r="EH126" i="1"/>
  <c r="EJ126" i="1" s="1"/>
  <c r="EL126" i="1" s="1"/>
  <c r="EH122" i="1"/>
  <c r="EJ122" i="1" s="1"/>
  <c r="EL122" i="1" s="1"/>
  <c r="EH118" i="1"/>
  <c r="EJ118" i="1" s="1"/>
  <c r="EL118" i="1" s="1"/>
  <c r="EH109" i="1"/>
  <c r="EJ109" i="1" s="1"/>
  <c r="EL109" i="1" s="1"/>
  <c r="EH105" i="1"/>
  <c r="EJ105" i="1" s="1"/>
  <c r="EL105" i="1" s="1"/>
  <c r="EH101" i="1"/>
  <c r="EJ101" i="1" s="1"/>
  <c r="EL101" i="1" s="1"/>
  <c r="EH97" i="1"/>
  <c r="EJ97" i="1" s="1"/>
  <c r="EL97" i="1" s="1"/>
  <c r="EH93" i="1"/>
  <c r="EJ93" i="1" s="1"/>
  <c r="EL93" i="1" s="1"/>
  <c r="EH124" i="1"/>
  <c r="EJ124" i="1" s="1"/>
  <c r="EL124" i="1" s="1"/>
  <c r="EH85" i="1"/>
  <c r="EJ85" i="1" s="1"/>
  <c r="EL85" i="1" s="1"/>
  <c r="EH81" i="1"/>
  <c r="EJ81" i="1" s="1"/>
  <c r="EL81" i="1" s="1"/>
  <c r="EH77" i="1"/>
  <c r="EJ77" i="1" s="1"/>
  <c r="EL77" i="1" s="1"/>
  <c r="EH73" i="1"/>
  <c r="EJ73" i="1" s="1"/>
  <c r="EL73" i="1" s="1"/>
  <c r="EH69" i="1"/>
  <c r="EJ69" i="1" s="1"/>
  <c r="EL69" i="1" s="1"/>
  <c r="EH64" i="1"/>
  <c r="EJ64" i="1" s="1"/>
  <c r="EL64" i="1" s="1"/>
  <c r="EH60" i="1"/>
  <c r="EJ60" i="1" s="1"/>
  <c r="EL60" i="1" s="1"/>
  <c r="EH56" i="1"/>
  <c r="EJ56" i="1" s="1"/>
  <c r="EL56" i="1" s="1"/>
  <c r="EH51" i="1"/>
  <c r="EJ51" i="1" s="1"/>
  <c r="EL51" i="1" s="1"/>
  <c r="EH47" i="1"/>
  <c r="EJ47" i="1" s="1"/>
  <c r="EL47" i="1" s="1"/>
  <c r="EH43" i="1"/>
  <c r="EJ43" i="1" s="1"/>
  <c r="EL43" i="1" s="1"/>
  <c r="EH39" i="1"/>
  <c r="EJ39" i="1" s="1"/>
  <c r="EL39" i="1" s="1"/>
  <c r="EH34" i="1"/>
  <c r="EJ34" i="1" s="1"/>
  <c r="EL34" i="1" s="1"/>
  <c r="EH30" i="1"/>
  <c r="EJ30" i="1" s="1"/>
  <c r="EL30" i="1" s="1"/>
  <c r="EH26" i="1"/>
  <c r="EJ26" i="1" s="1"/>
  <c r="EL26" i="1" s="1"/>
  <c r="EH267" i="1"/>
  <c r="EJ267" i="1" s="1"/>
  <c r="EL267" i="1" s="1"/>
  <c r="EH263" i="1"/>
  <c r="EJ263" i="1" s="1"/>
  <c r="EL263" i="1" s="1"/>
  <c r="EH259" i="1"/>
  <c r="EJ259" i="1" s="1"/>
  <c r="EL259" i="1" s="1"/>
  <c r="EH202" i="1"/>
  <c r="EJ202" i="1" s="1"/>
  <c r="EL202" i="1" s="1"/>
  <c r="EH251" i="1"/>
  <c r="EJ251" i="1" s="1"/>
  <c r="EL251" i="1" s="1"/>
  <c r="EH247" i="1"/>
  <c r="EJ247" i="1" s="1"/>
  <c r="EL247" i="1" s="1"/>
  <c r="EH242" i="1"/>
  <c r="EJ242" i="1" s="1"/>
  <c r="EL242" i="1" s="1"/>
  <c r="EH237" i="1"/>
  <c r="EJ237" i="1" s="1"/>
  <c r="EL237" i="1" s="1"/>
  <c r="EH232" i="1"/>
  <c r="EJ232" i="1" s="1"/>
  <c r="EL232" i="1" s="1"/>
  <c r="EH228" i="1"/>
  <c r="EJ228" i="1" s="1"/>
  <c r="EL228" i="1" s="1"/>
  <c r="EH224" i="1"/>
  <c r="EJ224" i="1" s="1"/>
  <c r="EL224" i="1" s="1"/>
  <c r="EH220" i="1"/>
  <c r="EJ220" i="1" s="1"/>
  <c r="EL220" i="1" s="1"/>
  <c r="EH216" i="1"/>
  <c r="EJ216" i="1" s="1"/>
  <c r="EL216" i="1" s="1"/>
  <c r="EH212" i="1"/>
  <c r="EJ212" i="1" s="1"/>
  <c r="EL212" i="1" s="1"/>
  <c r="EH208" i="1"/>
  <c r="EJ208" i="1" s="1"/>
  <c r="EL208" i="1" s="1"/>
  <c r="EH204" i="1"/>
  <c r="EJ204" i="1" s="1"/>
  <c r="EL204" i="1" s="1"/>
  <c r="EH200" i="1"/>
  <c r="EJ200" i="1" s="1"/>
  <c r="EL200" i="1" s="1"/>
  <c r="EH196" i="1"/>
  <c r="EJ196" i="1" s="1"/>
  <c r="EL196" i="1" s="1"/>
  <c r="EH192" i="1"/>
  <c r="EJ192" i="1" s="1"/>
  <c r="EL192" i="1" s="1"/>
  <c r="EH188" i="1"/>
  <c r="EJ188" i="1" s="1"/>
  <c r="EL188" i="1" s="1"/>
  <c r="EH191" i="1"/>
  <c r="EJ191" i="1" s="1"/>
  <c r="EL191" i="1" s="1"/>
  <c r="EH176" i="1"/>
  <c r="EJ176" i="1" s="1"/>
  <c r="EL176" i="1" s="1"/>
  <c r="EH172" i="1"/>
  <c r="EJ172" i="1" s="1"/>
  <c r="EL172" i="1" s="1"/>
  <c r="EH168" i="1"/>
  <c r="EJ168" i="1" s="1"/>
  <c r="EL168" i="1" s="1"/>
  <c r="EH164" i="1"/>
  <c r="EJ164" i="1" s="1"/>
  <c r="EL164" i="1" s="1"/>
  <c r="EH159" i="1"/>
  <c r="EJ159" i="1" s="1"/>
  <c r="EL159" i="1" s="1"/>
  <c r="EH92" i="1"/>
  <c r="EJ92" i="1" s="1"/>
  <c r="EL92" i="1" s="1"/>
  <c r="EH151" i="1"/>
  <c r="EJ151" i="1" s="1"/>
  <c r="EL151" i="1" s="1"/>
  <c r="EH147" i="1"/>
  <c r="EJ147" i="1" s="1"/>
  <c r="EL147" i="1" s="1"/>
  <c r="EH143" i="1"/>
  <c r="EJ143" i="1" s="1"/>
  <c r="EL143" i="1" s="1"/>
  <c r="EH139" i="1"/>
  <c r="EJ139" i="1" s="1"/>
  <c r="EL139" i="1" s="1"/>
  <c r="EH135" i="1"/>
  <c r="EJ135" i="1" s="1"/>
  <c r="EL135" i="1" s="1"/>
  <c r="EH130" i="1"/>
  <c r="EJ130" i="1" s="1"/>
  <c r="EL130" i="1" s="1"/>
  <c r="EH125" i="1"/>
  <c r="EJ125" i="1" s="1"/>
  <c r="EL125" i="1" s="1"/>
  <c r="EH117" i="1"/>
  <c r="EJ117" i="1" s="1"/>
  <c r="EL117" i="1" s="1"/>
  <c r="EH112" i="1"/>
  <c r="EJ112" i="1" s="1"/>
  <c r="EL112" i="1" s="1"/>
  <c r="EH108" i="1"/>
  <c r="EJ108" i="1" s="1"/>
  <c r="EL108" i="1" s="1"/>
  <c r="EH104" i="1"/>
  <c r="EJ104" i="1" s="1"/>
  <c r="EL104" i="1" s="1"/>
  <c r="EH100" i="1"/>
  <c r="EJ100" i="1" s="1"/>
  <c r="EL100" i="1" s="1"/>
  <c r="EH96" i="1"/>
  <c r="EJ96" i="1" s="1"/>
  <c r="EL96" i="1" s="1"/>
  <c r="EH88" i="1"/>
  <c r="EJ88" i="1" s="1"/>
  <c r="EL88" i="1" s="1"/>
  <c r="EH84" i="1"/>
  <c r="EJ84" i="1" s="1"/>
  <c r="EL84" i="1" s="1"/>
  <c r="EH80" i="1"/>
  <c r="EJ80" i="1" s="1"/>
  <c r="EL80" i="1" s="1"/>
  <c r="EH76" i="1"/>
  <c r="EJ76" i="1" s="1"/>
  <c r="EL76" i="1" s="1"/>
  <c r="EH72" i="1"/>
  <c r="EJ72" i="1" s="1"/>
  <c r="EL72" i="1" s="1"/>
  <c r="EH68" i="1"/>
  <c r="EJ68" i="1" s="1"/>
  <c r="EL68" i="1" s="1"/>
  <c r="EH63" i="1"/>
  <c r="EJ63" i="1" s="1"/>
  <c r="EL63" i="1" s="1"/>
  <c r="EH59" i="1"/>
  <c r="EJ59" i="1" s="1"/>
  <c r="EL59" i="1" s="1"/>
  <c r="EH54" i="1"/>
  <c r="EJ54" i="1" s="1"/>
  <c r="EL54" i="1" s="1"/>
  <c r="EH50" i="1"/>
  <c r="EJ50" i="1" s="1"/>
  <c r="EL50" i="1" s="1"/>
  <c r="EH46" i="1"/>
  <c r="EJ46" i="1" s="1"/>
  <c r="EL46" i="1" s="1"/>
  <c r="EH42" i="1"/>
  <c r="EJ42" i="1" s="1"/>
  <c r="EL42" i="1" s="1"/>
  <c r="EH38" i="1"/>
  <c r="EJ38" i="1" s="1"/>
  <c r="EL38" i="1" s="1"/>
  <c r="EH33" i="1"/>
  <c r="EJ33" i="1" s="1"/>
  <c r="EL33" i="1" s="1"/>
  <c r="EH29" i="1"/>
  <c r="EJ29" i="1" s="1"/>
  <c r="EL29" i="1" s="1"/>
  <c r="EH25" i="1"/>
  <c r="EJ25" i="1" s="1"/>
  <c r="EL25" i="1" s="1"/>
  <c r="EH270" i="1"/>
  <c r="EJ270" i="1" s="1"/>
  <c r="EL270" i="1" s="1"/>
  <c r="EH266" i="1"/>
  <c r="EJ266" i="1" s="1"/>
  <c r="EL266" i="1" s="1"/>
  <c r="EH262" i="1"/>
  <c r="EJ262" i="1" s="1"/>
  <c r="EL262" i="1" s="1"/>
  <c r="EH258" i="1"/>
  <c r="EJ258" i="1" s="1"/>
  <c r="EL258" i="1" s="1"/>
  <c r="EH254" i="1"/>
  <c r="EJ254" i="1" s="1"/>
  <c r="EL254" i="1" s="1"/>
  <c r="EH250" i="1"/>
  <c r="EJ250" i="1" s="1"/>
  <c r="EL250" i="1" s="1"/>
  <c r="EH246" i="1"/>
  <c r="EJ246" i="1" s="1"/>
  <c r="EL246" i="1" s="1"/>
  <c r="EH241" i="1"/>
  <c r="EJ241" i="1" s="1"/>
  <c r="EL241" i="1" s="1"/>
  <c r="EH235" i="1"/>
  <c r="EJ235" i="1" s="1"/>
  <c r="EL235" i="1" s="1"/>
  <c r="EH231" i="1"/>
  <c r="EJ231" i="1" s="1"/>
  <c r="EL231" i="1" s="1"/>
  <c r="EH227" i="1"/>
  <c r="EJ227" i="1" s="1"/>
  <c r="EL227" i="1" s="1"/>
  <c r="EH223" i="1"/>
  <c r="EJ223" i="1" s="1"/>
  <c r="EL223" i="1" s="1"/>
  <c r="EH219" i="1"/>
  <c r="EJ219" i="1" s="1"/>
  <c r="EL219" i="1" s="1"/>
  <c r="EH215" i="1"/>
  <c r="EJ215" i="1" s="1"/>
  <c r="EL215" i="1" s="1"/>
  <c r="EH211" i="1"/>
  <c r="EJ211" i="1" s="1"/>
  <c r="EL211" i="1" s="1"/>
  <c r="EH207" i="1"/>
  <c r="EJ207" i="1" s="1"/>
  <c r="EL207" i="1" s="1"/>
  <c r="EH203" i="1"/>
  <c r="EJ203" i="1" s="1"/>
  <c r="EL203" i="1" s="1"/>
  <c r="EH199" i="1"/>
  <c r="EJ199" i="1" s="1"/>
  <c r="EL199" i="1" s="1"/>
  <c r="EH195" i="1"/>
  <c r="EJ195" i="1" s="1"/>
  <c r="EL195" i="1" s="1"/>
  <c r="EH35" i="1"/>
  <c r="EJ35" i="1" s="1"/>
  <c r="EL35" i="1" s="1"/>
  <c r="EH187" i="1"/>
  <c r="EJ187" i="1" s="1"/>
  <c r="EL187" i="1" s="1"/>
  <c r="EH183" i="1"/>
  <c r="EJ183" i="1" s="1"/>
  <c r="EL183" i="1" s="1"/>
  <c r="EH179" i="1"/>
  <c r="EJ179" i="1" s="1"/>
  <c r="EL179" i="1" s="1"/>
  <c r="EH175" i="1"/>
  <c r="EJ175" i="1" s="1"/>
  <c r="EL175" i="1" s="1"/>
  <c r="EH171" i="1"/>
  <c r="EJ171" i="1" s="1"/>
  <c r="EL171" i="1" s="1"/>
  <c r="EH167" i="1"/>
  <c r="EJ167" i="1" s="1"/>
  <c r="EL167" i="1" s="1"/>
  <c r="EH162" i="1"/>
  <c r="EJ162" i="1" s="1"/>
  <c r="EL162" i="1" s="1"/>
  <c r="EH158" i="1"/>
  <c r="EJ158" i="1" s="1"/>
  <c r="EL158" i="1" s="1"/>
  <c r="EH154" i="1"/>
  <c r="EJ154" i="1" s="1"/>
  <c r="EL154" i="1" s="1"/>
  <c r="EH150" i="1"/>
  <c r="EJ150" i="1" s="1"/>
  <c r="EL150" i="1" s="1"/>
  <c r="EH146" i="1"/>
  <c r="EJ146" i="1" s="1"/>
  <c r="EL146" i="1" s="1"/>
  <c r="EH142" i="1"/>
  <c r="EJ142" i="1" s="1"/>
  <c r="EL142" i="1" s="1"/>
  <c r="EH138" i="1"/>
  <c r="EJ138" i="1" s="1"/>
  <c r="EL138" i="1" s="1"/>
  <c r="EH134" i="1"/>
  <c r="EJ134" i="1" s="1"/>
  <c r="EL134" i="1" s="1"/>
  <c r="EH129" i="1"/>
  <c r="EJ129" i="1" s="1"/>
  <c r="EL129" i="1" s="1"/>
  <c r="EH116" i="1"/>
  <c r="EJ116" i="1" s="1"/>
  <c r="EL116" i="1" s="1"/>
  <c r="EH111" i="1"/>
  <c r="EJ111" i="1" s="1"/>
  <c r="EL111" i="1" s="1"/>
  <c r="EH107" i="1"/>
  <c r="EJ107" i="1" s="1"/>
  <c r="EL107" i="1" s="1"/>
  <c r="EH103" i="1"/>
  <c r="EJ103" i="1" s="1"/>
  <c r="EL103" i="1" s="1"/>
  <c r="EH99" i="1"/>
  <c r="EJ99" i="1" s="1"/>
  <c r="EL99" i="1" s="1"/>
  <c r="EH95" i="1"/>
  <c r="EJ95" i="1" s="1"/>
  <c r="EL95" i="1" s="1"/>
  <c r="EH91" i="1"/>
  <c r="EJ91" i="1" s="1"/>
  <c r="EL91" i="1" s="1"/>
  <c r="EH87" i="1"/>
  <c r="EJ87" i="1" s="1"/>
  <c r="EL87" i="1" s="1"/>
  <c r="EH83" i="1"/>
  <c r="EJ83" i="1" s="1"/>
  <c r="EL83" i="1" s="1"/>
  <c r="EH79" i="1"/>
  <c r="EJ79" i="1" s="1"/>
  <c r="EL79" i="1" s="1"/>
  <c r="EH75" i="1"/>
  <c r="EJ75" i="1" s="1"/>
  <c r="EL75" i="1" s="1"/>
  <c r="EH71" i="1"/>
  <c r="EJ71" i="1" s="1"/>
  <c r="EL71" i="1" s="1"/>
  <c r="EH66" i="1"/>
  <c r="EJ66" i="1" s="1"/>
  <c r="EL66" i="1" s="1"/>
  <c r="EH62" i="1"/>
  <c r="EJ62" i="1" s="1"/>
  <c r="EL62" i="1" s="1"/>
  <c r="EH58" i="1"/>
  <c r="EJ58" i="1" s="1"/>
  <c r="EL58" i="1" s="1"/>
  <c r="EH53" i="1"/>
  <c r="EJ53" i="1" s="1"/>
  <c r="EL53" i="1" s="1"/>
  <c r="EH49" i="1"/>
  <c r="EJ49" i="1" s="1"/>
  <c r="EL49" i="1" s="1"/>
  <c r="EH45" i="1"/>
  <c r="EJ45" i="1" s="1"/>
  <c r="EL45" i="1" s="1"/>
  <c r="EH41" i="1"/>
  <c r="EJ41" i="1" s="1"/>
  <c r="EL41" i="1" s="1"/>
  <c r="EH37" i="1"/>
  <c r="EJ37" i="1" s="1"/>
  <c r="EL37" i="1" s="1"/>
  <c r="EH32" i="1"/>
  <c r="EJ32" i="1" s="1"/>
  <c r="EL32" i="1" s="1"/>
  <c r="EH28" i="1"/>
  <c r="EJ28" i="1" s="1"/>
  <c r="EL28" i="1" s="1"/>
  <c r="EH24" i="1"/>
  <c r="EJ24" i="1" s="1"/>
  <c r="EL24" i="1" s="1"/>
  <c r="EH180" i="1"/>
  <c r="EJ180" i="1" s="1"/>
  <c r="EL180" i="1" s="1"/>
  <c r="EH153" i="1"/>
  <c r="EJ153" i="1" s="1"/>
  <c r="EL153" i="1" s="1"/>
  <c r="EH120" i="1"/>
  <c r="EJ120" i="1" s="1"/>
  <c r="EL120" i="1" s="1"/>
  <c r="EH114" i="1"/>
  <c r="EJ114" i="1" s="1"/>
  <c r="EL114" i="1" s="1"/>
  <c r="EH89" i="1"/>
  <c r="EJ89" i="1" s="1"/>
  <c r="EL89" i="1" s="1"/>
  <c r="EH70" i="1"/>
  <c r="EJ70" i="1" s="1"/>
  <c r="EL70" i="1" s="1"/>
  <c r="EH67" i="1"/>
  <c r="EJ67" i="1" s="1"/>
  <c r="EL67" i="1" s="1"/>
  <c r="EH19" i="1"/>
  <c r="EJ19" i="1" s="1"/>
  <c r="EL19" i="1" s="1"/>
  <c r="EJ155" i="1"/>
  <c r="EL155" i="1" s="1"/>
  <c r="DX256" i="1"/>
  <c r="DX244" i="1"/>
  <c r="DX224" i="1"/>
  <c r="DX204" i="1"/>
  <c r="DX192" i="1"/>
  <c r="DX172" i="1"/>
  <c r="DX160" i="1"/>
  <c r="DX141" i="1"/>
  <c r="DX129" i="1"/>
  <c r="DX109" i="1"/>
  <c r="DX97" i="1"/>
  <c r="DX93" i="1"/>
  <c r="DX124" i="1"/>
  <c r="DX85" i="1"/>
  <c r="DX81" i="1"/>
  <c r="DX77" i="1"/>
  <c r="DX73" i="1"/>
  <c r="DX69" i="1"/>
  <c r="DX127" i="1"/>
  <c r="DX61" i="1"/>
  <c r="DX57" i="1"/>
  <c r="DX53" i="1"/>
  <c r="DX49" i="1"/>
  <c r="DX45" i="1"/>
  <c r="DX41" i="1"/>
  <c r="DX37" i="1"/>
  <c r="DX33" i="1"/>
  <c r="DX29" i="1"/>
  <c r="DX25" i="1"/>
  <c r="DX21" i="1"/>
  <c r="DX17" i="1"/>
  <c r="DX13" i="1"/>
  <c r="DX9" i="1"/>
  <c r="DX271" i="1"/>
  <c r="DX268" i="1"/>
  <c r="DX264" i="1"/>
  <c r="DX257" i="1"/>
  <c r="DX253" i="1"/>
  <c r="DX245" i="1"/>
  <c r="DX241" i="1"/>
  <c r="DX233" i="1"/>
  <c r="DX225" i="1"/>
  <c r="DX217" i="1"/>
  <c r="DX114" i="1"/>
  <c r="DX201" i="1"/>
  <c r="DX197" i="1"/>
  <c r="DX189" i="1"/>
  <c r="DX181" i="1"/>
  <c r="DX173" i="1"/>
  <c r="DX165" i="1"/>
  <c r="DX157" i="1"/>
  <c r="DX146" i="1"/>
  <c r="DX138" i="1"/>
  <c r="DX130" i="1"/>
  <c r="DX122" i="1"/>
  <c r="DX118" i="1"/>
  <c r="DX110" i="1"/>
  <c r="DX106" i="1"/>
  <c r="DX98" i="1"/>
  <c r="DX94" i="1"/>
  <c r="DX163" i="1"/>
  <c r="DX86" i="1"/>
  <c r="DX82" i="1"/>
  <c r="DX78" i="1"/>
  <c r="DX74" i="1"/>
  <c r="DX184" i="1"/>
  <c r="DX66" i="1"/>
  <c r="DX62" i="1"/>
  <c r="DX54" i="1"/>
  <c r="DX46" i="1"/>
  <c r="DX38" i="1"/>
  <c r="DX30" i="1"/>
  <c r="DX22" i="1"/>
  <c r="DX186" i="1"/>
  <c r="DX267" i="1"/>
  <c r="DX252" i="1"/>
  <c r="DX236" i="1"/>
  <c r="DX228" i="1"/>
  <c r="DX220" i="1"/>
  <c r="DX208" i="1"/>
  <c r="DX196" i="1"/>
  <c r="DX191" i="1"/>
  <c r="DX176" i="1"/>
  <c r="DX168" i="1"/>
  <c r="DX120" i="1"/>
  <c r="DX145" i="1"/>
  <c r="DX137" i="1"/>
  <c r="DX125" i="1"/>
  <c r="DX113" i="1"/>
  <c r="DX101" i="1"/>
  <c r="DX269" i="1"/>
  <c r="DX266" i="1"/>
  <c r="DX263" i="1"/>
  <c r="DX259" i="1"/>
  <c r="DX202" i="1"/>
  <c r="DX251" i="1"/>
  <c r="DX247" i="1"/>
  <c r="DX243" i="1"/>
  <c r="DX239" i="1"/>
  <c r="DX235" i="1"/>
  <c r="DX231" i="1"/>
  <c r="DX227" i="1"/>
  <c r="DX223" i="1"/>
  <c r="DX219" i="1"/>
  <c r="DX215" i="1"/>
  <c r="DX211" i="1"/>
  <c r="DX207" i="1"/>
  <c r="DX203" i="1"/>
  <c r="DX199" i="1"/>
  <c r="DX195" i="1"/>
  <c r="DX35" i="1"/>
  <c r="DX187" i="1"/>
  <c r="DX183" i="1"/>
  <c r="DX179" i="1"/>
  <c r="DX175" i="1"/>
  <c r="DX171" i="1"/>
  <c r="DX167" i="1"/>
  <c r="DX65" i="1"/>
  <c r="DX159" i="1"/>
  <c r="DX92" i="1"/>
  <c r="DX152" i="1"/>
  <c r="DX148" i="1"/>
  <c r="DX144" i="1"/>
  <c r="DX140" i="1"/>
  <c r="DX136" i="1"/>
  <c r="DX132" i="1"/>
  <c r="DX128" i="1"/>
  <c r="DX153" i="1"/>
  <c r="DX67" i="1"/>
  <c r="DX116" i="1"/>
  <c r="DX112" i="1"/>
  <c r="DX108" i="1"/>
  <c r="DX104" i="1"/>
  <c r="DX100" i="1"/>
  <c r="DX96" i="1"/>
  <c r="DX88" i="1"/>
  <c r="DX84" i="1"/>
  <c r="DX80" i="1"/>
  <c r="DX76" i="1"/>
  <c r="DX72" i="1"/>
  <c r="DX68" i="1"/>
  <c r="DX64" i="1"/>
  <c r="DX60" i="1"/>
  <c r="DX56" i="1"/>
  <c r="DX52" i="1"/>
  <c r="DX48" i="1"/>
  <c r="DX44" i="1"/>
  <c r="DX40" i="1"/>
  <c r="DX36" i="1"/>
  <c r="DX32" i="1"/>
  <c r="DX28" i="1"/>
  <c r="DX24" i="1"/>
  <c r="DX20" i="1"/>
  <c r="DX16" i="1"/>
  <c r="DX12" i="1"/>
  <c r="DX261" i="1"/>
  <c r="DX249" i="1"/>
  <c r="DX237" i="1"/>
  <c r="DX229" i="1"/>
  <c r="DX221" i="1"/>
  <c r="DX213" i="1"/>
  <c r="DX205" i="1"/>
  <c r="DX193" i="1"/>
  <c r="DX185" i="1"/>
  <c r="DX177" i="1"/>
  <c r="DX169" i="1"/>
  <c r="DX161" i="1"/>
  <c r="DX150" i="1"/>
  <c r="DX142" i="1"/>
  <c r="DX134" i="1"/>
  <c r="DX126" i="1"/>
  <c r="DX89" i="1"/>
  <c r="DX102" i="1"/>
  <c r="DX58" i="1"/>
  <c r="DX50" i="1"/>
  <c r="DX42" i="1"/>
  <c r="DX34" i="1"/>
  <c r="DX26" i="1"/>
  <c r="DX18" i="1"/>
  <c r="DX10" i="1"/>
  <c r="DX270" i="1"/>
  <c r="DX260" i="1"/>
  <c r="DX248" i="1"/>
  <c r="DX240" i="1"/>
  <c r="DX232" i="1"/>
  <c r="DX216" i="1"/>
  <c r="DX212" i="1"/>
  <c r="DX200" i="1"/>
  <c r="DX188" i="1"/>
  <c r="DX155" i="1"/>
  <c r="DX164" i="1"/>
  <c r="DX156" i="1"/>
  <c r="DX149" i="1"/>
  <c r="DX133" i="1"/>
  <c r="DX70" i="1"/>
  <c r="DX117" i="1"/>
  <c r="DX105" i="1"/>
  <c r="DX265" i="1"/>
  <c r="DX262" i="1"/>
  <c r="DX258" i="1"/>
  <c r="DX254" i="1"/>
  <c r="DX250" i="1"/>
  <c r="DX246" i="1"/>
  <c r="DX242" i="1"/>
  <c r="DX238" i="1"/>
  <c r="DX234" i="1"/>
  <c r="DX230" i="1"/>
  <c r="DX226" i="1"/>
  <c r="DX222" i="1"/>
  <c r="DX218" i="1"/>
  <c r="DX214" i="1"/>
  <c r="DX210" i="1"/>
  <c r="DX206" i="1"/>
  <c r="DX255" i="1"/>
  <c r="DX198" i="1"/>
  <c r="DX194" i="1"/>
  <c r="DX190" i="1"/>
  <c r="DX19" i="1"/>
  <c r="DX182" i="1"/>
  <c r="DX178" i="1"/>
  <c r="DX174" i="1"/>
  <c r="DX170" i="1"/>
  <c r="DX166" i="1"/>
  <c r="DX162" i="1"/>
  <c r="DX158" i="1"/>
  <c r="DX154" i="1"/>
  <c r="DX151" i="1"/>
  <c r="DX147" i="1"/>
  <c r="DX143" i="1"/>
  <c r="DX139" i="1"/>
  <c r="DX135" i="1"/>
  <c r="DX131" i="1"/>
  <c r="DX14" i="1"/>
  <c r="DX123" i="1"/>
  <c r="DX119" i="1"/>
  <c r="DX115" i="1"/>
  <c r="DX111" i="1"/>
  <c r="DX107" i="1"/>
  <c r="DX103" i="1"/>
  <c r="DX99" i="1"/>
  <c r="DX95" i="1"/>
  <c r="DX91" i="1"/>
  <c r="DX87" i="1"/>
  <c r="DX83" i="1"/>
  <c r="DX79" i="1"/>
  <c r="DX75" i="1"/>
  <c r="DX71" i="1"/>
  <c r="DX121" i="1"/>
  <c r="DX63" i="1"/>
  <c r="DX59" i="1"/>
  <c r="DX55" i="1"/>
  <c r="DX51" i="1"/>
  <c r="DX47" i="1"/>
  <c r="DX43" i="1"/>
  <c r="DX39" i="1"/>
  <c r="DX209" i="1"/>
  <c r="DX31" i="1"/>
  <c r="DX27" i="1"/>
  <c r="DX23" i="1"/>
  <c r="DX15" i="1"/>
  <c r="DX11" i="1"/>
  <c r="DX7" i="1"/>
  <c r="CT11" i="1" l="1"/>
  <c r="CN63" i="1"/>
  <c r="CN71" i="1"/>
  <c r="CT79" i="1"/>
  <c r="CN91" i="1"/>
  <c r="CN95" i="1"/>
  <c r="CN135" i="1"/>
  <c r="CT139" i="1"/>
  <c r="CT151" i="1"/>
  <c r="CT222" i="1"/>
  <c r="CT226" i="1"/>
  <c r="CT10" i="1"/>
  <c r="CN18" i="1"/>
  <c r="CN22" i="1"/>
  <c r="CN26" i="1"/>
  <c r="CN30" i="1"/>
  <c r="CT34" i="1"/>
  <c r="CN38" i="1"/>
  <c r="CT46" i="1"/>
  <c r="CT50" i="1"/>
  <c r="CT54" i="1"/>
  <c r="CN62" i="1"/>
  <c r="CN66" i="1"/>
  <c r="CT184" i="1"/>
  <c r="CT74" i="1"/>
  <c r="CT78" i="1"/>
  <c r="CN82" i="1"/>
  <c r="CT86" i="1"/>
  <c r="CN163" i="1"/>
  <c r="CT98" i="1"/>
  <c r="CT102" i="1"/>
  <c r="CT106" i="1"/>
  <c r="CT89" i="1"/>
  <c r="CT118" i="1"/>
  <c r="CT122" i="1"/>
  <c r="CT126" i="1"/>
  <c r="CT130" i="1"/>
  <c r="CN134" i="1"/>
  <c r="CT138" i="1"/>
  <c r="CN146" i="1"/>
  <c r="CN150" i="1"/>
  <c r="CN157" i="1"/>
  <c r="CN161" i="1"/>
  <c r="CT165" i="1"/>
  <c r="CN173" i="1"/>
  <c r="CT177" i="1"/>
  <c r="CT181" i="1"/>
  <c r="CN189" i="1"/>
  <c r="CT193" i="1"/>
  <c r="CT197" i="1"/>
  <c r="CT205" i="1"/>
  <c r="CN114" i="1"/>
  <c r="CN217" i="1"/>
  <c r="CT225" i="1"/>
  <c r="CN229" i="1"/>
  <c r="CN233" i="1"/>
  <c r="CT237" i="1"/>
  <c r="CT241" i="1"/>
  <c r="CN245" i="1"/>
  <c r="CT249" i="1"/>
  <c r="CT253" i="1"/>
  <c r="CT257" i="1"/>
  <c r="CN261" i="1"/>
  <c r="CT264" i="1"/>
  <c r="CT268" i="1"/>
  <c r="CN271" i="1"/>
  <c r="CT7" i="1"/>
  <c r="CT15" i="1"/>
  <c r="CT23" i="1"/>
  <c r="CN31" i="1"/>
  <c r="CN39" i="1"/>
  <c r="CT51" i="1"/>
  <c r="CN75" i="1"/>
  <c r="CN99" i="1"/>
  <c r="CN107" i="1"/>
  <c r="CT111" i="1"/>
  <c r="CN119" i="1"/>
  <c r="CN14" i="1"/>
  <c r="CN147" i="1"/>
  <c r="CT166" i="1"/>
  <c r="CN174" i="1"/>
  <c r="CN182" i="1"/>
  <c r="CT190" i="1"/>
  <c r="CN198" i="1"/>
  <c r="CT206" i="1"/>
  <c r="CT210" i="1"/>
  <c r="CT234" i="1"/>
  <c r="CN250" i="1"/>
  <c r="CN258" i="1"/>
  <c r="CT9" i="1"/>
  <c r="CT17" i="1"/>
  <c r="CN25" i="1"/>
  <c r="CT33" i="1"/>
  <c r="CT37" i="1"/>
  <c r="CT69" i="1"/>
  <c r="CT77" i="1"/>
  <c r="CN85" i="1"/>
  <c r="CT113" i="1"/>
  <c r="CN70" i="1"/>
  <c r="CT156" i="1"/>
  <c r="CN168" i="1"/>
  <c r="CN200" i="1"/>
  <c r="CT208" i="1"/>
  <c r="CT220" i="1"/>
  <c r="CT232" i="1"/>
  <c r="CT252" i="1"/>
  <c r="CN267" i="1"/>
  <c r="CN90" i="1"/>
  <c r="CT209" i="1"/>
  <c r="CN43" i="1"/>
  <c r="CN47" i="1"/>
  <c r="CT55" i="1"/>
  <c r="CT59" i="1"/>
  <c r="CN83" i="1"/>
  <c r="CN131" i="1"/>
  <c r="CT158" i="1"/>
  <c r="CN162" i="1"/>
  <c r="CT170" i="1"/>
  <c r="CT178" i="1"/>
  <c r="CN19" i="1"/>
  <c r="CN194" i="1"/>
  <c r="CT255" i="1"/>
  <c r="CT230" i="1"/>
  <c r="CT242" i="1"/>
  <c r="CT246" i="1"/>
  <c r="CT254" i="1"/>
  <c r="CT262" i="1"/>
  <c r="CN13" i="1"/>
  <c r="CT29" i="1"/>
  <c r="CT41" i="1"/>
  <c r="CN49" i="1"/>
  <c r="CN127" i="1"/>
  <c r="CN73" i="1"/>
  <c r="CN81" i="1"/>
  <c r="CN124" i="1"/>
  <c r="CN101" i="1"/>
  <c r="CN129" i="1"/>
  <c r="CN160" i="1"/>
  <c r="CN172" i="1"/>
  <c r="CT196" i="1"/>
  <c r="CN204" i="1"/>
  <c r="CT228" i="1"/>
  <c r="CN236" i="1"/>
  <c r="CN256" i="1"/>
  <c r="CN8" i="1"/>
  <c r="CN16" i="1"/>
  <c r="CN24" i="1"/>
  <c r="CN36" i="1"/>
  <c r="CN40" i="1"/>
  <c r="CN48" i="1"/>
  <c r="CN52" i="1"/>
  <c r="CN56" i="1"/>
  <c r="CN64" i="1"/>
  <c r="CN68" i="1"/>
  <c r="CN72" i="1"/>
  <c r="CN80" i="1"/>
  <c r="CN84" i="1"/>
  <c r="CT88" i="1"/>
  <c r="CT104" i="1"/>
  <c r="CN112" i="1"/>
  <c r="CT67" i="1"/>
  <c r="CT128" i="1"/>
  <c r="CT136" i="1"/>
  <c r="CN140" i="1"/>
  <c r="CN144" i="1"/>
  <c r="CN152" i="1"/>
  <c r="CN65" i="1"/>
  <c r="CN167" i="1"/>
  <c r="CN171" i="1"/>
  <c r="CN175" i="1"/>
  <c r="CN179" i="1"/>
  <c r="CN183" i="1"/>
  <c r="CN35" i="1"/>
  <c r="CN195" i="1"/>
  <c r="CN199" i="1"/>
  <c r="CN211" i="1"/>
  <c r="CT215" i="1"/>
  <c r="CN231" i="1"/>
  <c r="CT239" i="1"/>
  <c r="CN247" i="1"/>
  <c r="CN251" i="1"/>
  <c r="CN202" i="1"/>
  <c r="CN259" i="1"/>
  <c r="CN263" i="1"/>
  <c r="CN266" i="1"/>
  <c r="CT269" i="1"/>
  <c r="CN197" i="1" l="1"/>
  <c r="CN184" i="1"/>
  <c r="CN226" i="1"/>
  <c r="CN50" i="1"/>
  <c r="CN77" i="1"/>
  <c r="CN17" i="1"/>
  <c r="CN54" i="1"/>
  <c r="CN46" i="1"/>
  <c r="CN34" i="1"/>
  <c r="CN79" i="1"/>
  <c r="CN11" i="1"/>
  <c r="CN205" i="1"/>
  <c r="CN78" i="1"/>
  <c r="CN210" i="1"/>
  <c r="CN23" i="1"/>
  <c r="CN252" i="1"/>
  <c r="CN151" i="1"/>
  <c r="CN190" i="1"/>
  <c r="CN118" i="1"/>
  <c r="CN208" i="1"/>
  <c r="CN51" i="1"/>
  <c r="CN262" i="1"/>
  <c r="CN242" i="1"/>
  <c r="CN158" i="1"/>
  <c r="CN106" i="1"/>
  <c r="CN98" i="1"/>
  <c r="CN170" i="1"/>
  <c r="CN122" i="1"/>
  <c r="CN89" i="1"/>
  <c r="CN255" i="1"/>
  <c r="CN225" i="1"/>
  <c r="CN138" i="1"/>
  <c r="CN130" i="1"/>
  <c r="CN102" i="1"/>
  <c r="CT13" i="1"/>
  <c r="CN249" i="1"/>
  <c r="CN156" i="1"/>
  <c r="CN264" i="1"/>
  <c r="CN257" i="1"/>
  <c r="CN10" i="1"/>
  <c r="CN59" i="1"/>
  <c r="CN139" i="1"/>
  <c r="CT14" i="1"/>
  <c r="CT107" i="1"/>
  <c r="CT233" i="1"/>
  <c r="CN181" i="1"/>
  <c r="CN241" i="1"/>
  <c r="CN165" i="1"/>
  <c r="CN206" i="1"/>
  <c r="CN220" i="1"/>
  <c r="CT263" i="1"/>
  <c r="CT247" i="1"/>
  <c r="CT231" i="1"/>
  <c r="CT194" i="1"/>
  <c r="CT85" i="1"/>
  <c r="CN7" i="1"/>
  <c r="CN136" i="1"/>
  <c r="CN104" i="1"/>
  <c r="CN67" i="1"/>
  <c r="CN193" i="1"/>
  <c r="CN177" i="1"/>
  <c r="CT72" i="1"/>
  <c r="CT56" i="1"/>
  <c r="CT40" i="1"/>
  <c r="CT24" i="1"/>
  <c r="CT8" i="1"/>
  <c r="CT160" i="1"/>
  <c r="CT129" i="1"/>
  <c r="CN33" i="1"/>
  <c r="CT90" i="1"/>
  <c r="CT182" i="1"/>
  <c r="CT147" i="1"/>
  <c r="CT39" i="1"/>
  <c r="CT189" i="1"/>
  <c r="CT173" i="1"/>
  <c r="CT62" i="1"/>
  <c r="CT38" i="1"/>
  <c r="CT135" i="1"/>
  <c r="CN113" i="1"/>
  <c r="CT199" i="1"/>
  <c r="CT183" i="1"/>
  <c r="CT167" i="1"/>
  <c r="CT152" i="1"/>
  <c r="CN234" i="1"/>
  <c r="CT124" i="1"/>
  <c r="CT19" i="1"/>
  <c r="CN269" i="1"/>
  <c r="CN239" i="1"/>
  <c r="CN128" i="1"/>
  <c r="CN209" i="1"/>
  <c r="CN41" i="1"/>
  <c r="CN55" i="1"/>
  <c r="CT258" i="1"/>
  <c r="CN29" i="1"/>
  <c r="CR235" i="1"/>
  <c r="CS235" i="1"/>
  <c r="CO235" i="1"/>
  <c r="CP235" i="1"/>
  <c r="CR219" i="1"/>
  <c r="CS219" i="1"/>
  <c r="CO219" i="1"/>
  <c r="CP219" i="1"/>
  <c r="CR203" i="1"/>
  <c r="CS203" i="1"/>
  <c r="CO203" i="1"/>
  <c r="CP203" i="1"/>
  <c r="CR187" i="1"/>
  <c r="CS187" i="1"/>
  <c r="CO187" i="1"/>
  <c r="CP187" i="1"/>
  <c r="CR92" i="1"/>
  <c r="CS92" i="1"/>
  <c r="CO92" i="1"/>
  <c r="CP92" i="1"/>
  <c r="CR108" i="1"/>
  <c r="CS108" i="1"/>
  <c r="CO108" i="1"/>
  <c r="CP108" i="1"/>
  <c r="CR180" i="1"/>
  <c r="CS180" i="1"/>
  <c r="CO180" i="1"/>
  <c r="CP180" i="1"/>
  <c r="CR60" i="1"/>
  <c r="CS60" i="1"/>
  <c r="CO60" i="1"/>
  <c r="CP60" i="1"/>
  <c r="CR44" i="1"/>
  <c r="CS44" i="1"/>
  <c r="CO44" i="1"/>
  <c r="CP44" i="1"/>
  <c r="CS28" i="1"/>
  <c r="CO28" i="1"/>
  <c r="CP28" i="1"/>
  <c r="CR28" i="1"/>
  <c r="CS12" i="1"/>
  <c r="CO12" i="1"/>
  <c r="CR12" i="1"/>
  <c r="CP12" i="1"/>
  <c r="CS216" i="1"/>
  <c r="CO216" i="1"/>
  <c r="CP216" i="1"/>
  <c r="CR216" i="1"/>
  <c r="CS176" i="1"/>
  <c r="CO176" i="1"/>
  <c r="CP176" i="1"/>
  <c r="CR176" i="1"/>
  <c r="CS109" i="1"/>
  <c r="CO109" i="1"/>
  <c r="CP109" i="1"/>
  <c r="CR109" i="1"/>
  <c r="CS97" i="1"/>
  <c r="CR97" i="1"/>
  <c r="CO97" i="1"/>
  <c r="CP97" i="1"/>
  <c r="CR265" i="1"/>
  <c r="CS265" i="1"/>
  <c r="CO265" i="1"/>
  <c r="CP265" i="1"/>
  <c r="CR218" i="1"/>
  <c r="CS218" i="1"/>
  <c r="CO218" i="1"/>
  <c r="CP218" i="1"/>
  <c r="CS143" i="1"/>
  <c r="CR143" i="1"/>
  <c r="CO143" i="1"/>
  <c r="CP143" i="1"/>
  <c r="CS115" i="1"/>
  <c r="CO115" i="1"/>
  <c r="CR115" i="1"/>
  <c r="CP115" i="1"/>
  <c r="CS47" i="1"/>
  <c r="CR47" i="1"/>
  <c r="CO47" i="1"/>
  <c r="CP47" i="1"/>
  <c r="CR27" i="1"/>
  <c r="CS27" i="1"/>
  <c r="CO27" i="1"/>
  <c r="CP27" i="1"/>
  <c r="CS260" i="1"/>
  <c r="CP260" i="1"/>
  <c r="CO260" i="1"/>
  <c r="CR260" i="1"/>
  <c r="CS240" i="1"/>
  <c r="CP240" i="1"/>
  <c r="CR240" i="1"/>
  <c r="CO240" i="1"/>
  <c r="CR238" i="1"/>
  <c r="CS238" i="1"/>
  <c r="CO238" i="1"/>
  <c r="CP238" i="1"/>
  <c r="CR271" i="1"/>
  <c r="CS271" i="1"/>
  <c r="CO271" i="1"/>
  <c r="CP271" i="1"/>
  <c r="CP221" i="1"/>
  <c r="CR221" i="1"/>
  <c r="CS221" i="1"/>
  <c r="CO221" i="1"/>
  <c r="CP213" i="1"/>
  <c r="CR213" i="1"/>
  <c r="CO213" i="1"/>
  <c r="CS213" i="1"/>
  <c r="CR94" i="1"/>
  <c r="CS94" i="1"/>
  <c r="CP94" i="1"/>
  <c r="CO94" i="1"/>
  <c r="CR18" i="1"/>
  <c r="CS18" i="1"/>
  <c r="CP18" i="1"/>
  <c r="CO18" i="1"/>
  <c r="CR223" i="1"/>
  <c r="CS223" i="1"/>
  <c r="CO223" i="1"/>
  <c r="CP223" i="1"/>
  <c r="CT219" i="1"/>
  <c r="CN213" i="1"/>
  <c r="CR207" i="1"/>
  <c r="CS207" i="1"/>
  <c r="CO207" i="1"/>
  <c r="CP207" i="1"/>
  <c r="CT203" i="1"/>
  <c r="CT92" i="1"/>
  <c r="CR112" i="1"/>
  <c r="CO112" i="1"/>
  <c r="CP112" i="1"/>
  <c r="CS112" i="1"/>
  <c r="CT108" i="1"/>
  <c r="CR96" i="1"/>
  <c r="CO96" i="1"/>
  <c r="CP96" i="1"/>
  <c r="CS96" i="1"/>
  <c r="CT180" i="1"/>
  <c r="CR153" i="1"/>
  <c r="CS153" i="1"/>
  <c r="CO153" i="1"/>
  <c r="CP153" i="1"/>
  <c r="CR76" i="1"/>
  <c r="CS76" i="1"/>
  <c r="CO76" i="1"/>
  <c r="CP76" i="1"/>
  <c r="CS117" i="1"/>
  <c r="CO117" i="1"/>
  <c r="CP117" i="1"/>
  <c r="CR117" i="1"/>
  <c r="CS53" i="1"/>
  <c r="CO53" i="1"/>
  <c r="CP53" i="1"/>
  <c r="CR53" i="1"/>
  <c r="CS149" i="1"/>
  <c r="CO149" i="1"/>
  <c r="CP149" i="1"/>
  <c r="CR149" i="1"/>
  <c r="CS141" i="1"/>
  <c r="CO141" i="1"/>
  <c r="CP141" i="1"/>
  <c r="CR141" i="1"/>
  <c r="CS61" i="1"/>
  <c r="CO61" i="1"/>
  <c r="CP61" i="1"/>
  <c r="CR61" i="1"/>
  <c r="CR250" i="1"/>
  <c r="CS250" i="1"/>
  <c r="CO250" i="1"/>
  <c r="CP250" i="1"/>
  <c r="CR146" i="1"/>
  <c r="CP146" i="1"/>
  <c r="CS146" i="1"/>
  <c r="CO146" i="1"/>
  <c r="CN60" i="1"/>
  <c r="CN44" i="1"/>
  <c r="CN61" i="1"/>
  <c r="CT266" i="1"/>
  <c r="CR159" i="1"/>
  <c r="CO159" i="1"/>
  <c r="CS159" i="1"/>
  <c r="CP159" i="1"/>
  <c r="CR144" i="1"/>
  <c r="CO144" i="1"/>
  <c r="CP144" i="1"/>
  <c r="CS144" i="1"/>
  <c r="CT44" i="1"/>
  <c r="CR32" i="1"/>
  <c r="CO32" i="1"/>
  <c r="CP32" i="1"/>
  <c r="CS32" i="1"/>
  <c r="CT28" i="1"/>
  <c r="CS16" i="1"/>
  <c r="CR16" i="1"/>
  <c r="CO16" i="1"/>
  <c r="CP16" i="1"/>
  <c r="CT12" i="1"/>
  <c r="CS244" i="1"/>
  <c r="CP244" i="1"/>
  <c r="CR244" i="1"/>
  <c r="CO244" i="1"/>
  <c r="CS224" i="1"/>
  <c r="CO224" i="1"/>
  <c r="CP224" i="1"/>
  <c r="CR224" i="1"/>
  <c r="CT216" i="1"/>
  <c r="CS204" i="1"/>
  <c r="CO204" i="1"/>
  <c r="CP204" i="1"/>
  <c r="CR204" i="1"/>
  <c r="CO191" i="1"/>
  <c r="CR191" i="1"/>
  <c r="CP191" i="1"/>
  <c r="CS191" i="1"/>
  <c r="CT176" i="1"/>
  <c r="CR164" i="1"/>
  <c r="CO164" i="1"/>
  <c r="CS164" i="1"/>
  <c r="CP164" i="1"/>
  <c r="CS145" i="1"/>
  <c r="CR145" i="1"/>
  <c r="CO145" i="1"/>
  <c r="CP145" i="1"/>
  <c r="CS125" i="1"/>
  <c r="CO125" i="1"/>
  <c r="CP125" i="1"/>
  <c r="CR125" i="1"/>
  <c r="CT117" i="1"/>
  <c r="CT97" i="1"/>
  <c r="CS73" i="1"/>
  <c r="CR73" i="1"/>
  <c r="CO73" i="1"/>
  <c r="CP73" i="1"/>
  <c r="CT127" i="1"/>
  <c r="CT53" i="1"/>
  <c r="CR254" i="1"/>
  <c r="CS254" i="1"/>
  <c r="CO254" i="1"/>
  <c r="CP254" i="1"/>
  <c r="CS19" i="1"/>
  <c r="CR19" i="1"/>
  <c r="CO19" i="1"/>
  <c r="CP19" i="1"/>
  <c r="CS162" i="1"/>
  <c r="CR162" i="1"/>
  <c r="CO162" i="1"/>
  <c r="CP162" i="1"/>
  <c r="CT143" i="1"/>
  <c r="CS123" i="1"/>
  <c r="CO123" i="1"/>
  <c r="CR123" i="1"/>
  <c r="CP123" i="1"/>
  <c r="CN109" i="1"/>
  <c r="CT47" i="1"/>
  <c r="CT27" i="1"/>
  <c r="CT260" i="1"/>
  <c r="CS248" i="1"/>
  <c r="CP248" i="1"/>
  <c r="CR248" i="1"/>
  <c r="CO248" i="1"/>
  <c r="CN218" i="1"/>
  <c r="CR155" i="1"/>
  <c r="CO155" i="1"/>
  <c r="CS155" i="1"/>
  <c r="CP155" i="1"/>
  <c r="CO168" i="1"/>
  <c r="CR168" i="1"/>
  <c r="CP168" i="1"/>
  <c r="CS168" i="1"/>
  <c r="CN248" i="1"/>
  <c r="CR198" i="1"/>
  <c r="CS198" i="1"/>
  <c r="CO198" i="1"/>
  <c r="CP198" i="1"/>
  <c r="CN145" i="1"/>
  <c r="CN125" i="1"/>
  <c r="CN37" i="1"/>
  <c r="CT271" i="1"/>
  <c r="CR261" i="1"/>
  <c r="CO261" i="1"/>
  <c r="CP261" i="1"/>
  <c r="CS261" i="1"/>
  <c r="CR245" i="1"/>
  <c r="CO245" i="1"/>
  <c r="CP245" i="1"/>
  <c r="CS245" i="1"/>
  <c r="CP229" i="1"/>
  <c r="CR229" i="1"/>
  <c r="CO229" i="1"/>
  <c r="CS229" i="1"/>
  <c r="CN219" i="1"/>
  <c r="CP201" i="1"/>
  <c r="CR201" i="1"/>
  <c r="CO201" i="1"/>
  <c r="CS201" i="1"/>
  <c r="CR185" i="1"/>
  <c r="CS185" i="1"/>
  <c r="CP185" i="1"/>
  <c r="CO185" i="1"/>
  <c r="CR169" i="1"/>
  <c r="CS169" i="1"/>
  <c r="CP169" i="1"/>
  <c r="CO169" i="1"/>
  <c r="CR161" i="1"/>
  <c r="CP161" i="1"/>
  <c r="CS161" i="1"/>
  <c r="CO161" i="1"/>
  <c r="CN159" i="1"/>
  <c r="CR142" i="1"/>
  <c r="CS142" i="1"/>
  <c r="CP142" i="1"/>
  <c r="CO142" i="1"/>
  <c r="CR134" i="1"/>
  <c r="CS134" i="1"/>
  <c r="CP134" i="1"/>
  <c r="CO134" i="1"/>
  <c r="CR110" i="1"/>
  <c r="CS110" i="1"/>
  <c r="CP110" i="1"/>
  <c r="CO110" i="1"/>
  <c r="CR66" i="1"/>
  <c r="CP66" i="1"/>
  <c r="CS66" i="1"/>
  <c r="CO66" i="1"/>
  <c r="CR58" i="1"/>
  <c r="CP58" i="1"/>
  <c r="CS58" i="1"/>
  <c r="CO58" i="1"/>
  <c r="CR42" i="1"/>
  <c r="CP42" i="1"/>
  <c r="CS42" i="1"/>
  <c r="CO42" i="1"/>
  <c r="CS186" i="1"/>
  <c r="CP186" i="1"/>
  <c r="CO186" i="1"/>
  <c r="CR186" i="1"/>
  <c r="CR214" i="1"/>
  <c r="CS214" i="1"/>
  <c r="CO214" i="1"/>
  <c r="CP214" i="1"/>
  <c r="CT91" i="1"/>
  <c r="CR243" i="1"/>
  <c r="CS243" i="1"/>
  <c r="CO243" i="1"/>
  <c r="CP243" i="1"/>
  <c r="CR227" i="1"/>
  <c r="CS227" i="1"/>
  <c r="CO227" i="1"/>
  <c r="CP227" i="1"/>
  <c r="CT223" i="1"/>
  <c r="CR211" i="1"/>
  <c r="CS211" i="1"/>
  <c r="CO211" i="1"/>
  <c r="CP211" i="1"/>
  <c r="CT207" i="1"/>
  <c r="CN201" i="1"/>
  <c r="CR195" i="1"/>
  <c r="CS195" i="1"/>
  <c r="CO195" i="1"/>
  <c r="CP195" i="1"/>
  <c r="CT35" i="1"/>
  <c r="CN185" i="1"/>
  <c r="CO179" i="1"/>
  <c r="CR179" i="1"/>
  <c r="CP179" i="1"/>
  <c r="CS179" i="1"/>
  <c r="CT175" i="1"/>
  <c r="CN169" i="1"/>
  <c r="CO65" i="1"/>
  <c r="CR65" i="1"/>
  <c r="CP65" i="1"/>
  <c r="CS65" i="1"/>
  <c r="CT159" i="1"/>
  <c r="CR148" i="1"/>
  <c r="CS148" i="1"/>
  <c r="CO148" i="1"/>
  <c r="CP148" i="1"/>
  <c r="CT144" i="1"/>
  <c r="CR132" i="1"/>
  <c r="CS132" i="1"/>
  <c r="CO132" i="1"/>
  <c r="CP132" i="1"/>
  <c r="CR116" i="1"/>
  <c r="CS116" i="1"/>
  <c r="CO116" i="1"/>
  <c r="CP116" i="1"/>
  <c r="CT112" i="1"/>
  <c r="CR100" i="1"/>
  <c r="CS100" i="1"/>
  <c r="CO100" i="1"/>
  <c r="CP100" i="1"/>
  <c r="CT96" i="1"/>
  <c r="CR84" i="1"/>
  <c r="CS84" i="1"/>
  <c r="CO84" i="1"/>
  <c r="CP84" i="1"/>
  <c r="CT80" i="1"/>
  <c r="CN74" i="1"/>
  <c r="CR68" i="1"/>
  <c r="CS68" i="1"/>
  <c r="CO68" i="1"/>
  <c r="CP68" i="1"/>
  <c r="CT64" i="1"/>
  <c r="CN58" i="1"/>
  <c r="CR52" i="1"/>
  <c r="CS52" i="1"/>
  <c r="CO52" i="1"/>
  <c r="CP52" i="1"/>
  <c r="CT48" i="1"/>
  <c r="CN42" i="1"/>
  <c r="CR36" i="1"/>
  <c r="CS36" i="1"/>
  <c r="CO36" i="1"/>
  <c r="CP36" i="1"/>
  <c r="CT32" i="1"/>
  <c r="CS20" i="1"/>
  <c r="CR20" i="1"/>
  <c r="CO20" i="1"/>
  <c r="CP20" i="1"/>
  <c r="CT16" i="1"/>
  <c r="CT256" i="1"/>
  <c r="CT244" i="1"/>
  <c r="CT224" i="1"/>
  <c r="CS212" i="1"/>
  <c r="CO212" i="1"/>
  <c r="CP212" i="1"/>
  <c r="CR212" i="1"/>
  <c r="CT204" i="1"/>
  <c r="CS192" i="1"/>
  <c r="CO192" i="1"/>
  <c r="CP192" i="1"/>
  <c r="CR192" i="1"/>
  <c r="CT191" i="1"/>
  <c r="CO172" i="1"/>
  <c r="CP172" i="1"/>
  <c r="CR172" i="1"/>
  <c r="CS172" i="1"/>
  <c r="CT164" i="1"/>
  <c r="CO120" i="1"/>
  <c r="CR120" i="1"/>
  <c r="CP120" i="1"/>
  <c r="CS120" i="1"/>
  <c r="CT145" i="1"/>
  <c r="CT125" i="1"/>
  <c r="CN115" i="1"/>
  <c r="CS101" i="1"/>
  <c r="CO101" i="1"/>
  <c r="CP101" i="1"/>
  <c r="CR101" i="1"/>
  <c r="CS81" i="1"/>
  <c r="CR81" i="1"/>
  <c r="CO81" i="1"/>
  <c r="CP81" i="1"/>
  <c r="CT73" i="1"/>
  <c r="CS49" i="1"/>
  <c r="CR49" i="1"/>
  <c r="CO49" i="1"/>
  <c r="CP49" i="1"/>
  <c r="CR242" i="1"/>
  <c r="CS242" i="1"/>
  <c r="CO242" i="1"/>
  <c r="CP242" i="1"/>
  <c r="CR194" i="1"/>
  <c r="CS194" i="1"/>
  <c r="CO194" i="1"/>
  <c r="CP194" i="1"/>
  <c r="CN191" i="1"/>
  <c r="CT162" i="1"/>
  <c r="CN120" i="1"/>
  <c r="CN141" i="1"/>
  <c r="CS131" i="1"/>
  <c r="CO131" i="1"/>
  <c r="CR131" i="1"/>
  <c r="CP131" i="1"/>
  <c r="CT123" i="1"/>
  <c r="CS103" i="1"/>
  <c r="CR103" i="1"/>
  <c r="CO103" i="1"/>
  <c r="CP103" i="1"/>
  <c r="CS83" i="1"/>
  <c r="CO83" i="1"/>
  <c r="CR83" i="1"/>
  <c r="CP83" i="1"/>
  <c r="CS43" i="1"/>
  <c r="CO43" i="1"/>
  <c r="CP43" i="1"/>
  <c r="CR43" i="1"/>
  <c r="CS270" i="1"/>
  <c r="CR270" i="1"/>
  <c r="CO270" i="1"/>
  <c r="CP270" i="1"/>
  <c r="CT248" i="1"/>
  <c r="CN238" i="1"/>
  <c r="CN214" i="1"/>
  <c r="CS200" i="1"/>
  <c r="CO200" i="1"/>
  <c r="CP200" i="1"/>
  <c r="CR200" i="1"/>
  <c r="CS188" i="1"/>
  <c r="CO188" i="1"/>
  <c r="CP188" i="1"/>
  <c r="CR188" i="1"/>
  <c r="CT155" i="1"/>
  <c r="CT168" i="1"/>
  <c r="CS133" i="1"/>
  <c r="CO133" i="1"/>
  <c r="CP133" i="1"/>
  <c r="CR133" i="1"/>
  <c r="CS70" i="1"/>
  <c r="CR70" i="1"/>
  <c r="CO70" i="1"/>
  <c r="CP70" i="1"/>
  <c r="CN103" i="1"/>
  <c r="CS57" i="1"/>
  <c r="CR57" i="1"/>
  <c r="CO57" i="1"/>
  <c r="CP57" i="1"/>
  <c r="CS45" i="1"/>
  <c r="CO45" i="1"/>
  <c r="CP45" i="1"/>
  <c r="CR45" i="1"/>
  <c r="CR25" i="1"/>
  <c r="CS25" i="1"/>
  <c r="CO25" i="1"/>
  <c r="CP25" i="1"/>
  <c r="CN244" i="1"/>
  <c r="CR234" i="1"/>
  <c r="CS234" i="1"/>
  <c r="CO234" i="1"/>
  <c r="CP234" i="1"/>
  <c r="CT198" i="1"/>
  <c r="CN188" i="1"/>
  <c r="CS174" i="1"/>
  <c r="CO174" i="1"/>
  <c r="CR174" i="1"/>
  <c r="CP174" i="1"/>
  <c r="CN133" i="1"/>
  <c r="CS119" i="1"/>
  <c r="CR119" i="1"/>
  <c r="CO119" i="1"/>
  <c r="CP119" i="1"/>
  <c r="CS99" i="1"/>
  <c r="CO99" i="1"/>
  <c r="CR99" i="1"/>
  <c r="CP99" i="1"/>
  <c r="CS75" i="1"/>
  <c r="CO75" i="1"/>
  <c r="CP75" i="1"/>
  <c r="CR75" i="1"/>
  <c r="CN57" i="1"/>
  <c r="CN45" i="1"/>
  <c r="CR31" i="1"/>
  <c r="CS31" i="1"/>
  <c r="CO31" i="1"/>
  <c r="CP31" i="1"/>
  <c r="CT261" i="1"/>
  <c r="CT245" i="1"/>
  <c r="CN243" i="1"/>
  <c r="CN235" i="1"/>
  <c r="CT229" i="1"/>
  <c r="CN227" i="1"/>
  <c r="CP217" i="1"/>
  <c r="CR217" i="1"/>
  <c r="CO217" i="1"/>
  <c r="CS217" i="1"/>
  <c r="CP114" i="1"/>
  <c r="CR114" i="1"/>
  <c r="CS114" i="1"/>
  <c r="CO114" i="1"/>
  <c r="CN207" i="1"/>
  <c r="CT201" i="1"/>
  <c r="CT185" i="1"/>
  <c r="CR177" i="1"/>
  <c r="CP177" i="1"/>
  <c r="CS177" i="1"/>
  <c r="CO177" i="1"/>
  <c r="CT169" i="1"/>
  <c r="CT161" i="1"/>
  <c r="CR157" i="1"/>
  <c r="CP157" i="1"/>
  <c r="CS157" i="1"/>
  <c r="CO157" i="1"/>
  <c r="CR150" i="1"/>
  <c r="CS150" i="1"/>
  <c r="CP150" i="1"/>
  <c r="CO150" i="1"/>
  <c r="CT142" i="1"/>
  <c r="CT134" i="1"/>
  <c r="CN132" i="1"/>
  <c r="CN153" i="1"/>
  <c r="CN116" i="1"/>
  <c r="CT110" i="1"/>
  <c r="CN108" i="1"/>
  <c r="CN100" i="1"/>
  <c r="CR163" i="1"/>
  <c r="CP163" i="1"/>
  <c r="CS163" i="1"/>
  <c r="CO163" i="1"/>
  <c r="CR82" i="1"/>
  <c r="CP82" i="1"/>
  <c r="CS82" i="1"/>
  <c r="CO82" i="1"/>
  <c r="CT66" i="1"/>
  <c r="CT58" i="1"/>
  <c r="CT42" i="1"/>
  <c r="CS30" i="1"/>
  <c r="CR30" i="1"/>
  <c r="CP30" i="1"/>
  <c r="CO30" i="1"/>
  <c r="CR22" i="1"/>
  <c r="CS22" i="1"/>
  <c r="CP22" i="1"/>
  <c r="CO22" i="1"/>
  <c r="CT186" i="1"/>
  <c r="CN12" i="1"/>
  <c r="CT214" i="1"/>
  <c r="CS95" i="1"/>
  <c r="CR95" i="1"/>
  <c r="CO95" i="1"/>
  <c r="CP95" i="1"/>
  <c r="CS71" i="1"/>
  <c r="CR71" i="1"/>
  <c r="CO71" i="1"/>
  <c r="CP71" i="1"/>
  <c r="CS63" i="1"/>
  <c r="CR63" i="1"/>
  <c r="CO63" i="1"/>
  <c r="CP63" i="1"/>
  <c r="CR266" i="1"/>
  <c r="CS266" i="1"/>
  <c r="CO266" i="1"/>
  <c r="CP266" i="1"/>
  <c r="CR251" i="1"/>
  <c r="CS251" i="1"/>
  <c r="CO251" i="1"/>
  <c r="CP251" i="1"/>
  <c r="CR171" i="1"/>
  <c r="CS171" i="1"/>
  <c r="CO171" i="1"/>
  <c r="CP171" i="1"/>
  <c r="CR140" i="1"/>
  <c r="CS140" i="1"/>
  <c r="CO140" i="1"/>
  <c r="CP140" i="1"/>
  <c r="CS236" i="1"/>
  <c r="CP236" i="1"/>
  <c r="CR236" i="1"/>
  <c r="CO236" i="1"/>
  <c r="CS196" i="1"/>
  <c r="CO196" i="1"/>
  <c r="CP196" i="1"/>
  <c r="CR196" i="1"/>
  <c r="CS137" i="1"/>
  <c r="CR137" i="1"/>
  <c r="CO137" i="1"/>
  <c r="CP137" i="1"/>
  <c r="CS127" i="1"/>
  <c r="CR127" i="1"/>
  <c r="CO127" i="1"/>
  <c r="CP127" i="1"/>
  <c r="CS21" i="1"/>
  <c r="CO21" i="1"/>
  <c r="CP21" i="1"/>
  <c r="CR21" i="1"/>
  <c r="CS267" i="1"/>
  <c r="CR267" i="1"/>
  <c r="CO267" i="1"/>
  <c r="CP267" i="1"/>
  <c r="CS105" i="1"/>
  <c r="CR105" i="1"/>
  <c r="CO105" i="1"/>
  <c r="CP105" i="1"/>
  <c r="CS93" i="1"/>
  <c r="CO93" i="1"/>
  <c r="CP93" i="1"/>
  <c r="CR93" i="1"/>
  <c r="CR9" i="1"/>
  <c r="CS9" i="1"/>
  <c r="CO9" i="1"/>
  <c r="CP9" i="1"/>
  <c r="CN117" i="1"/>
  <c r="CS87" i="1"/>
  <c r="CR87" i="1"/>
  <c r="CO87" i="1"/>
  <c r="CP87" i="1"/>
  <c r="CR15" i="1"/>
  <c r="CS15" i="1"/>
  <c r="CO15" i="1"/>
  <c r="CP15" i="1"/>
  <c r="CN203" i="1"/>
  <c r="CN187" i="1"/>
  <c r="CR86" i="1"/>
  <c r="CS86" i="1"/>
  <c r="CP86" i="1"/>
  <c r="CO86" i="1"/>
  <c r="CN76" i="1"/>
  <c r="CR26" i="1"/>
  <c r="CP26" i="1"/>
  <c r="CS26" i="1"/>
  <c r="CO26" i="1"/>
  <c r="CS154" i="1"/>
  <c r="CR154" i="1"/>
  <c r="CO154" i="1"/>
  <c r="CP154" i="1"/>
  <c r="CS91" i="1"/>
  <c r="CO91" i="1"/>
  <c r="CR91" i="1"/>
  <c r="CP91" i="1"/>
  <c r="CS79" i="1"/>
  <c r="CR79" i="1"/>
  <c r="CO79" i="1"/>
  <c r="CP79" i="1"/>
  <c r="CS121" i="1"/>
  <c r="CO121" i="1"/>
  <c r="CP121" i="1"/>
  <c r="CR121" i="1"/>
  <c r="CR269" i="1"/>
  <c r="CS269" i="1"/>
  <c r="CP269" i="1"/>
  <c r="CO269" i="1"/>
  <c r="CR202" i="1"/>
  <c r="CS202" i="1"/>
  <c r="CO202" i="1"/>
  <c r="CP202" i="1"/>
  <c r="CT251" i="1"/>
  <c r="CR239" i="1"/>
  <c r="CS239" i="1"/>
  <c r="CO239" i="1"/>
  <c r="CP239" i="1"/>
  <c r="CT235" i="1"/>
  <c r="CR35" i="1"/>
  <c r="CS35" i="1"/>
  <c r="CO35" i="1"/>
  <c r="CP35" i="1"/>
  <c r="CT187" i="1"/>
  <c r="CR175" i="1"/>
  <c r="CO175" i="1"/>
  <c r="CS175" i="1"/>
  <c r="CP175" i="1"/>
  <c r="CT171" i="1"/>
  <c r="CT140" i="1"/>
  <c r="CR128" i="1"/>
  <c r="CO128" i="1"/>
  <c r="CP128" i="1"/>
  <c r="CS128" i="1"/>
  <c r="CT153" i="1"/>
  <c r="CN86" i="1"/>
  <c r="CR80" i="1"/>
  <c r="CO80" i="1"/>
  <c r="CP80" i="1"/>
  <c r="CS80" i="1"/>
  <c r="CT76" i="1"/>
  <c r="CR64" i="1"/>
  <c r="CO64" i="1"/>
  <c r="CP64" i="1"/>
  <c r="CS64" i="1"/>
  <c r="CT60" i="1"/>
  <c r="CR48" i="1"/>
  <c r="CO48" i="1"/>
  <c r="CP48" i="1"/>
  <c r="CS48" i="1"/>
  <c r="CS256" i="1"/>
  <c r="CP256" i="1"/>
  <c r="CR256" i="1"/>
  <c r="CO256" i="1"/>
  <c r="CT236" i="1"/>
  <c r="CT137" i="1"/>
  <c r="CN87" i="1"/>
  <c r="CS41" i="1"/>
  <c r="CR41" i="1"/>
  <c r="CO41" i="1"/>
  <c r="CP41" i="1"/>
  <c r="CR29" i="1"/>
  <c r="CS29" i="1"/>
  <c r="CO29" i="1"/>
  <c r="CP29" i="1"/>
  <c r="CT21" i="1"/>
  <c r="CR262" i="1"/>
  <c r="CS262" i="1"/>
  <c r="CO262" i="1"/>
  <c r="CP262" i="1"/>
  <c r="CR230" i="1"/>
  <c r="CS230" i="1"/>
  <c r="CO230" i="1"/>
  <c r="CP230" i="1"/>
  <c r="CN216" i="1"/>
  <c r="CN176" i="1"/>
  <c r="CT115" i="1"/>
  <c r="CN97" i="1"/>
  <c r="CS55" i="1"/>
  <c r="CR55" i="1"/>
  <c r="CO55" i="1"/>
  <c r="CP55" i="1"/>
  <c r="CS209" i="1"/>
  <c r="CO209" i="1"/>
  <c r="CP209" i="1"/>
  <c r="CR209" i="1"/>
  <c r="CT267" i="1"/>
  <c r="CT240" i="1"/>
  <c r="CN230" i="1"/>
  <c r="CO156" i="1"/>
  <c r="CP156" i="1"/>
  <c r="CR156" i="1"/>
  <c r="CS156" i="1"/>
  <c r="CT149" i="1"/>
  <c r="CS113" i="1"/>
  <c r="CR113" i="1"/>
  <c r="CO113" i="1"/>
  <c r="CP113" i="1"/>
  <c r="CT105" i="1"/>
  <c r="CT93" i="1"/>
  <c r="CS69" i="1"/>
  <c r="CO69" i="1"/>
  <c r="CP69" i="1"/>
  <c r="CR69" i="1"/>
  <c r="CT61" i="1"/>
  <c r="CS37" i="1"/>
  <c r="CO37" i="1"/>
  <c r="CP37" i="1"/>
  <c r="CR37" i="1"/>
  <c r="CR17" i="1"/>
  <c r="CO17" i="1"/>
  <c r="CS17" i="1"/>
  <c r="CP17" i="1"/>
  <c r="CR258" i="1"/>
  <c r="CS258" i="1"/>
  <c r="CO258" i="1"/>
  <c r="CP258" i="1"/>
  <c r="CR210" i="1"/>
  <c r="CS210" i="1"/>
  <c r="CO210" i="1"/>
  <c r="CP210" i="1"/>
  <c r="CR190" i="1"/>
  <c r="CS190" i="1"/>
  <c r="CO190" i="1"/>
  <c r="CP190" i="1"/>
  <c r="CN155" i="1"/>
  <c r="CS166" i="1"/>
  <c r="CR166" i="1"/>
  <c r="CO166" i="1"/>
  <c r="CP166" i="1"/>
  <c r="CN137" i="1"/>
  <c r="CS111" i="1"/>
  <c r="CR111" i="1"/>
  <c r="CO111" i="1"/>
  <c r="CP111" i="1"/>
  <c r="CN105" i="1"/>
  <c r="CT87" i="1"/>
  <c r="CN69" i="1"/>
  <c r="CR23" i="1"/>
  <c r="CS23" i="1"/>
  <c r="CO23" i="1"/>
  <c r="CP23" i="1"/>
  <c r="CR268" i="1"/>
  <c r="CO268" i="1"/>
  <c r="CS268" i="1"/>
  <c r="CP268" i="1"/>
  <c r="CR253" i="1"/>
  <c r="CO253" i="1"/>
  <c r="CS253" i="1"/>
  <c r="CP253" i="1"/>
  <c r="CR237" i="1"/>
  <c r="CO237" i="1"/>
  <c r="CS237" i="1"/>
  <c r="CP237" i="1"/>
  <c r="CT221" i="1"/>
  <c r="CT213" i="1"/>
  <c r="CP193" i="1"/>
  <c r="CR193" i="1"/>
  <c r="CS193" i="1"/>
  <c r="CO193" i="1"/>
  <c r="CT146" i="1"/>
  <c r="CR126" i="1"/>
  <c r="CS126" i="1"/>
  <c r="CP126" i="1"/>
  <c r="CO126" i="1"/>
  <c r="CR118" i="1"/>
  <c r="CS118" i="1"/>
  <c r="CP118" i="1"/>
  <c r="CO118" i="1"/>
  <c r="CR102" i="1"/>
  <c r="CS102" i="1"/>
  <c r="CP102" i="1"/>
  <c r="CO102" i="1"/>
  <c r="CT94" i="1"/>
  <c r="CN180" i="1"/>
  <c r="CR74" i="1"/>
  <c r="CP74" i="1"/>
  <c r="CS74" i="1"/>
  <c r="CO74" i="1"/>
  <c r="CR50" i="1"/>
  <c r="CP50" i="1"/>
  <c r="CS50" i="1"/>
  <c r="CO50" i="1"/>
  <c r="CR34" i="1"/>
  <c r="CP34" i="1"/>
  <c r="CS34" i="1"/>
  <c r="CO34" i="1"/>
  <c r="CN32" i="1"/>
  <c r="CT26" i="1"/>
  <c r="CT18" i="1"/>
  <c r="CR222" i="1"/>
  <c r="CS222" i="1"/>
  <c r="CO222" i="1"/>
  <c r="CP222" i="1"/>
  <c r="CS151" i="1"/>
  <c r="CR151" i="1"/>
  <c r="CO151" i="1"/>
  <c r="CP151" i="1"/>
  <c r="CS139" i="1"/>
  <c r="CO139" i="1"/>
  <c r="CP139" i="1"/>
  <c r="CR139" i="1"/>
  <c r="CT121" i="1"/>
  <c r="CR11" i="1"/>
  <c r="CS11" i="1"/>
  <c r="CO11" i="1"/>
  <c r="CP11" i="1"/>
  <c r="CR259" i="1"/>
  <c r="CS259" i="1"/>
  <c r="CO259" i="1"/>
  <c r="CP259" i="1"/>
  <c r="CT202" i="1"/>
  <c r="CN268" i="1"/>
  <c r="CR263" i="1"/>
  <c r="CS263" i="1"/>
  <c r="CO263" i="1"/>
  <c r="CP263" i="1"/>
  <c r="CT259" i="1"/>
  <c r="CN253" i="1"/>
  <c r="CR247" i="1"/>
  <c r="CS247" i="1"/>
  <c r="CO247" i="1"/>
  <c r="CP247" i="1"/>
  <c r="CT243" i="1"/>
  <c r="CN237" i="1"/>
  <c r="CR231" i="1"/>
  <c r="CS231" i="1"/>
  <c r="CO231" i="1"/>
  <c r="CP231" i="1"/>
  <c r="CT227" i="1"/>
  <c r="CN221" i="1"/>
  <c r="CR215" i="1"/>
  <c r="CS215" i="1"/>
  <c r="CO215" i="1"/>
  <c r="CP215" i="1"/>
  <c r="CT211" i="1"/>
  <c r="CR199" i="1"/>
  <c r="CS199" i="1"/>
  <c r="CO199" i="1"/>
  <c r="CP199" i="1"/>
  <c r="CT195" i="1"/>
  <c r="CS183" i="1"/>
  <c r="CO183" i="1"/>
  <c r="CP183" i="1"/>
  <c r="CR183" i="1"/>
  <c r="CT179" i="1"/>
  <c r="CS167" i="1"/>
  <c r="CO167" i="1"/>
  <c r="CP167" i="1"/>
  <c r="CR167" i="1"/>
  <c r="CT65" i="1"/>
  <c r="CS152" i="1"/>
  <c r="CO152" i="1"/>
  <c r="CP152" i="1"/>
  <c r="CR152" i="1"/>
  <c r="CT148" i="1"/>
  <c r="CN142" i="1"/>
  <c r="CR136" i="1"/>
  <c r="CO136" i="1"/>
  <c r="CP136" i="1"/>
  <c r="CS136" i="1"/>
  <c r="CT132" i="1"/>
  <c r="CN126" i="1"/>
  <c r="CR67" i="1"/>
  <c r="CO67" i="1"/>
  <c r="CP67" i="1"/>
  <c r="CS67" i="1"/>
  <c r="CT116" i="1"/>
  <c r="CN110" i="1"/>
  <c r="CR104" i="1"/>
  <c r="CO104" i="1"/>
  <c r="CP104" i="1"/>
  <c r="CS104" i="1"/>
  <c r="CT100" i="1"/>
  <c r="CN94" i="1"/>
  <c r="CR88" i="1"/>
  <c r="CO88" i="1"/>
  <c r="CP88" i="1"/>
  <c r="CS88" i="1"/>
  <c r="CT84" i="1"/>
  <c r="CR72" i="1"/>
  <c r="CO72" i="1"/>
  <c r="CP72" i="1"/>
  <c r="CS72" i="1"/>
  <c r="CT68" i="1"/>
  <c r="CR56" i="1"/>
  <c r="CO56" i="1"/>
  <c r="CP56" i="1"/>
  <c r="CS56" i="1"/>
  <c r="CT52" i="1"/>
  <c r="CR40" i="1"/>
  <c r="CO40" i="1"/>
  <c r="CP40" i="1"/>
  <c r="CS40" i="1"/>
  <c r="CT36" i="1"/>
  <c r="CS24" i="1"/>
  <c r="CR24" i="1"/>
  <c r="CO24" i="1"/>
  <c r="CP24" i="1"/>
  <c r="CT20" i="1"/>
  <c r="CN186" i="1"/>
  <c r="CS8" i="1"/>
  <c r="CR8" i="1"/>
  <c r="CO8" i="1"/>
  <c r="CP8" i="1"/>
  <c r="CN265" i="1"/>
  <c r="CN254" i="1"/>
  <c r="CS228" i="1"/>
  <c r="CO228" i="1"/>
  <c r="CP228" i="1"/>
  <c r="CR228" i="1"/>
  <c r="CN222" i="1"/>
  <c r="CT212" i="1"/>
  <c r="CT192" i="1"/>
  <c r="CT172" i="1"/>
  <c r="CS160" i="1"/>
  <c r="CO160" i="1"/>
  <c r="CP160" i="1"/>
  <c r="CR160" i="1"/>
  <c r="CT120" i="1"/>
  <c r="CN143" i="1"/>
  <c r="CS129" i="1"/>
  <c r="CR129" i="1"/>
  <c r="CO129" i="1"/>
  <c r="CP129" i="1"/>
  <c r="CN123" i="1"/>
  <c r="CT109" i="1"/>
  <c r="CT101" i="1"/>
  <c r="CS124" i="1"/>
  <c r="CR124" i="1"/>
  <c r="CO124" i="1"/>
  <c r="CP124" i="1"/>
  <c r="CT81" i="1"/>
  <c r="CT49" i="1"/>
  <c r="CN27" i="1"/>
  <c r="CR13" i="1"/>
  <c r="CS13" i="1"/>
  <c r="CO13" i="1"/>
  <c r="CP13" i="1"/>
  <c r="CT265" i="1"/>
  <c r="CN260" i="1"/>
  <c r="CR246" i="1"/>
  <c r="CS246" i="1"/>
  <c r="CO246" i="1"/>
  <c r="CP246" i="1"/>
  <c r="CN240" i="1"/>
  <c r="CN228" i="1"/>
  <c r="CT218" i="1"/>
  <c r="CR255" i="1"/>
  <c r="CS255" i="1"/>
  <c r="CO255" i="1"/>
  <c r="CP255" i="1"/>
  <c r="CN192" i="1"/>
  <c r="CS178" i="1"/>
  <c r="CR178" i="1"/>
  <c r="CO178" i="1"/>
  <c r="CP178" i="1"/>
  <c r="CS170" i="1"/>
  <c r="CR170" i="1"/>
  <c r="CO170" i="1"/>
  <c r="CP170" i="1"/>
  <c r="CS158" i="1"/>
  <c r="CO158" i="1"/>
  <c r="CR158" i="1"/>
  <c r="CP158" i="1"/>
  <c r="CN149" i="1"/>
  <c r="CT131" i="1"/>
  <c r="CT103" i="1"/>
  <c r="CT83" i="1"/>
  <c r="CS59" i="1"/>
  <c r="CO59" i="1"/>
  <c r="CR59" i="1"/>
  <c r="CP59" i="1"/>
  <c r="CN53" i="1"/>
  <c r="CT43" i="1"/>
  <c r="CR90" i="1"/>
  <c r="CS90" i="1"/>
  <c r="CO90" i="1"/>
  <c r="CP90" i="1"/>
  <c r="CT270" i="1"/>
  <c r="CS252" i="1"/>
  <c r="CP252" i="1"/>
  <c r="CR252" i="1"/>
  <c r="CO252" i="1"/>
  <c r="CN246" i="1"/>
  <c r="CS232" i="1"/>
  <c r="CO232" i="1"/>
  <c r="CP232" i="1"/>
  <c r="CR232" i="1"/>
  <c r="CS220" i="1"/>
  <c r="CO220" i="1"/>
  <c r="CP220" i="1"/>
  <c r="CR220" i="1"/>
  <c r="CS208" i="1"/>
  <c r="CO208" i="1"/>
  <c r="CP208" i="1"/>
  <c r="CR208" i="1"/>
  <c r="CT200" i="1"/>
  <c r="CT188" i="1"/>
  <c r="CN178" i="1"/>
  <c r="CN166" i="1"/>
  <c r="CN154" i="1"/>
  <c r="CT141" i="1"/>
  <c r="CT133" i="1"/>
  <c r="CT70" i="1"/>
  <c r="CN111" i="1"/>
  <c r="CS85" i="1"/>
  <c r="CO85" i="1"/>
  <c r="CP85" i="1"/>
  <c r="CR85" i="1"/>
  <c r="CS77" i="1"/>
  <c r="CO77" i="1"/>
  <c r="CP77" i="1"/>
  <c r="CR77" i="1"/>
  <c r="CN121" i="1"/>
  <c r="CT57" i="1"/>
  <c r="CT45" i="1"/>
  <c r="CS33" i="1"/>
  <c r="CR33" i="1"/>
  <c r="CO33" i="1"/>
  <c r="CP33" i="1"/>
  <c r="CT25" i="1"/>
  <c r="CN15" i="1"/>
  <c r="CN270" i="1"/>
  <c r="CT250" i="1"/>
  <c r="CT238" i="1"/>
  <c r="CN232" i="1"/>
  <c r="CN224" i="1"/>
  <c r="CR206" i="1"/>
  <c r="CS206" i="1"/>
  <c r="CO206" i="1"/>
  <c r="CP206" i="1"/>
  <c r="CN196" i="1"/>
  <c r="CS182" i="1"/>
  <c r="CR182" i="1"/>
  <c r="CO182" i="1"/>
  <c r="CP182" i="1"/>
  <c r="CT174" i="1"/>
  <c r="CN164" i="1"/>
  <c r="CS147" i="1"/>
  <c r="CO147" i="1"/>
  <c r="CR147" i="1"/>
  <c r="CP147" i="1"/>
  <c r="CS14" i="1"/>
  <c r="CR14" i="1"/>
  <c r="CO14" i="1"/>
  <c r="CP14" i="1"/>
  <c r="CT119" i="1"/>
  <c r="CS107" i="1"/>
  <c r="CO107" i="1"/>
  <c r="CP107" i="1"/>
  <c r="CR107" i="1"/>
  <c r="CT99" i="1"/>
  <c r="CN93" i="1"/>
  <c r="CT75" i="1"/>
  <c r="CS51" i="1"/>
  <c r="CO51" i="1"/>
  <c r="CR51" i="1"/>
  <c r="CP51" i="1"/>
  <c r="CS39" i="1"/>
  <c r="CR39" i="1"/>
  <c r="CO39" i="1"/>
  <c r="CP39" i="1"/>
  <c r="CT31" i="1"/>
  <c r="CN21" i="1"/>
  <c r="CR7" i="1"/>
  <c r="CS7" i="1"/>
  <c r="CO7" i="1"/>
  <c r="CP7" i="1"/>
  <c r="CR264" i="1"/>
  <c r="CP264" i="1"/>
  <c r="CS264" i="1"/>
  <c r="CO264" i="1"/>
  <c r="CR257" i="1"/>
  <c r="CS257" i="1"/>
  <c r="CO257" i="1"/>
  <c r="CP257" i="1"/>
  <c r="CR249" i="1"/>
  <c r="CP249" i="1"/>
  <c r="CS249" i="1"/>
  <c r="CO249" i="1"/>
  <c r="CR241" i="1"/>
  <c r="CS241" i="1"/>
  <c r="CP241" i="1"/>
  <c r="CO241" i="1"/>
  <c r="CP233" i="1"/>
  <c r="CR233" i="1"/>
  <c r="CS233" i="1"/>
  <c r="CO233" i="1"/>
  <c r="CP225" i="1"/>
  <c r="CR225" i="1"/>
  <c r="CS225" i="1"/>
  <c r="CO225" i="1"/>
  <c r="CN223" i="1"/>
  <c r="CT217" i="1"/>
  <c r="CN215" i="1"/>
  <c r="CT114" i="1"/>
  <c r="CP205" i="1"/>
  <c r="CR205" i="1"/>
  <c r="CS205" i="1"/>
  <c r="CO205" i="1"/>
  <c r="CP197" i="1"/>
  <c r="CR197" i="1"/>
  <c r="CO197" i="1"/>
  <c r="CS197" i="1"/>
  <c r="CP189" i="1"/>
  <c r="CR189" i="1"/>
  <c r="CS189" i="1"/>
  <c r="CO189" i="1"/>
  <c r="CR181" i="1"/>
  <c r="CP181" i="1"/>
  <c r="CS181" i="1"/>
  <c r="CO181" i="1"/>
  <c r="CR173" i="1"/>
  <c r="CP173" i="1"/>
  <c r="CS173" i="1"/>
  <c r="CO173" i="1"/>
  <c r="CR165" i="1"/>
  <c r="CP165" i="1"/>
  <c r="CO165" i="1"/>
  <c r="CS165" i="1"/>
  <c r="CT157" i="1"/>
  <c r="CN92" i="1"/>
  <c r="CT150" i="1"/>
  <c r="CN148" i="1"/>
  <c r="CR138" i="1"/>
  <c r="CP138" i="1"/>
  <c r="CS138" i="1"/>
  <c r="CO138" i="1"/>
  <c r="CR130" i="1"/>
  <c r="CP130" i="1"/>
  <c r="CS130" i="1"/>
  <c r="CO130" i="1"/>
  <c r="CR122" i="1"/>
  <c r="CP122" i="1"/>
  <c r="CS122" i="1"/>
  <c r="CO122" i="1"/>
  <c r="CR89" i="1"/>
  <c r="CP89" i="1"/>
  <c r="CS89" i="1"/>
  <c r="CO89" i="1"/>
  <c r="CR106" i="1"/>
  <c r="CP106" i="1"/>
  <c r="CS106" i="1"/>
  <c r="CO106" i="1"/>
  <c r="CR98" i="1"/>
  <c r="CP98" i="1"/>
  <c r="CS98" i="1"/>
  <c r="CO98" i="1"/>
  <c r="CN96" i="1"/>
  <c r="CT163" i="1"/>
  <c r="CN88" i="1"/>
  <c r="CT82" i="1"/>
  <c r="CR78" i="1"/>
  <c r="CS78" i="1"/>
  <c r="CP78" i="1"/>
  <c r="CO78" i="1"/>
  <c r="CR184" i="1"/>
  <c r="CS184" i="1"/>
  <c r="CP184" i="1"/>
  <c r="CO184" i="1"/>
  <c r="CR62" i="1"/>
  <c r="CS62" i="1"/>
  <c r="CP62" i="1"/>
  <c r="CO62" i="1"/>
  <c r="CR54" i="1"/>
  <c r="CS54" i="1"/>
  <c r="CP54" i="1"/>
  <c r="CO54" i="1"/>
  <c r="CR46" i="1"/>
  <c r="CS46" i="1"/>
  <c r="CP46" i="1"/>
  <c r="CO46" i="1"/>
  <c r="CR38" i="1"/>
  <c r="CS38" i="1"/>
  <c r="CP38" i="1"/>
  <c r="CO38" i="1"/>
  <c r="CT30" i="1"/>
  <c r="CN28" i="1"/>
  <c r="CT22" i="1"/>
  <c r="CN20" i="1"/>
  <c r="CR10" i="1"/>
  <c r="CP10" i="1"/>
  <c r="CS10" i="1"/>
  <c r="CO10" i="1"/>
  <c r="CR226" i="1"/>
  <c r="CS226" i="1"/>
  <c r="CO226" i="1"/>
  <c r="CP226" i="1"/>
  <c r="CN212" i="1"/>
  <c r="CT154" i="1"/>
  <c r="CS135" i="1"/>
  <c r="CR135" i="1"/>
  <c r="CO135" i="1"/>
  <c r="CP135" i="1"/>
  <c r="CT95" i="1"/>
  <c r="CT71" i="1"/>
  <c r="CT63" i="1"/>
  <c r="CN9" i="1"/>
  <c r="CU250" i="1" l="1" a="1"/>
  <c r="CU250" i="1" s="1"/>
  <c r="CV172" i="1" a="1"/>
  <c r="CV172" i="1" s="1"/>
  <c r="CV242" i="1" a="1"/>
  <c r="CV242" i="1" s="1"/>
  <c r="CV211" i="1" a="1"/>
  <c r="CV211" i="1" s="1"/>
  <c r="CV127" i="1" a="1"/>
  <c r="CV127" i="1" s="1"/>
  <c r="CV140" i="1" a="1"/>
  <c r="CV140" i="1" s="1"/>
  <c r="CU171" i="1" a="1"/>
  <c r="CU171" i="1" s="1"/>
  <c r="CU251" i="1" a="1"/>
  <c r="CU251" i="1" s="1"/>
  <c r="CU266" i="1" a="1"/>
  <c r="CU266" i="1" s="1"/>
  <c r="CV75" i="1" a="1"/>
  <c r="CV75" i="1" s="1"/>
  <c r="CU194" i="1" a="1"/>
  <c r="CU194" i="1" s="1"/>
  <c r="CV165" i="1" a="1"/>
  <c r="CV165" i="1" s="1"/>
  <c r="CV257" i="1" a="1"/>
  <c r="CV257" i="1" s="1"/>
  <c r="CU182" i="1" a="1"/>
  <c r="CU182" i="1" s="1"/>
  <c r="CU23" i="1" a="1"/>
  <c r="CU23" i="1" s="1"/>
  <c r="CV269" i="1" a="1"/>
  <c r="CV269" i="1" s="1"/>
  <c r="CU26" i="1" a="1"/>
  <c r="CU26" i="1" s="1"/>
  <c r="CU158" i="1" a="1"/>
  <c r="CU158" i="1" s="1"/>
  <c r="CU124" i="1" a="1"/>
  <c r="CU124" i="1" s="1"/>
  <c r="CV8" i="1" a="1"/>
  <c r="CV8" i="1" s="1"/>
  <c r="CU40" i="1" a="1"/>
  <c r="CU40" i="1" s="1"/>
  <c r="CV167" i="1" a="1"/>
  <c r="CV167" i="1" s="1"/>
  <c r="CU231" i="1" a="1"/>
  <c r="CU231" i="1" s="1"/>
  <c r="CU263" i="1" a="1"/>
  <c r="CU263" i="1" s="1"/>
  <c r="CV139" i="1" a="1"/>
  <c r="CV139" i="1" s="1"/>
  <c r="CV193" i="1" a="1"/>
  <c r="CV193" i="1" s="1"/>
  <c r="CV209" i="1" a="1"/>
  <c r="CV209" i="1" s="1"/>
  <c r="CU29" i="1" a="1"/>
  <c r="CU29" i="1" s="1"/>
  <c r="CV48" i="1" a="1"/>
  <c r="CV48" i="1" s="1"/>
  <c r="CU128" i="1" a="1"/>
  <c r="CU128" i="1" s="1"/>
  <c r="CV226" i="1" a="1"/>
  <c r="CV226" i="1" s="1"/>
  <c r="CV7" i="1" a="1"/>
  <c r="CV7" i="1" s="1"/>
  <c r="CU63" i="1" a="1"/>
  <c r="CU63" i="1" s="1"/>
  <c r="CU70" i="1" a="1"/>
  <c r="CU70" i="1" s="1"/>
  <c r="CU49" i="1" a="1"/>
  <c r="CU49" i="1" s="1"/>
  <c r="CV101" i="1" a="1"/>
  <c r="CV101" i="1" s="1"/>
  <c r="CV52" i="1" a="1"/>
  <c r="CV52" i="1" s="1"/>
  <c r="CV134" i="1" a="1"/>
  <c r="CV134" i="1" s="1"/>
  <c r="CV162" i="1" a="1"/>
  <c r="CV162" i="1" s="1"/>
  <c r="CU47" i="1" a="1"/>
  <c r="CU47" i="1" s="1"/>
  <c r="CV197" i="1" a="1"/>
  <c r="CV197" i="1" s="1"/>
  <c r="CV90" i="1" a="1"/>
  <c r="CV90" i="1" s="1"/>
  <c r="CU95" i="1" a="1"/>
  <c r="CU95" i="1" s="1"/>
  <c r="CU198" i="1" a="1"/>
  <c r="CU198" i="1" s="1"/>
  <c r="CV206" i="1" a="1"/>
  <c r="CV206" i="1" s="1"/>
  <c r="CV33" i="1" a="1"/>
  <c r="CV33" i="1" s="1"/>
  <c r="CU77" i="1" a="1"/>
  <c r="CU77" i="1" s="1"/>
  <c r="CU85" i="1" a="1"/>
  <c r="CU85" i="1" s="1"/>
  <c r="CV252" i="1" a="1"/>
  <c r="CV252" i="1" s="1"/>
  <c r="CU90" i="1" a="1"/>
  <c r="CU90" i="1" s="1"/>
  <c r="CV13" i="1" a="1"/>
  <c r="CV13" i="1" s="1"/>
  <c r="CV56" i="1" a="1"/>
  <c r="CV56" i="1" s="1"/>
  <c r="CU104" i="1" a="1"/>
  <c r="CU104" i="1" s="1"/>
  <c r="CU136" i="1" a="1"/>
  <c r="CU136" i="1" s="1"/>
  <c r="CU183" i="1" a="1"/>
  <c r="CU183" i="1" s="1"/>
  <c r="CU199" i="1" a="1"/>
  <c r="CU199" i="1" s="1"/>
  <c r="CV34" i="1" a="1"/>
  <c r="CV34" i="1" s="1"/>
  <c r="CU50" i="1" a="1"/>
  <c r="CU50" i="1" s="1"/>
  <c r="CU156" i="1" a="1"/>
  <c r="CU156" i="1" s="1"/>
  <c r="CU64" i="1" a="1"/>
  <c r="CU64" i="1" s="1"/>
  <c r="CU175" i="1" a="1"/>
  <c r="CU175" i="1" s="1"/>
  <c r="CU239" i="1" a="1"/>
  <c r="CU239" i="1" s="1"/>
  <c r="CV79" i="1" a="1"/>
  <c r="CV79" i="1" s="1"/>
  <c r="CU127" i="1" a="1"/>
  <c r="CU127" i="1" s="1"/>
  <c r="CV171" i="1" a="1"/>
  <c r="CV171" i="1" s="1"/>
  <c r="CV82" i="1" a="1"/>
  <c r="CV82" i="1" s="1"/>
  <c r="CV150" i="1" a="1"/>
  <c r="CV150" i="1" s="1"/>
  <c r="CV174" i="1" a="1"/>
  <c r="CV174" i="1" s="1"/>
  <c r="CV25" i="1" a="1"/>
  <c r="CV25" i="1" s="1"/>
  <c r="CV70" i="1" a="1"/>
  <c r="CV70" i="1" s="1"/>
  <c r="CV81" i="1" a="1"/>
  <c r="CV81" i="1" s="1"/>
  <c r="CU172" i="1" a="1"/>
  <c r="CU172" i="1" s="1"/>
  <c r="CV66" i="1" a="1"/>
  <c r="CV66" i="1" s="1"/>
  <c r="CU73" i="1" a="1"/>
  <c r="CU73" i="1" s="1"/>
  <c r="CV204" i="1" a="1"/>
  <c r="CV204" i="1" s="1"/>
  <c r="CU144" i="1" a="1"/>
  <c r="CU144" i="1" s="1"/>
  <c r="CV250" i="1" a="1"/>
  <c r="CV250" i="1" s="1"/>
  <c r="CV18" i="1" a="1"/>
  <c r="CV18" i="1" s="1"/>
  <c r="CV202" i="1" a="1"/>
  <c r="CV202" i="1" s="1"/>
  <c r="CU84" i="1" a="1"/>
  <c r="CU84" i="1" s="1"/>
  <c r="CU135" i="1" a="1"/>
  <c r="CU135" i="1" s="1"/>
  <c r="CV39" i="1" a="1"/>
  <c r="CV39" i="1" s="1"/>
  <c r="CU107" i="1" a="1"/>
  <c r="CU107" i="1" s="1"/>
  <c r="CV14" i="1" a="1"/>
  <c r="CV14" i="1" s="1"/>
  <c r="CU208" i="1" a="1"/>
  <c r="CU208" i="1" s="1"/>
  <c r="CV220" i="1" a="1"/>
  <c r="CV220" i="1" s="1"/>
  <c r="CU255" i="1" a="1"/>
  <c r="CU255" i="1" s="1"/>
  <c r="CU160" i="1" a="1"/>
  <c r="CU160" i="1" s="1"/>
  <c r="CV24" i="1" a="1"/>
  <c r="CV24" i="1" s="1"/>
  <c r="CU72" i="1" a="1"/>
  <c r="CU72" i="1" s="1"/>
  <c r="CU247" i="1" a="1"/>
  <c r="CU247" i="1" s="1"/>
  <c r="CV259" i="1" a="1"/>
  <c r="CV259" i="1" s="1"/>
  <c r="CU11" i="1" a="1"/>
  <c r="CU11" i="1" s="1"/>
  <c r="CV190" i="1" a="1"/>
  <c r="CV190" i="1" s="1"/>
  <c r="CU210" i="1" a="1"/>
  <c r="CU210" i="1" s="1"/>
  <c r="CU258" i="1" a="1"/>
  <c r="CU258" i="1" s="1"/>
  <c r="CV83" i="1" a="1"/>
  <c r="CV83" i="1" s="1"/>
  <c r="CU113" i="1" a="1"/>
  <c r="CU113" i="1" s="1"/>
  <c r="CV156" i="1" a="1"/>
  <c r="CV156" i="1" s="1"/>
  <c r="CU256" i="1" a="1"/>
  <c r="CU256" i="1" s="1"/>
  <c r="CV80" i="1" a="1"/>
  <c r="CV80" i="1" s="1"/>
  <c r="CV175" i="1" a="1"/>
  <c r="CV175" i="1" s="1"/>
  <c r="CU35" i="1" a="1"/>
  <c r="CU35" i="1" s="1"/>
  <c r="CV91" i="1" a="1"/>
  <c r="CV91" i="1" s="1"/>
  <c r="CU22" i="1" a="1"/>
  <c r="CU22" i="1" s="1"/>
  <c r="CV114" i="1" a="1"/>
  <c r="CV114" i="1" s="1"/>
  <c r="CV68" i="1" a="1"/>
  <c r="CV68" i="1" s="1"/>
  <c r="CU161" i="1" a="1"/>
  <c r="CU161" i="1" s="1"/>
  <c r="CU16" i="1" a="1"/>
  <c r="CU16" i="1" s="1"/>
  <c r="CV271" i="1" a="1"/>
  <c r="CV271" i="1" s="1"/>
  <c r="CV71" i="1" a="1"/>
  <c r="CV71" i="1" s="1"/>
  <c r="CV10" i="1" a="1"/>
  <c r="CV10" i="1" s="1"/>
  <c r="CU38" i="1" a="1"/>
  <c r="CU38" i="1" s="1"/>
  <c r="CU46" i="1" a="1"/>
  <c r="CU46" i="1" s="1"/>
  <c r="CV54" i="1" a="1"/>
  <c r="CV54" i="1" s="1"/>
  <c r="CV62" i="1" a="1"/>
  <c r="CV62" i="1" s="1"/>
  <c r="CV184" i="1" a="1"/>
  <c r="CV184" i="1" s="1"/>
  <c r="CV78" i="1" a="1"/>
  <c r="CV78" i="1" s="1"/>
  <c r="CV98" i="1" a="1"/>
  <c r="CV98" i="1" s="1"/>
  <c r="CV106" i="1" a="1"/>
  <c r="CV106" i="1" s="1"/>
  <c r="CV89" i="1" a="1"/>
  <c r="CV89" i="1" s="1"/>
  <c r="CU122" i="1" a="1"/>
  <c r="CU122" i="1" s="1"/>
  <c r="CV130" i="1" a="1"/>
  <c r="CV130" i="1" s="1"/>
  <c r="CU138" i="1" a="1"/>
  <c r="CU138" i="1" s="1"/>
  <c r="CU165" i="1" a="1"/>
  <c r="CU165" i="1" s="1"/>
  <c r="CV173" i="1" a="1"/>
  <c r="CV173" i="1" s="1"/>
  <c r="CU181" i="1" a="1"/>
  <c r="CU181" i="1" s="1"/>
  <c r="CV189" i="1" a="1"/>
  <c r="CV189" i="1" s="1"/>
  <c r="CU197" i="1" a="1"/>
  <c r="CU197" i="1" s="1"/>
  <c r="CU205" i="1" a="1"/>
  <c r="CU205" i="1" s="1"/>
  <c r="CV225" i="1" a="1"/>
  <c r="CV225" i="1" s="1"/>
  <c r="CU233" i="1" a="1"/>
  <c r="CU233" i="1" s="1"/>
  <c r="CU241" i="1" a="1"/>
  <c r="CU241" i="1" s="1"/>
  <c r="CU249" i="1" a="1"/>
  <c r="CU249" i="1" s="1"/>
  <c r="CU264" i="1" a="1"/>
  <c r="CU264" i="1" s="1"/>
  <c r="CU39" i="1" a="1"/>
  <c r="CU39" i="1" s="1"/>
  <c r="CV51" i="1" a="1"/>
  <c r="CV51" i="1" s="1"/>
  <c r="CU99" i="1" a="1"/>
  <c r="CU99" i="1" s="1"/>
  <c r="CV107" i="1" a="1"/>
  <c r="CV107" i="1" s="1"/>
  <c r="CU147" i="1" a="1"/>
  <c r="CU147" i="1" s="1"/>
  <c r="CV43" i="1" a="1"/>
  <c r="CV43" i="1" s="1"/>
  <c r="CV59" i="1" a="1"/>
  <c r="CV59" i="1" s="1"/>
  <c r="CV170" i="1" a="1"/>
  <c r="CV170" i="1" s="1"/>
  <c r="CV129" i="1" a="1"/>
  <c r="CV129" i="1" s="1"/>
  <c r="CU67" i="1" a="1"/>
  <c r="CU67" i="1" s="1"/>
  <c r="CU152" i="1" a="1"/>
  <c r="CU152" i="1" s="1"/>
  <c r="CV151" i="1" a="1"/>
  <c r="CV151" i="1" s="1"/>
  <c r="CV102" i="1" a="1"/>
  <c r="CV102" i="1" s="1"/>
  <c r="CV118" i="1" a="1"/>
  <c r="CV118" i="1" s="1"/>
  <c r="CU146" i="1" a="1"/>
  <c r="CU146" i="1" s="1"/>
  <c r="CV210" i="1" a="1"/>
  <c r="CV210" i="1" s="1"/>
  <c r="CV258" i="1" a="1"/>
  <c r="CV258" i="1" s="1"/>
  <c r="CV17" i="1" a="1"/>
  <c r="CV17" i="1" s="1"/>
  <c r="CU55" i="1" a="1"/>
  <c r="CU55" i="1" s="1"/>
  <c r="CU262" i="1" a="1"/>
  <c r="CU262" i="1" s="1"/>
  <c r="CV239" i="1" a="1"/>
  <c r="CV239" i="1" s="1"/>
  <c r="CU261" i="1" a="1"/>
  <c r="CU261" i="1" s="1"/>
  <c r="CV267" i="1" a="1"/>
  <c r="CV267" i="1" s="1"/>
  <c r="CV236" i="1" a="1"/>
  <c r="CV236" i="1" s="1"/>
  <c r="CU150" i="1" a="1"/>
  <c r="CU150" i="1" s="1"/>
  <c r="CU177" i="1" a="1"/>
  <c r="CU177" i="1" s="1"/>
  <c r="CU114" i="1" a="1"/>
  <c r="CU114" i="1" s="1"/>
  <c r="CU217" i="1" a="1"/>
  <c r="CU217" i="1" s="1"/>
  <c r="CV99" i="1" a="1"/>
  <c r="CV99" i="1" s="1"/>
  <c r="CU119" i="1" a="1"/>
  <c r="CU119" i="1" s="1"/>
  <c r="CU234" i="1" a="1"/>
  <c r="CU234" i="1" s="1"/>
  <c r="CU25" i="1" a="1"/>
  <c r="CU25" i="1" s="1"/>
  <c r="CU200" i="1" a="1"/>
  <c r="CU200" i="1" s="1"/>
  <c r="CU43" i="1" a="1"/>
  <c r="CU43" i="1" s="1"/>
  <c r="CU83" i="1" a="1"/>
  <c r="CU83" i="1" s="1"/>
  <c r="CV131" i="1" a="1"/>
  <c r="CV131" i="1" s="1"/>
  <c r="CV194" i="1" a="1"/>
  <c r="CV194" i="1" s="1"/>
  <c r="CU242" i="1" a="1"/>
  <c r="CU242" i="1" s="1"/>
  <c r="CU81" i="1" a="1"/>
  <c r="CU81" i="1" s="1"/>
  <c r="CV36" i="1" a="1"/>
  <c r="CV36" i="1" s="1"/>
  <c r="CU68" i="1" a="1"/>
  <c r="CU68" i="1" s="1"/>
  <c r="CV65" i="1" a="1"/>
  <c r="CV65" i="1" s="1"/>
  <c r="CU195" i="1" a="1"/>
  <c r="CU195" i="1" s="1"/>
  <c r="CU211" i="1" a="1"/>
  <c r="CU211" i="1" s="1"/>
  <c r="CV229" i="1" a="1"/>
  <c r="CV229" i="1" s="1"/>
  <c r="CV245" i="1" a="1"/>
  <c r="CV245" i="1" s="1"/>
  <c r="CV261" i="1" a="1"/>
  <c r="CV261" i="1" s="1"/>
  <c r="CU168" i="1" a="1"/>
  <c r="CU168" i="1" s="1"/>
  <c r="CU162" i="1" a="1"/>
  <c r="CU162" i="1" s="1"/>
  <c r="CV19" i="1" a="1"/>
  <c r="CV19" i="1" s="1"/>
  <c r="CU271" i="1" a="1"/>
  <c r="CU271" i="1" s="1"/>
  <c r="CU186" i="1" a="1"/>
  <c r="CU186" i="1" s="1"/>
  <c r="CV186" i="1" a="1"/>
  <c r="CV186" i="1" s="1"/>
  <c r="CV205" i="1" a="1"/>
  <c r="CV205" i="1" s="1"/>
  <c r="CU237" i="1" a="1"/>
  <c r="CU237" i="1" s="1"/>
  <c r="CV237" i="1" a="1"/>
  <c r="CV237" i="1" s="1"/>
  <c r="CU14" i="1" a="1"/>
  <c r="CU14" i="1" s="1"/>
  <c r="CU54" i="1" a="1"/>
  <c r="CU54" i="1" s="1"/>
  <c r="CU203" i="1" a="1"/>
  <c r="CU203" i="1" s="1"/>
  <c r="CV203" i="1" a="1"/>
  <c r="CV203" i="1" s="1"/>
  <c r="CU106" i="1" a="1"/>
  <c r="CU106" i="1" s="1"/>
  <c r="CV217" i="1" a="1"/>
  <c r="CV217" i="1" s="1"/>
  <c r="CV84" i="1" a="1"/>
  <c r="CV84" i="1" s="1"/>
  <c r="CV22" i="1" a="1"/>
  <c r="CV22" i="1" s="1"/>
  <c r="CV38" i="1" a="1"/>
  <c r="CV38" i="1" s="1"/>
  <c r="CV128" i="1" a="1"/>
  <c r="CV128" i="1" s="1"/>
  <c r="CU202" i="1" a="1"/>
  <c r="CU202" i="1" s="1"/>
  <c r="CV73" i="1" a="1"/>
  <c r="CV73" i="1" s="1"/>
  <c r="CU170" i="1" a="1"/>
  <c r="CU170" i="1" s="1"/>
  <c r="CV67" i="1" a="1"/>
  <c r="CV67" i="1" s="1"/>
  <c r="CV179" i="1" a="1"/>
  <c r="CV179" i="1" s="1"/>
  <c r="CU204" i="1" a="1"/>
  <c r="CU204" i="1" s="1"/>
  <c r="CV198" i="1" a="1"/>
  <c r="CV198" i="1" s="1"/>
  <c r="CV168" i="1" a="1"/>
  <c r="CV168" i="1" s="1"/>
  <c r="CU79" i="1" a="1"/>
  <c r="CU79" i="1" s="1"/>
  <c r="CU34" i="1" a="1"/>
  <c r="CU34" i="1" s="1"/>
  <c r="CU82" i="1" a="1"/>
  <c r="CU82" i="1" s="1"/>
  <c r="CU89" i="1" a="1"/>
  <c r="CU89" i="1" s="1"/>
  <c r="CV64" i="1" a="1"/>
  <c r="CV64" i="1" s="1"/>
  <c r="CV199" i="1" a="1"/>
  <c r="CV199" i="1" s="1"/>
  <c r="CU91" i="1" a="1"/>
  <c r="CU91" i="1" s="1"/>
  <c r="CV266" i="1" a="1"/>
  <c r="CV266" i="1" s="1"/>
  <c r="CU48" i="1" a="1"/>
  <c r="CU48" i="1" s="1"/>
  <c r="CV40" i="1" a="1"/>
  <c r="CV40" i="1" s="1"/>
  <c r="CV26" i="1" a="1"/>
  <c r="CV26" i="1" s="1"/>
  <c r="CV256" i="1" a="1"/>
  <c r="CV256" i="1" s="1"/>
  <c r="CV20" i="1" a="1"/>
  <c r="CV20" i="1" s="1"/>
  <c r="CU20" i="1" a="1"/>
  <c r="CU20" i="1" s="1"/>
  <c r="CV196" i="1" a="1"/>
  <c r="CV196" i="1" s="1"/>
  <c r="CU196" i="1" a="1"/>
  <c r="CU196" i="1" s="1"/>
  <c r="CU178" i="1" a="1"/>
  <c r="CU178" i="1" s="1"/>
  <c r="CV178" i="1" a="1"/>
  <c r="CV178" i="1" s="1"/>
  <c r="CV192" i="1" a="1"/>
  <c r="CV192" i="1" s="1"/>
  <c r="CU192" i="1" a="1"/>
  <c r="CU192" i="1" s="1"/>
  <c r="CU78" i="1" a="1"/>
  <c r="CU78" i="1" s="1"/>
  <c r="CU142" i="1" a="1"/>
  <c r="CU142" i="1" s="1"/>
  <c r="CV142" i="1" a="1"/>
  <c r="CV142" i="1" s="1"/>
  <c r="CU268" i="1" a="1"/>
  <c r="CU268" i="1" s="1"/>
  <c r="CV268" i="1" a="1"/>
  <c r="CV268" i="1" s="1"/>
  <c r="CU51" i="1" a="1"/>
  <c r="CU51" i="1" s="1"/>
  <c r="CV11" i="1" a="1"/>
  <c r="CV11" i="1" s="1"/>
  <c r="CV181" i="1" a="1"/>
  <c r="CV181" i="1" s="1"/>
  <c r="CU53" i="1" a="1"/>
  <c r="CU53" i="1" s="1"/>
  <c r="CV53" i="1" a="1"/>
  <c r="CV53" i="1" s="1"/>
  <c r="CU71" i="1" a="1"/>
  <c r="CU71" i="1" s="1"/>
  <c r="CV123" i="1" a="1"/>
  <c r="CV123" i="1" s="1"/>
  <c r="CU123" i="1" a="1"/>
  <c r="CU123" i="1" s="1"/>
  <c r="CV182" i="1" a="1"/>
  <c r="CV182" i="1" s="1"/>
  <c r="CV255" i="1" a="1"/>
  <c r="CV255" i="1" s="1"/>
  <c r="CV46" i="1" a="1"/>
  <c r="CV46" i="1" s="1"/>
  <c r="CU62" i="1" a="1"/>
  <c r="CU62" i="1" s="1"/>
  <c r="CU173" i="1" a="1"/>
  <c r="CU173" i="1" s="1"/>
  <c r="CU189" i="1" a="1"/>
  <c r="CU189" i="1" s="1"/>
  <c r="CV249" i="1" a="1"/>
  <c r="CV249" i="1" s="1"/>
  <c r="CU32" i="1" a="1"/>
  <c r="CU32" i="1" s="1"/>
  <c r="CV32" i="1" a="1"/>
  <c r="CV32" i="1" s="1"/>
  <c r="CV152" i="1" a="1"/>
  <c r="CV152" i="1" s="1"/>
  <c r="CV69" i="1" a="1"/>
  <c r="CV69" i="1" s="1"/>
  <c r="CU69" i="1" a="1"/>
  <c r="CU69" i="1" s="1"/>
  <c r="CU155" i="1" a="1"/>
  <c r="CU155" i="1" s="1"/>
  <c r="CV155" i="1" a="1"/>
  <c r="CV155" i="1" s="1"/>
  <c r="CU139" i="1" a="1"/>
  <c r="CU139" i="1" s="1"/>
  <c r="CU17" i="1" a="1"/>
  <c r="CU17" i="1" s="1"/>
  <c r="CV97" i="1" a="1"/>
  <c r="CV97" i="1" s="1"/>
  <c r="CU97" i="1" a="1"/>
  <c r="CU97" i="1" s="1"/>
  <c r="CU176" i="1" a="1"/>
  <c r="CU176" i="1" s="1"/>
  <c r="CV176" i="1" a="1"/>
  <c r="CV176" i="1" s="1"/>
  <c r="CU118" i="1" a="1"/>
  <c r="CU118" i="1" s="1"/>
  <c r="CU245" i="1" a="1"/>
  <c r="CU245" i="1" s="1"/>
  <c r="CV136" i="1" a="1"/>
  <c r="CV136" i="1" s="1"/>
  <c r="CV263" i="1" a="1"/>
  <c r="CV263" i="1" s="1"/>
  <c r="CU75" i="1" a="1"/>
  <c r="CU75" i="1" s="1"/>
  <c r="CU41" i="1" a="1"/>
  <c r="CU41" i="1" s="1"/>
  <c r="CV47" i="1" a="1"/>
  <c r="CV47" i="1" s="1"/>
  <c r="CV146" i="1" a="1"/>
  <c r="CV146" i="1" s="1"/>
  <c r="CV241" i="1" a="1"/>
  <c r="CV241" i="1" s="1"/>
  <c r="CU12" i="1" a="1"/>
  <c r="CU12" i="1" s="1"/>
  <c r="CV12" i="1" a="1"/>
  <c r="CV12" i="1" s="1"/>
  <c r="CU116" i="1" a="1"/>
  <c r="CU116" i="1" s="1"/>
  <c r="CV116" i="1" a="1"/>
  <c r="CV116" i="1" s="1"/>
  <c r="CU235" i="1" a="1"/>
  <c r="CU235" i="1" s="1"/>
  <c r="CV235" i="1" a="1"/>
  <c r="CV235" i="1" s="1"/>
  <c r="CV45" i="1" a="1"/>
  <c r="CV45" i="1" s="1"/>
  <c r="CU45" i="1" a="1"/>
  <c r="CU45" i="1" s="1"/>
  <c r="CU103" i="1" a="1"/>
  <c r="CU103" i="1" s="1"/>
  <c r="CV103" i="1" a="1"/>
  <c r="CV103" i="1" s="1"/>
  <c r="CV238" i="1" a="1"/>
  <c r="CV238" i="1" s="1"/>
  <c r="CU238" i="1" a="1"/>
  <c r="CU238" i="1" s="1"/>
  <c r="CV191" i="1" a="1"/>
  <c r="CV191" i="1" s="1"/>
  <c r="CU191" i="1" a="1"/>
  <c r="CU191" i="1" s="1"/>
  <c r="CV95" i="1" a="1"/>
  <c r="CV95" i="1" s="1"/>
  <c r="CV135" i="1" a="1"/>
  <c r="CV135" i="1" s="1"/>
  <c r="CV234" i="1" a="1"/>
  <c r="CV234" i="1" s="1"/>
  <c r="CU163" i="1" a="1"/>
  <c r="CU163" i="1" s="1"/>
  <c r="CV138" i="1" a="1"/>
  <c r="CV138" i="1" s="1"/>
  <c r="CU169" i="1" a="1"/>
  <c r="CU169" i="1" s="1"/>
  <c r="CV169" i="1" a="1"/>
  <c r="CV169" i="1" s="1"/>
  <c r="CV201" i="1" a="1"/>
  <c r="CV201" i="1" s="1"/>
  <c r="CU201" i="1" a="1"/>
  <c r="CU201" i="1" s="1"/>
  <c r="CV264" i="1" a="1"/>
  <c r="CV264" i="1" s="1"/>
  <c r="CV37" i="1" a="1"/>
  <c r="CV37" i="1" s="1"/>
  <c r="CU37" i="1" a="1"/>
  <c r="CU37" i="1" s="1"/>
  <c r="CU206" i="1" a="1"/>
  <c r="CU206" i="1" s="1"/>
  <c r="CV109" i="1" a="1"/>
  <c r="CV109" i="1" s="1"/>
  <c r="CU109" i="1" a="1"/>
  <c r="CU109" i="1" s="1"/>
  <c r="CU60" i="1" a="1"/>
  <c r="CU60" i="1" s="1"/>
  <c r="CV60" i="1" a="1"/>
  <c r="CV60" i="1" s="1"/>
  <c r="CV195" i="1" a="1"/>
  <c r="CV195" i="1" s="1"/>
  <c r="CU66" i="1" a="1"/>
  <c r="CU66" i="1" s="1"/>
  <c r="CU102" i="1" a="1"/>
  <c r="CU102" i="1" s="1"/>
  <c r="CU179" i="1" a="1"/>
  <c r="CU179" i="1" s="1"/>
  <c r="CV148" i="1" a="1"/>
  <c r="CV148" i="1" s="1"/>
  <c r="CU148" i="1" a="1"/>
  <c r="CU148" i="1" s="1"/>
  <c r="CV260" i="1" a="1"/>
  <c r="CV260" i="1" s="1"/>
  <c r="CU260" i="1" a="1"/>
  <c r="CU260" i="1" s="1"/>
  <c r="CU110" i="1" a="1"/>
  <c r="CU110" i="1" s="1"/>
  <c r="CV110" i="1" a="1"/>
  <c r="CV110" i="1" s="1"/>
  <c r="CV124" i="1" a="1"/>
  <c r="CV124" i="1" s="1"/>
  <c r="CU8" i="1" a="1"/>
  <c r="CU8" i="1" s="1"/>
  <c r="CV188" i="1" a="1"/>
  <c r="CV188" i="1" s="1"/>
  <c r="CU188" i="1" a="1"/>
  <c r="CU188" i="1" s="1"/>
  <c r="CV163" i="1" a="1"/>
  <c r="CV163" i="1" s="1"/>
  <c r="CU248" i="1" a="1"/>
  <c r="CU248" i="1" s="1"/>
  <c r="CV248" i="1" a="1"/>
  <c r="CV248" i="1" s="1"/>
  <c r="CV208" i="1" a="1"/>
  <c r="CV208" i="1" s="1"/>
  <c r="CV158" i="1" a="1"/>
  <c r="CV158" i="1" s="1"/>
  <c r="CU134" i="1" a="1"/>
  <c r="CU134" i="1" s="1"/>
  <c r="CU52" i="1" a="1"/>
  <c r="CU52" i="1" s="1"/>
  <c r="CU220" i="1" a="1"/>
  <c r="CU220" i="1" s="1"/>
  <c r="CU224" i="1" a="1"/>
  <c r="CU224" i="1" s="1"/>
  <c r="CV224" i="1" a="1"/>
  <c r="CV224" i="1" s="1"/>
  <c r="CV28" i="1" a="1"/>
  <c r="CV28" i="1" s="1"/>
  <c r="CU28" i="1" a="1"/>
  <c r="CU28" i="1" s="1"/>
  <c r="CV164" i="1" a="1"/>
  <c r="CV164" i="1" s="1"/>
  <c r="CU164" i="1" a="1"/>
  <c r="CU164" i="1" s="1"/>
  <c r="CU232" i="1" a="1"/>
  <c r="CU232" i="1" s="1"/>
  <c r="CV232" i="1" a="1"/>
  <c r="CV232" i="1" s="1"/>
  <c r="CV111" i="1" a="1"/>
  <c r="CV111" i="1" s="1"/>
  <c r="CU111" i="1" a="1"/>
  <c r="CU111" i="1" s="1"/>
  <c r="CU154" i="1" a="1"/>
  <c r="CU154" i="1" s="1"/>
  <c r="CV154" i="1" a="1"/>
  <c r="CV154" i="1" s="1"/>
  <c r="CU33" i="1" a="1"/>
  <c r="CU33" i="1" s="1"/>
  <c r="CV228" i="1" a="1"/>
  <c r="CV228" i="1" s="1"/>
  <c r="CU228" i="1" a="1"/>
  <c r="CU228" i="1" s="1"/>
  <c r="CV27" i="1" a="1"/>
  <c r="CV27" i="1" s="1"/>
  <c r="CU27" i="1" a="1"/>
  <c r="CU27" i="1" s="1"/>
  <c r="CU59" i="1" a="1"/>
  <c r="CU59" i="1" s="1"/>
  <c r="CU143" i="1" a="1"/>
  <c r="CU143" i="1" s="1"/>
  <c r="CV143" i="1" a="1"/>
  <c r="CV143" i="1" s="1"/>
  <c r="CV254" i="1" a="1"/>
  <c r="CV254" i="1" s="1"/>
  <c r="CU254" i="1" a="1"/>
  <c r="CU254" i="1" s="1"/>
  <c r="CV30" i="1" a="1"/>
  <c r="CV30" i="1" s="1"/>
  <c r="CU94" i="1" a="1"/>
  <c r="CU94" i="1" s="1"/>
  <c r="CV94" i="1" a="1"/>
  <c r="CV94" i="1" s="1"/>
  <c r="CU126" i="1" a="1"/>
  <c r="CU126" i="1" s="1"/>
  <c r="CV126" i="1" a="1"/>
  <c r="CV126" i="1" s="1"/>
  <c r="CU157" i="1" a="1"/>
  <c r="CU157" i="1" s="1"/>
  <c r="CU221" i="1" a="1"/>
  <c r="CU221" i="1" s="1"/>
  <c r="CV221" i="1" a="1"/>
  <c r="CV221" i="1" s="1"/>
  <c r="CV253" i="1" a="1"/>
  <c r="CV253" i="1" s="1"/>
  <c r="CU253" i="1" a="1"/>
  <c r="CU253" i="1" s="1"/>
  <c r="CU24" i="1" a="1"/>
  <c r="CU24" i="1" s="1"/>
  <c r="CV180" i="1" a="1"/>
  <c r="CV180" i="1" s="1"/>
  <c r="CU180" i="1" a="1"/>
  <c r="CU180" i="1" s="1"/>
  <c r="CV31" i="1" a="1"/>
  <c r="CV31" i="1" s="1"/>
  <c r="CV230" i="1" a="1"/>
  <c r="CV230" i="1" s="1"/>
  <c r="CU230" i="1" a="1"/>
  <c r="CU230" i="1" s="1"/>
  <c r="CU216" i="1" a="1"/>
  <c r="CU216" i="1" s="1"/>
  <c r="CV216" i="1" a="1"/>
  <c r="CV216" i="1" s="1"/>
  <c r="CU87" i="1" a="1"/>
  <c r="CU87" i="1" s="1"/>
  <c r="CV87" i="1" a="1"/>
  <c r="CV87" i="1" s="1"/>
  <c r="CU229" i="1" a="1"/>
  <c r="CU229" i="1" s="1"/>
  <c r="CV113" i="1" a="1"/>
  <c r="CV113" i="1" s="1"/>
  <c r="CU36" i="1" a="1"/>
  <c r="CU36" i="1" s="1"/>
  <c r="CV23" i="1" a="1"/>
  <c r="CV23" i="1" s="1"/>
  <c r="CV55" i="1" a="1"/>
  <c r="CV55" i="1" s="1"/>
  <c r="CU131" i="1" a="1"/>
  <c r="CU131" i="1" s="1"/>
  <c r="CU19" i="1" a="1"/>
  <c r="CU19" i="1" s="1"/>
  <c r="CU129" i="1" a="1"/>
  <c r="CU129" i="1" s="1"/>
  <c r="CU151" i="1" a="1"/>
  <c r="CU151" i="1" s="1"/>
  <c r="CU130" i="1" a="1"/>
  <c r="CU130" i="1" s="1"/>
  <c r="CV177" i="1" a="1"/>
  <c r="CV177" i="1" s="1"/>
  <c r="CU257" i="1" a="1"/>
  <c r="CU257" i="1" s="1"/>
  <c r="CV100" i="1" a="1"/>
  <c r="CV100" i="1" s="1"/>
  <c r="CU100" i="1" a="1"/>
  <c r="CU100" i="1" s="1"/>
  <c r="CU153" i="1" a="1"/>
  <c r="CU153" i="1" s="1"/>
  <c r="CV153" i="1" a="1"/>
  <c r="CV153" i="1" s="1"/>
  <c r="CV207" i="1" a="1"/>
  <c r="CV207" i="1" s="1"/>
  <c r="CU207" i="1" a="1"/>
  <c r="CU207" i="1" s="1"/>
  <c r="CU243" i="1" a="1"/>
  <c r="CU243" i="1" s="1"/>
  <c r="CV243" i="1" a="1"/>
  <c r="CV243" i="1" s="1"/>
  <c r="CV57" i="1" a="1"/>
  <c r="CV57" i="1" s="1"/>
  <c r="CU57" i="1" a="1"/>
  <c r="CU57" i="1" s="1"/>
  <c r="CV244" i="1" a="1"/>
  <c r="CV244" i="1" s="1"/>
  <c r="CU244" i="1" a="1"/>
  <c r="CU244" i="1" s="1"/>
  <c r="CV147" i="1" a="1"/>
  <c r="CV147" i="1" s="1"/>
  <c r="CU214" i="1" a="1"/>
  <c r="CU214" i="1" s="1"/>
  <c r="CV214" i="1" a="1"/>
  <c r="CV214" i="1" s="1"/>
  <c r="CU141" i="1" a="1"/>
  <c r="CU141" i="1" s="1"/>
  <c r="CV141" i="1" a="1"/>
  <c r="CV141" i="1" s="1"/>
  <c r="CU252" i="1" a="1"/>
  <c r="CU252" i="1" s="1"/>
  <c r="CV63" i="1" a="1"/>
  <c r="CV63" i="1" s="1"/>
  <c r="CU10" i="1" a="1"/>
  <c r="CU10" i="1" s="1"/>
  <c r="CU42" i="1" a="1"/>
  <c r="CU42" i="1" s="1"/>
  <c r="CV42" i="1" a="1"/>
  <c r="CV42" i="1" s="1"/>
  <c r="CU74" i="1" a="1"/>
  <c r="CU74" i="1" s="1"/>
  <c r="CV74" i="1" a="1"/>
  <c r="CV74" i="1" s="1"/>
  <c r="CV122" i="1" a="1"/>
  <c r="CV122" i="1" s="1"/>
  <c r="CV233" i="1" a="1"/>
  <c r="CV233" i="1" s="1"/>
  <c r="CU159" i="1" a="1"/>
  <c r="CU159" i="1" s="1"/>
  <c r="CV159" i="1" a="1"/>
  <c r="CV159" i="1" s="1"/>
  <c r="CU125" i="1" a="1"/>
  <c r="CU125" i="1" s="1"/>
  <c r="CV125" i="1" a="1"/>
  <c r="CV125" i="1" s="1"/>
  <c r="CU184" i="1" a="1"/>
  <c r="CU184" i="1" s="1"/>
  <c r="CV44" i="1" a="1"/>
  <c r="CV44" i="1" s="1"/>
  <c r="CU44" i="1" a="1"/>
  <c r="CU44" i="1" s="1"/>
  <c r="CU112" i="1" a="1"/>
  <c r="CU112" i="1" s="1"/>
  <c r="CU65" i="1" a="1"/>
  <c r="CU65" i="1" s="1"/>
  <c r="CV247" i="1" a="1"/>
  <c r="CV247" i="1" s="1"/>
  <c r="CU269" i="1" a="1"/>
  <c r="CU269" i="1" s="1"/>
  <c r="CV160" i="1" a="1"/>
  <c r="CV160" i="1" s="1"/>
  <c r="CV119" i="1" a="1"/>
  <c r="CV119" i="1" s="1"/>
  <c r="CV200" i="1" a="1"/>
  <c r="CV200" i="1" s="1"/>
  <c r="CV262" i="1" a="1"/>
  <c r="CV262" i="1" s="1"/>
  <c r="CU193" i="1" a="1"/>
  <c r="CU193" i="1" s="1"/>
  <c r="CV213" i="1" a="1"/>
  <c r="CV213" i="1" s="1"/>
  <c r="CU213" i="1" a="1"/>
  <c r="CU213" i="1" s="1"/>
  <c r="CV104" i="1" a="1"/>
  <c r="CV104" i="1" s="1"/>
  <c r="CV144" i="1" a="1"/>
  <c r="CV144" i="1" s="1"/>
  <c r="CV231" i="1" a="1"/>
  <c r="CV231" i="1" s="1"/>
  <c r="CV29" i="1" a="1"/>
  <c r="CV29" i="1" s="1"/>
  <c r="CU174" i="1" a="1"/>
  <c r="CU174" i="1" s="1"/>
  <c r="CU101" i="1" a="1"/>
  <c r="CU101" i="1" s="1"/>
  <c r="CU209" i="1" a="1"/>
  <c r="CU209" i="1" s="1"/>
  <c r="CU190" i="1" a="1"/>
  <c r="CU190" i="1" s="1"/>
  <c r="CU18" i="1" a="1"/>
  <c r="CU18" i="1" s="1"/>
  <c r="CV50" i="1" a="1"/>
  <c r="CV50" i="1" s="1"/>
  <c r="CU98" i="1" a="1"/>
  <c r="CU98" i="1" s="1"/>
  <c r="CV161" i="1" a="1"/>
  <c r="CV161" i="1" s="1"/>
  <c r="CU225" i="1" a="1"/>
  <c r="CU225" i="1" s="1"/>
  <c r="CU13" i="1" a="1"/>
  <c r="CU13" i="1" s="1"/>
  <c r="CU140" i="1" a="1"/>
  <c r="CU140" i="1" s="1"/>
  <c r="CU167" i="1" a="1"/>
  <c r="CU167" i="1" s="1"/>
  <c r="CU259" i="1" a="1"/>
  <c r="CU259" i="1" s="1"/>
  <c r="CU56" i="1" a="1"/>
  <c r="CU56" i="1" s="1"/>
  <c r="CV85" i="1" a="1"/>
  <c r="CV85" i="1" s="1"/>
  <c r="CV35" i="1" a="1"/>
  <c r="CV35" i="1" s="1"/>
  <c r="CV183" i="1" a="1"/>
  <c r="CV183" i="1" s="1"/>
  <c r="CU267" i="1" a="1"/>
  <c r="CU267" i="1" s="1"/>
  <c r="CV72" i="1" a="1"/>
  <c r="CV72" i="1" s="1"/>
  <c r="CV251" i="1" a="1"/>
  <c r="CV251" i="1" s="1"/>
  <c r="CU236" i="1" a="1"/>
  <c r="CU236" i="1" s="1"/>
  <c r="CU80" i="1" a="1"/>
  <c r="CU80" i="1" s="1"/>
  <c r="CU21" i="1" a="1"/>
  <c r="CU21" i="1" s="1"/>
  <c r="CV21" i="1" a="1"/>
  <c r="CV21" i="1" s="1"/>
  <c r="CV137" i="1" a="1"/>
  <c r="CV137" i="1" s="1"/>
  <c r="CU137" i="1" a="1"/>
  <c r="CU137" i="1" s="1"/>
  <c r="CU76" i="1" a="1"/>
  <c r="CU76" i="1" s="1"/>
  <c r="CV76" i="1" a="1"/>
  <c r="CV76" i="1" s="1"/>
  <c r="CV41" i="1" a="1"/>
  <c r="CV41" i="1" s="1"/>
  <c r="CU7" i="1" a="1"/>
  <c r="CU7" i="1" s="1"/>
  <c r="CU226" i="1" a="1"/>
  <c r="CU226" i="1" s="1"/>
  <c r="CV58" i="1" a="1"/>
  <c r="CV58" i="1" s="1"/>
  <c r="CU58" i="1" a="1"/>
  <c r="CU58" i="1" s="1"/>
  <c r="CV77" i="1" a="1"/>
  <c r="CV77" i="1" s="1"/>
  <c r="CV16" i="1" a="1"/>
  <c r="CV16" i="1" s="1"/>
  <c r="CV88" i="1" a="1"/>
  <c r="CV88" i="1" s="1"/>
  <c r="CU88" i="1" a="1"/>
  <c r="CU88" i="1" s="1"/>
  <c r="CU215" i="1" a="1"/>
  <c r="CU215" i="1" s="1"/>
  <c r="CV215" i="1" a="1"/>
  <c r="CV215" i="1" s="1"/>
  <c r="CV9" i="1" a="1"/>
  <c r="CV9" i="1" s="1"/>
  <c r="CU9" i="1" a="1"/>
  <c r="CU9" i="1" s="1"/>
  <c r="CV92" i="1" a="1"/>
  <c r="CV92" i="1" s="1"/>
  <c r="CU92" i="1" a="1"/>
  <c r="CU92" i="1" s="1"/>
  <c r="CU270" i="1" a="1"/>
  <c r="CU270" i="1" s="1"/>
  <c r="CV270" i="1" a="1"/>
  <c r="CV270" i="1" s="1"/>
  <c r="CV212" i="1" a="1"/>
  <c r="CV212" i="1" s="1"/>
  <c r="CU212" i="1" a="1"/>
  <c r="CU212" i="1" s="1"/>
  <c r="CU96" i="1" a="1"/>
  <c r="CU96" i="1" s="1"/>
  <c r="CV96" i="1" a="1"/>
  <c r="CV96" i="1" s="1"/>
  <c r="CV223" i="1" a="1"/>
  <c r="CV223" i="1" s="1"/>
  <c r="CU223" i="1" a="1"/>
  <c r="CU223" i="1" s="1"/>
  <c r="CU93" i="1" a="1"/>
  <c r="CU93" i="1" s="1"/>
  <c r="CV93" i="1" a="1"/>
  <c r="CV93" i="1" s="1"/>
  <c r="CU15" i="1" a="1"/>
  <c r="CU15" i="1" s="1"/>
  <c r="CV15" i="1" a="1"/>
  <c r="CV15" i="1" s="1"/>
  <c r="CV121" i="1" a="1"/>
  <c r="CV121" i="1" s="1"/>
  <c r="CU121" i="1" a="1"/>
  <c r="CU121" i="1" s="1"/>
  <c r="CV166" i="1" a="1"/>
  <c r="CV166" i="1" s="1"/>
  <c r="CU166" i="1" a="1"/>
  <c r="CU166" i="1" s="1"/>
  <c r="CU246" i="1" a="1"/>
  <c r="CU246" i="1" s="1"/>
  <c r="CV246" i="1" a="1"/>
  <c r="CV246" i="1" s="1"/>
  <c r="CV149" i="1" a="1"/>
  <c r="CV149" i="1" s="1"/>
  <c r="CU149" i="1" a="1"/>
  <c r="CU149" i="1" s="1"/>
  <c r="CU240" i="1" a="1"/>
  <c r="CU240" i="1" s="1"/>
  <c r="CV240" i="1" a="1"/>
  <c r="CV240" i="1" s="1"/>
  <c r="CV222" i="1" a="1"/>
  <c r="CV222" i="1" s="1"/>
  <c r="CU222" i="1" a="1"/>
  <c r="CU222" i="1" s="1"/>
  <c r="CU265" i="1" a="1"/>
  <c r="CU265" i="1" s="1"/>
  <c r="CV265" i="1" a="1"/>
  <c r="CV265" i="1" s="1"/>
  <c r="CU30" i="1" a="1"/>
  <c r="CU30" i="1" s="1"/>
  <c r="CV157" i="1" a="1"/>
  <c r="CV157" i="1" s="1"/>
  <c r="CV49" i="1" a="1"/>
  <c r="CV49" i="1" s="1"/>
  <c r="CU105" i="1" a="1"/>
  <c r="CU105" i="1" s="1"/>
  <c r="CV105" i="1" a="1"/>
  <c r="CV105" i="1" s="1"/>
  <c r="CU31" i="1" a="1"/>
  <c r="CU31" i="1" s="1"/>
  <c r="CU86" i="1" a="1"/>
  <c r="CU86" i="1" s="1"/>
  <c r="CV86" i="1" a="1"/>
  <c r="CV86" i="1" s="1"/>
  <c r="CV187" i="1" a="1"/>
  <c r="CV187" i="1" s="1"/>
  <c r="CU187" i="1" a="1"/>
  <c r="CU187" i="1" s="1"/>
  <c r="CU117" i="1" a="1"/>
  <c r="CU117" i="1" s="1"/>
  <c r="CV117" i="1" a="1"/>
  <c r="CV117" i="1" s="1"/>
  <c r="CV108" i="1" a="1"/>
  <c r="CV108" i="1" s="1"/>
  <c r="CU108" i="1" a="1"/>
  <c r="CU108" i="1" s="1"/>
  <c r="CV132" i="1" a="1"/>
  <c r="CV132" i="1" s="1"/>
  <c r="CU132" i="1" a="1"/>
  <c r="CU132" i="1" s="1"/>
  <c r="CV227" i="1" a="1"/>
  <c r="CV227" i="1" s="1"/>
  <c r="CU227" i="1" a="1"/>
  <c r="CU227" i="1" s="1"/>
  <c r="CU133" i="1" a="1"/>
  <c r="CU133" i="1" s="1"/>
  <c r="CV133" i="1" a="1"/>
  <c r="CV133" i="1" s="1"/>
  <c r="CU120" i="1" a="1"/>
  <c r="CU120" i="1" s="1"/>
  <c r="CV120" i="1" a="1"/>
  <c r="CV120" i="1" s="1"/>
  <c r="CU115" i="1" a="1"/>
  <c r="CU115" i="1" s="1"/>
  <c r="CV115" i="1" a="1"/>
  <c r="CV115" i="1" s="1"/>
  <c r="CU185" i="1" a="1"/>
  <c r="CU185" i="1" s="1"/>
  <c r="CV185" i="1" a="1"/>
  <c r="CV185" i="1" s="1"/>
  <c r="CU219" i="1" a="1"/>
  <c r="CU219" i="1" s="1"/>
  <c r="CV219" i="1" a="1"/>
  <c r="CV219" i="1" s="1"/>
  <c r="CV145" i="1" a="1"/>
  <c r="CV145" i="1" s="1"/>
  <c r="CU145" i="1" a="1"/>
  <c r="CU145" i="1" s="1"/>
  <c r="CU218" i="1" a="1"/>
  <c r="CU218" i="1" s="1"/>
  <c r="CV218" i="1" a="1"/>
  <c r="CV218" i="1" s="1"/>
  <c r="CU61" i="1" a="1"/>
  <c r="CU61" i="1" s="1"/>
  <c r="CV61" i="1" a="1"/>
  <c r="CV61" i="1" s="1"/>
  <c r="CV112" i="1" a="1"/>
  <c r="CV112" i="1" s="1"/>
  <c r="CW258" i="1" l="1"/>
  <c r="DK258" i="1" s="1"/>
  <c r="CW113" i="1"/>
  <c r="DC113" i="1" s="1"/>
  <c r="CW216" i="1"/>
  <c r="CW13" i="1"/>
  <c r="CX13" i="1" s="1"/>
  <c r="CW101" i="1"/>
  <c r="CW127" i="1"/>
  <c r="CX127" i="1" s="1"/>
  <c r="CW210" i="1"/>
  <c r="DB210" i="1" s="1"/>
  <c r="CW95" i="1"/>
  <c r="DB95" i="1" s="1"/>
  <c r="CW124" i="1"/>
  <c r="CX124" i="1" s="1"/>
  <c r="CW209" i="1"/>
  <c r="CX209" i="1" s="1"/>
  <c r="CW79" i="1"/>
  <c r="DF79" i="1" s="1"/>
  <c r="CW250" i="1"/>
  <c r="DB250" i="1" s="1"/>
  <c r="CW112" i="1"/>
  <c r="DF112" i="1" s="1"/>
  <c r="CW267" i="1"/>
  <c r="CZ267" i="1" s="1"/>
  <c r="CW242" i="1"/>
  <c r="CW252" i="1"/>
  <c r="DA252" i="1" s="1"/>
  <c r="CW158" i="1"/>
  <c r="CW40" i="1"/>
  <c r="CW34" i="1"/>
  <c r="CW194" i="1"/>
  <c r="CW25" i="1"/>
  <c r="CW160" i="1"/>
  <c r="CW10" i="1"/>
  <c r="CW66" i="1"/>
  <c r="CY66" i="1" s="1"/>
  <c r="CW75" i="1"/>
  <c r="CW182" i="1"/>
  <c r="CW48" i="1"/>
  <c r="CW140" i="1"/>
  <c r="DA140" i="1" s="1"/>
  <c r="CW129" i="1"/>
  <c r="CW206" i="1"/>
  <c r="CW139" i="1"/>
  <c r="CW175" i="1"/>
  <c r="CY175" i="1" s="1"/>
  <c r="CW161" i="1"/>
  <c r="CW104" i="1"/>
  <c r="CW63" i="1"/>
  <c r="CW52" i="1"/>
  <c r="CW197" i="1"/>
  <c r="CW138" i="1"/>
  <c r="CW135" i="1"/>
  <c r="CW172" i="1"/>
  <c r="CW171" i="1"/>
  <c r="CW226" i="1"/>
  <c r="CW183" i="1"/>
  <c r="CW190" i="1"/>
  <c r="CW249" i="1"/>
  <c r="CW173" i="1"/>
  <c r="CW255" i="1"/>
  <c r="CW202" i="1"/>
  <c r="CW162" i="1"/>
  <c r="CW150" i="1"/>
  <c r="CW165" i="1"/>
  <c r="CW251" i="1"/>
  <c r="CW231" i="1"/>
  <c r="CW204" i="1"/>
  <c r="CW211" i="1"/>
  <c r="CW49" i="1"/>
  <c r="CW77" i="1"/>
  <c r="CW72" i="1"/>
  <c r="CW269" i="1"/>
  <c r="CW177" i="1"/>
  <c r="CW55" i="1"/>
  <c r="CW81" i="1"/>
  <c r="CW107" i="1"/>
  <c r="CW156" i="1"/>
  <c r="CW236" i="1"/>
  <c r="CW225" i="1"/>
  <c r="CW29" i="1"/>
  <c r="CW151" i="1"/>
  <c r="CW264" i="1"/>
  <c r="CW263" i="1"/>
  <c r="CW71" i="1"/>
  <c r="CW181" i="1"/>
  <c r="CW26" i="1"/>
  <c r="CW14" i="1"/>
  <c r="CW7" i="1"/>
  <c r="CW35" i="1"/>
  <c r="CW257" i="1"/>
  <c r="CW195" i="1"/>
  <c r="CW199" i="1"/>
  <c r="CW198" i="1"/>
  <c r="CW85" i="1"/>
  <c r="CW98" i="1"/>
  <c r="CW144" i="1"/>
  <c r="CW234" i="1"/>
  <c r="CW64" i="1"/>
  <c r="CW170" i="1"/>
  <c r="CW68" i="1"/>
  <c r="CW56" i="1"/>
  <c r="CW174" i="1"/>
  <c r="CW262" i="1"/>
  <c r="CW247" i="1"/>
  <c r="CW130" i="1"/>
  <c r="CW228" i="1"/>
  <c r="CW8" i="1"/>
  <c r="CW47" i="1"/>
  <c r="CW266" i="1"/>
  <c r="CW84" i="1"/>
  <c r="CW54" i="1"/>
  <c r="CW261" i="1"/>
  <c r="CW51" i="1"/>
  <c r="CW83" i="1"/>
  <c r="CW100" i="1"/>
  <c r="CW221" i="1"/>
  <c r="CW254" i="1"/>
  <c r="CW232" i="1"/>
  <c r="CW200" i="1"/>
  <c r="CW184" i="1"/>
  <c r="CW89" i="1"/>
  <c r="CW38" i="1"/>
  <c r="CW167" i="1"/>
  <c r="CW24" i="1"/>
  <c r="CW220" i="1"/>
  <c r="CW118" i="1"/>
  <c r="CW57" i="1"/>
  <c r="CW16" i="1"/>
  <c r="CW193" i="1"/>
  <c r="CW11" i="1"/>
  <c r="CW22" i="1"/>
  <c r="CW239" i="1"/>
  <c r="CW39" i="1"/>
  <c r="CW132" i="1"/>
  <c r="CW207" i="1"/>
  <c r="CW215" i="1"/>
  <c r="CW80" i="1"/>
  <c r="CW42" i="1"/>
  <c r="CW23" i="1"/>
  <c r="CW229" i="1"/>
  <c r="CW94" i="1"/>
  <c r="CW134" i="1"/>
  <c r="CW241" i="1"/>
  <c r="CW17" i="1"/>
  <c r="CW67" i="1"/>
  <c r="CW128" i="1"/>
  <c r="CW99" i="1"/>
  <c r="CW187" i="1"/>
  <c r="CW222" i="1"/>
  <c r="CW119" i="1"/>
  <c r="CW122" i="1"/>
  <c r="CW19" i="1"/>
  <c r="CW110" i="1"/>
  <c r="CW245" i="1"/>
  <c r="CW46" i="1"/>
  <c r="CW205" i="1"/>
  <c r="CW271" i="1"/>
  <c r="CW114" i="1"/>
  <c r="CW152" i="1"/>
  <c r="CW78" i="1"/>
  <c r="CW227" i="1"/>
  <c r="CW65" i="1"/>
  <c r="CW59" i="1"/>
  <c r="CW146" i="1"/>
  <c r="CW97" i="1"/>
  <c r="CW62" i="1"/>
  <c r="CW91" i="1"/>
  <c r="CW70" i="1"/>
  <c r="CW90" i="1"/>
  <c r="CW61" i="1"/>
  <c r="CW145" i="1"/>
  <c r="CW185" i="1"/>
  <c r="CW133" i="1"/>
  <c r="CW265" i="1"/>
  <c r="CW240" i="1"/>
  <c r="CW121" i="1"/>
  <c r="CW212" i="1"/>
  <c r="CW9" i="1"/>
  <c r="CW88" i="1"/>
  <c r="CW125" i="1"/>
  <c r="CW233" i="1"/>
  <c r="CW214" i="1"/>
  <c r="CW147" i="1"/>
  <c r="CW244" i="1"/>
  <c r="CW243" i="1"/>
  <c r="CW131" i="1"/>
  <c r="CW230" i="1"/>
  <c r="CW253" i="1"/>
  <c r="CW143" i="1"/>
  <c r="CW27" i="1"/>
  <c r="CW28" i="1"/>
  <c r="CW148" i="1"/>
  <c r="CW37" i="1"/>
  <c r="CW191" i="1"/>
  <c r="CW238" i="1"/>
  <c r="CW45" i="1"/>
  <c r="CW176" i="1"/>
  <c r="CW32" i="1"/>
  <c r="CW189" i="1"/>
  <c r="CW123" i="1"/>
  <c r="CW142" i="1"/>
  <c r="CW196" i="1"/>
  <c r="CW256" i="1"/>
  <c r="CW115" i="1"/>
  <c r="CW120" i="1"/>
  <c r="CW157" i="1"/>
  <c r="CW93" i="1"/>
  <c r="CW50" i="1"/>
  <c r="CW36" i="1"/>
  <c r="CW33" i="1"/>
  <c r="CW208" i="1"/>
  <c r="CW163" i="1"/>
  <c r="CW60" i="1"/>
  <c r="CW235" i="1"/>
  <c r="CW136" i="1"/>
  <c r="CW82" i="1"/>
  <c r="CW73" i="1"/>
  <c r="CW217" i="1"/>
  <c r="CW186" i="1"/>
  <c r="CW259" i="1"/>
  <c r="CW18" i="1"/>
  <c r="CW102" i="1"/>
  <c r="CW53" i="1"/>
  <c r="CW168" i="1"/>
  <c r="CW106" i="1"/>
  <c r="CW43" i="1"/>
  <c r="CW108" i="1"/>
  <c r="CW117" i="1"/>
  <c r="CW15" i="1"/>
  <c r="CW58" i="1"/>
  <c r="CW44" i="1"/>
  <c r="CW153" i="1"/>
  <c r="CW31" i="1"/>
  <c r="CW111" i="1"/>
  <c r="CW164" i="1"/>
  <c r="CW188" i="1"/>
  <c r="CW201" i="1"/>
  <c r="CW86" i="1"/>
  <c r="CW105" i="1"/>
  <c r="CW149" i="1"/>
  <c r="CW246" i="1"/>
  <c r="CW166" i="1"/>
  <c r="CW223" i="1"/>
  <c r="CW96" i="1"/>
  <c r="CW270" i="1"/>
  <c r="CW92" i="1"/>
  <c r="CW137" i="1"/>
  <c r="CW213" i="1"/>
  <c r="CW159" i="1"/>
  <c r="CW87" i="1"/>
  <c r="CW180" i="1"/>
  <c r="CW30" i="1"/>
  <c r="CW154" i="1"/>
  <c r="CW224" i="1"/>
  <c r="CW248" i="1"/>
  <c r="CW260" i="1"/>
  <c r="CW109" i="1"/>
  <c r="CW169" i="1"/>
  <c r="CW103" i="1"/>
  <c r="CW12" i="1"/>
  <c r="CW69" i="1"/>
  <c r="CW192" i="1"/>
  <c r="CW179" i="1"/>
  <c r="CW218" i="1"/>
  <c r="CW219" i="1"/>
  <c r="CW41" i="1"/>
  <c r="CW76" i="1"/>
  <c r="CW21" i="1"/>
  <c r="CW74" i="1"/>
  <c r="CW141" i="1"/>
  <c r="CW126" i="1"/>
  <c r="CW116" i="1"/>
  <c r="CW155" i="1"/>
  <c r="CW268" i="1"/>
  <c r="CW178" i="1"/>
  <c r="CW20" i="1"/>
  <c r="CW203" i="1"/>
  <c r="CW237" i="1"/>
  <c r="CX258" i="1" l="1"/>
  <c r="DA258" i="1"/>
  <c r="CZ258" i="1"/>
  <c r="CY258" i="1"/>
  <c r="CY113" i="1"/>
  <c r="DI113" i="1"/>
  <c r="DH258" i="1"/>
  <c r="DC258" i="1"/>
  <c r="DG258" i="1"/>
  <c r="DE258" i="1"/>
  <c r="DJ258" i="1"/>
  <c r="DB258" i="1"/>
  <c r="DD258" i="1"/>
  <c r="DI258" i="1"/>
  <c r="DF258" i="1"/>
  <c r="DG113" i="1"/>
  <c r="DH113" i="1"/>
  <c r="DJ113" i="1"/>
  <c r="DB113" i="1"/>
  <c r="DK113" i="1"/>
  <c r="DF113" i="1"/>
  <c r="CX113" i="1"/>
  <c r="DA113" i="1"/>
  <c r="DD113" i="1"/>
  <c r="CZ113" i="1"/>
  <c r="DE113" i="1"/>
  <c r="DH267" i="1"/>
  <c r="DB101" i="1"/>
  <c r="CZ101" i="1"/>
  <c r="DD101" i="1"/>
  <c r="DA101" i="1"/>
  <c r="DE101" i="1"/>
  <c r="DC101" i="1"/>
  <c r="CZ186" i="1"/>
  <c r="DD186" i="1"/>
  <c r="DC186" i="1"/>
  <c r="DA186" i="1"/>
  <c r="DE186" i="1"/>
  <c r="DB186" i="1"/>
  <c r="DC127" i="1"/>
  <c r="DA127" i="1"/>
  <c r="DH127" i="1"/>
  <c r="DF127" i="1"/>
  <c r="DJ127" i="1"/>
  <c r="DE127" i="1"/>
  <c r="DB127" i="1"/>
  <c r="CZ127" i="1"/>
  <c r="DI127" i="1"/>
  <c r="DD127" i="1"/>
  <c r="DK127" i="1"/>
  <c r="CY127" i="1"/>
  <c r="DG127" i="1"/>
  <c r="DI210" i="1"/>
  <c r="DC210" i="1"/>
  <c r="DK210" i="1"/>
  <c r="DE210" i="1"/>
  <c r="DA210" i="1"/>
  <c r="DG210" i="1"/>
  <c r="DD210" i="1"/>
  <c r="CX210" i="1"/>
  <c r="CZ210" i="1"/>
  <c r="DH210" i="1"/>
  <c r="DF210" i="1"/>
  <c r="CY210" i="1"/>
  <c r="DJ210" i="1"/>
  <c r="DH13" i="1"/>
  <c r="CZ13" i="1"/>
  <c r="DD124" i="1"/>
  <c r="CY79" i="1"/>
  <c r="DE124" i="1"/>
  <c r="CY95" i="1"/>
  <c r="CY13" i="1"/>
  <c r="CZ250" i="1"/>
  <c r="DA13" i="1"/>
  <c r="DI95" i="1"/>
  <c r="CX250" i="1"/>
  <c r="DA95" i="1"/>
  <c r="CY250" i="1"/>
  <c r="DE95" i="1"/>
  <c r="CZ95" i="1"/>
  <c r="DA250" i="1"/>
  <c r="DF95" i="1"/>
  <c r="DJ250" i="1"/>
  <c r="DG13" i="1"/>
  <c r="DH79" i="1"/>
  <c r="DI250" i="1"/>
  <c r="DC13" i="1"/>
  <c r="DH95" i="1"/>
  <c r="DJ13" i="1"/>
  <c r="DD95" i="1"/>
  <c r="DE13" i="1"/>
  <c r="DF13" i="1"/>
  <c r="DK95" i="1"/>
  <c r="DK13" i="1"/>
  <c r="DJ95" i="1"/>
  <c r="DI13" i="1"/>
  <c r="DG95" i="1"/>
  <c r="DD13" i="1"/>
  <c r="DB13" i="1"/>
  <c r="CX95" i="1"/>
  <c r="DJ124" i="1"/>
  <c r="CZ124" i="1"/>
  <c r="DH124" i="1"/>
  <c r="DC95" i="1"/>
  <c r="DI209" i="1"/>
  <c r="DG209" i="1"/>
  <c r="CY209" i="1"/>
  <c r="CZ112" i="1"/>
  <c r="CY124" i="1"/>
  <c r="DA209" i="1"/>
  <c r="DH209" i="1"/>
  <c r="DI124" i="1"/>
  <c r="DC124" i="1"/>
  <c r="DF124" i="1"/>
  <c r="DE209" i="1"/>
  <c r="DF209" i="1"/>
  <c r="DK124" i="1"/>
  <c r="DK209" i="1"/>
  <c r="DC209" i="1"/>
  <c r="DA124" i="1"/>
  <c r="CZ209" i="1"/>
  <c r="DJ209" i="1"/>
  <c r="DG124" i="1"/>
  <c r="DB124" i="1"/>
  <c r="DD209" i="1"/>
  <c r="DB209" i="1"/>
  <c r="DH250" i="1"/>
  <c r="DC250" i="1"/>
  <c r="DG250" i="1"/>
  <c r="DA79" i="1"/>
  <c r="DI79" i="1"/>
  <c r="DK79" i="1"/>
  <c r="CZ79" i="1"/>
  <c r="CY267" i="1"/>
  <c r="DG79" i="1"/>
  <c r="DJ79" i="1"/>
  <c r="DC79" i="1"/>
  <c r="DE79" i="1"/>
  <c r="DB79" i="1"/>
  <c r="CX79" i="1"/>
  <c r="DD250" i="1"/>
  <c r="DD79" i="1"/>
  <c r="DE250" i="1"/>
  <c r="DK250" i="1"/>
  <c r="DF250" i="1"/>
  <c r="DH112" i="1"/>
  <c r="DC112" i="1"/>
  <c r="DK112" i="1"/>
  <c r="DA267" i="1"/>
  <c r="DE112" i="1"/>
  <c r="DB112" i="1"/>
  <c r="DD112" i="1"/>
  <c r="CX112" i="1"/>
  <c r="CY112" i="1"/>
  <c r="DI112" i="1"/>
  <c r="DG112" i="1"/>
  <c r="DA112" i="1"/>
  <c r="DJ112" i="1"/>
  <c r="CX116" i="1"/>
  <c r="DK116" i="1"/>
  <c r="CX218" i="1"/>
  <c r="DK218" i="1"/>
  <c r="CX260" i="1"/>
  <c r="DK260" i="1"/>
  <c r="CX159" i="1"/>
  <c r="DK159" i="1"/>
  <c r="CX201" i="1"/>
  <c r="DK201" i="1"/>
  <c r="CX15" i="1"/>
  <c r="DK15" i="1"/>
  <c r="CX217" i="1"/>
  <c r="DK217" i="1"/>
  <c r="CX157" i="1"/>
  <c r="DK157" i="1"/>
  <c r="CX191" i="1"/>
  <c r="DK191" i="1"/>
  <c r="CX214" i="1"/>
  <c r="DK214" i="1"/>
  <c r="CX61" i="1"/>
  <c r="DK61" i="1"/>
  <c r="CX65" i="1"/>
  <c r="DK65" i="1"/>
  <c r="CX245" i="1"/>
  <c r="DK245" i="1"/>
  <c r="CX128" i="1"/>
  <c r="DK128" i="1"/>
  <c r="CX207" i="1"/>
  <c r="DK207" i="1"/>
  <c r="CX167" i="1"/>
  <c r="DK167" i="1"/>
  <c r="CX54" i="1"/>
  <c r="DK54" i="1"/>
  <c r="CX262" i="1"/>
  <c r="DK262" i="1"/>
  <c r="CX7" i="1"/>
  <c r="DK7" i="1"/>
  <c r="CX29" i="1"/>
  <c r="DK29" i="1"/>
  <c r="CX211" i="1"/>
  <c r="DK211" i="1"/>
  <c r="CX135" i="1"/>
  <c r="DK135" i="1"/>
  <c r="CX161" i="1"/>
  <c r="DK161" i="1"/>
  <c r="CX75" i="1"/>
  <c r="DK75" i="1"/>
  <c r="CX237" i="1"/>
  <c r="DK237" i="1"/>
  <c r="CX268" i="1"/>
  <c r="DK268" i="1"/>
  <c r="CX126" i="1"/>
  <c r="DK126" i="1"/>
  <c r="CX76" i="1"/>
  <c r="DK76" i="1"/>
  <c r="CX179" i="1"/>
  <c r="DK179" i="1"/>
  <c r="CX103" i="1"/>
  <c r="DK103" i="1"/>
  <c r="CX248" i="1"/>
  <c r="DK248" i="1"/>
  <c r="CX180" i="1"/>
  <c r="DK180" i="1"/>
  <c r="CX213" i="1"/>
  <c r="DK213" i="1"/>
  <c r="CX96" i="1"/>
  <c r="DK96" i="1"/>
  <c r="CX149" i="1"/>
  <c r="DK149" i="1"/>
  <c r="CX188" i="1"/>
  <c r="DK188" i="1"/>
  <c r="CX153" i="1"/>
  <c r="DK153" i="1"/>
  <c r="CX117" i="1"/>
  <c r="DK117" i="1"/>
  <c r="CX106" i="1"/>
  <c r="DK106" i="1"/>
  <c r="CX18" i="1"/>
  <c r="DK18" i="1"/>
  <c r="CX73" i="1"/>
  <c r="DK73" i="1"/>
  <c r="CX60" i="1"/>
  <c r="DK60" i="1"/>
  <c r="CX36" i="1"/>
  <c r="DK36" i="1"/>
  <c r="CX120" i="1"/>
  <c r="DK120" i="1"/>
  <c r="CX142" i="1"/>
  <c r="DK142" i="1"/>
  <c r="CX176" i="1"/>
  <c r="DK176" i="1"/>
  <c r="CX37" i="1"/>
  <c r="DK37" i="1"/>
  <c r="CX143" i="1"/>
  <c r="DK143" i="1"/>
  <c r="CX243" i="1"/>
  <c r="DK243" i="1"/>
  <c r="CX233" i="1"/>
  <c r="DK233" i="1"/>
  <c r="CX212" i="1"/>
  <c r="DK212" i="1"/>
  <c r="CX133" i="1"/>
  <c r="DK133" i="1"/>
  <c r="CX90" i="1"/>
  <c r="DK90" i="1"/>
  <c r="CX97" i="1"/>
  <c r="DK97" i="1"/>
  <c r="CX227" i="1"/>
  <c r="DK227" i="1"/>
  <c r="CX271" i="1"/>
  <c r="DK271" i="1"/>
  <c r="CX110" i="1"/>
  <c r="DK110" i="1"/>
  <c r="CX222" i="1"/>
  <c r="DK222" i="1"/>
  <c r="CX67" i="1"/>
  <c r="DK67" i="1"/>
  <c r="CX134" i="1"/>
  <c r="DK134" i="1"/>
  <c r="CX42" i="1"/>
  <c r="DK42" i="1"/>
  <c r="CX132" i="1"/>
  <c r="DK132" i="1"/>
  <c r="CX11" i="1"/>
  <c r="DK11" i="1"/>
  <c r="CX118" i="1"/>
  <c r="DK118" i="1"/>
  <c r="CX38" i="1"/>
  <c r="DK38" i="1"/>
  <c r="CX232" i="1"/>
  <c r="DK232" i="1"/>
  <c r="CX83" i="1"/>
  <c r="DK83" i="1"/>
  <c r="CX84" i="1"/>
  <c r="DK84" i="1"/>
  <c r="CX228" i="1"/>
  <c r="DK228" i="1"/>
  <c r="CX174" i="1"/>
  <c r="DK174" i="1"/>
  <c r="CX170" i="1"/>
  <c r="DK170" i="1"/>
  <c r="CX98" i="1"/>
  <c r="DK98" i="1"/>
  <c r="CX195" i="1"/>
  <c r="DK195" i="1"/>
  <c r="CX14" i="1"/>
  <c r="DK14" i="1"/>
  <c r="CX263" i="1"/>
  <c r="DK263" i="1"/>
  <c r="CX225" i="1"/>
  <c r="DK225" i="1"/>
  <c r="CX81" i="1"/>
  <c r="DK81" i="1"/>
  <c r="CX72" i="1"/>
  <c r="DK72" i="1"/>
  <c r="CX204" i="1"/>
  <c r="DK204" i="1"/>
  <c r="CX150" i="1"/>
  <c r="DK150" i="1"/>
  <c r="CX173" i="1"/>
  <c r="DK173" i="1"/>
  <c r="CX226" i="1"/>
  <c r="DK226" i="1"/>
  <c r="CX138" i="1"/>
  <c r="DK138" i="1"/>
  <c r="CX52" i="1"/>
  <c r="DK52" i="1"/>
  <c r="CX175" i="1"/>
  <c r="DK175" i="1"/>
  <c r="CX140" i="1"/>
  <c r="DK140" i="1"/>
  <c r="CX66" i="1"/>
  <c r="DK66" i="1"/>
  <c r="CX194" i="1"/>
  <c r="DK194" i="1"/>
  <c r="CX252" i="1"/>
  <c r="DK252" i="1"/>
  <c r="CX270" i="1"/>
  <c r="DK270" i="1"/>
  <c r="CX43" i="1"/>
  <c r="DK43" i="1"/>
  <c r="CX235" i="1"/>
  <c r="DK235" i="1"/>
  <c r="CX196" i="1"/>
  <c r="DK196" i="1"/>
  <c r="CX27" i="1"/>
  <c r="DK27" i="1"/>
  <c r="CX265" i="1"/>
  <c r="DK265" i="1"/>
  <c r="CX114" i="1"/>
  <c r="DK114" i="1"/>
  <c r="CX22" i="1"/>
  <c r="DK22" i="1"/>
  <c r="CX100" i="1"/>
  <c r="DK100" i="1"/>
  <c r="CX8" i="1"/>
  <c r="DK8" i="1"/>
  <c r="CX144" i="1"/>
  <c r="DK144" i="1"/>
  <c r="CX71" i="1"/>
  <c r="DK71" i="1"/>
  <c r="CX269" i="1"/>
  <c r="DK269" i="1"/>
  <c r="CX255" i="1"/>
  <c r="DK255" i="1"/>
  <c r="CX25" i="1"/>
  <c r="DK25" i="1"/>
  <c r="CX192" i="1"/>
  <c r="DK192" i="1"/>
  <c r="CX216" i="1"/>
  <c r="DK216" i="1"/>
  <c r="CX105" i="1"/>
  <c r="DK105" i="1"/>
  <c r="CX108" i="1"/>
  <c r="DK108" i="1"/>
  <c r="CX82" i="1"/>
  <c r="DK82" i="1"/>
  <c r="CX50" i="1"/>
  <c r="DK50" i="1"/>
  <c r="CX123" i="1"/>
  <c r="DK123" i="1"/>
  <c r="CX45" i="1"/>
  <c r="DK45" i="1"/>
  <c r="CX148" i="1"/>
  <c r="DK148" i="1"/>
  <c r="CX253" i="1"/>
  <c r="DK253" i="1"/>
  <c r="CX244" i="1"/>
  <c r="DK244" i="1"/>
  <c r="CX125" i="1"/>
  <c r="DK125" i="1"/>
  <c r="CX121" i="1"/>
  <c r="DK121" i="1"/>
  <c r="CX185" i="1"/>
  <c r="DK185" i="1"/>
  <c r="CX70" i="1"/>
  <c r="DK70" i="1"/>
  <c r="CX146" i="1"/>
  <c r="DK146" i="1"/>
  <c r="CX78" i="1"/>
  <c r="DK78" i="1"/>
  <c r="CX205" i="1"/>
  <c r="DK205" i="1"/>
  <c r="CX19" i="1"/>
  <c r="DK19" i="1"/>
  <c r="CX187" i="1"/>
  <c r="DK187" i="1"/>
  <c r="CX17" i="1"/>
  <c r="DK17" i="1"/>
  <c r="CX94" i="1"/>
  <c r="DK94" i="1"/>
  <c r="CX80" i="1"/>
  <c r="DK80" i="1"/>
  <c r="CX39" i="1"/>
  <c r="DK39" i="1"/>
  <c r="CX193" i="1"/>
  <c r="DK193" i="1"/>
  <c r="CX220" i="1"/>
  <c r="DK220" i="1"/>
  <c r="CX89" i="1"/>
  <c r="DK89" i="1"/>
  <c r="CX254" i="1"/>
  <c r="DK254" i="1"/>
  <c r="CX51" i="1"/>
  <c r="DK51" i="1"/>
  <c r="CX266" i="1"/>
  <c r="DK266" i="1"/>
  <c r="CX130" i="1"/>
  <c r="DK130" i="1"/>
  <c r="CX101" i="1"/>
  <c r="DK101" i="1"/>
  <c r="CX64" i="1"/>
  <c r="DK64" i="1"/>
  <c r="CX85" i="1"/>
  <c r="DK85" i="1"/>
  <c r="CX257" i="1"/>
  <c r="DK257" i="1"/>
  <c r="CX26" i="1"/>
  <c r="DK26" i="1"/>
  <c r="CX264" i="1"/>
  <c r="DK264" i="1"/>
  <c r="CX236" i="1"/>
  <c r="DK236" i="1"/>
  <c r="CX55" i="1"/>
  <c r="DK55" i="1"/>
  <c r="CX77" i="1"/>
  <c r="DK77" i="1"/>
  <c r="CX231" i="1"/>
  <c r="DK231" i="1"/>
  <c r="CX162" i="1"/>
  <c r="DK162" i="1"/>
  <c r="CX249" i="1"/>
  <c r="DK249" i="1"/>
  <c r="CX171" i="1"/>
  <c r="DK171" i="1"/>
  <c r="CX63" i="1"/>
  <c r="DK63" i="1"/>
  <c r="CX139" i="1"/>
  <c r="DK139" i="1"/>
  <c r="CX48" i="1"/>
  <c r="DK48" i="1"/>
  <c r="CX10" i="1"/>
  <c r="DK10" i="1"/>
  <c r="CX34" i="1"/>
  <c r="DK34" i="1"/>
  <c r="CX242" i="1"/>
  <c r="DK242" i="1"/>
  <c r="CX178" i="1"/>
  <c r="DK178" i="1"/>
  <c r="CX21" i="1"/>
  <c r="DK21" i="1"/>
  <c r="CX12" i="1"/>
  <c r="DK12" i="1"/>
  <c r="CX30" i="1"/>
  <c r="DK30" i="1"/>
  <c r="CX246" i="1"/>
  <c r="DK246" i="1"/>
  <c r="CX31" i="1"/>
  <c r="DK31" i="1"/>
  <c r="CX102" i="1"/>
  <c r="DK102" i="1"/>
  <c r="CX33" i="1"/>
  <c r="DK33" i="1"/>
  <c r="CX32" i="1"/>
  <c r="DK32" i="1"/>
  <c r="CX131" i="1"/>
  <c r="DK131" i="1"/>
  <c r="CX9" i="1"/>
  <c r="DK9" i="1"/>
  <c r="CX62" i="1"/>
  <c r="DK62" i="1"/>
  <c r="CX119" i="1"/>
  <c r="DK119" i="1"/>
  <c r="CX23" i="1"/>
  <c r="DK23" i="1"/>
  <c r="CX57" i="1"/>
  <c r="DK57" i="1"/>
  <c r="CX200" i="1"/>
  <c r="DK200" i="1"/>
  <c r="CX68" i="1"/>
  <c r="DK68" i="1"/>
  <c r="CX199" i="1"/>
  <c r="DK199" i="1"/>
  <c r="CX107" i="1"/>
  <c r="DK107" i="1"/>
  <c r="CX165" i="1"/>
  <c r="DK165" i="1"/>
  <c r="CX183" i="1"/>
  <c r="DK183" i="1"/>
  <c r="CX197" i="1"/>
  <c r="DK197" i="1"/>
  <c r="CX129" i="1"/>
  <c r="DK129" i="1"/>
  <c r="CX158" i="1"/>
  <c r="DK158" i="1"/>
  <c r="CX203" i="1"/>
  <c r="DK203" i="1"/>
  <c r="CX141" i="1"/>
  <c r="DK141" i="1"/>
  <c r="CX41" i="1"/>
  <c r="DK41" i="1"/>
  <c r="CX169" i="1"/>
  <c r="DK169" i="1"/>
  <c r="CX224" i="1"/>
  <c r="DK224" i="1"/>
  <c r="CX137" i="1"/>
  <c r="DK137" i="1"/>
  <c r="CX223" i="1"/>
  <c r="DK223" i="1"/>
  <c r="CX164" i="1"/>
  <c r="DK164" i="1"/>
  <c r="CX44" i="1"/>
  <c r="DK44" i="1"/>
  <c r="CX168" i="1"/>
  <c r="DK168" i="1"/>
  <c r="CX259" i="1"/>
  <c r="DK259" i="1"/>
  <c r="CX163" i="1"/>
  <c r="DK163" i="1"/>
  <c r="CX115" i="1"/>
  <c r="DK115" i="1"/>
  <c r="CX20" i="1"/>
  <c r="DK20" i="1"/>
  <c r="CX155" i="1"/>
  <c r="DK155" i="1"/>
  <c r="CX74" i="1"/>
  <c r="DK74" i="1"/>
  <c r="CX219" i="1"/>
  <c r="DK219" i="1"/>
  <c r="CX69" i="1"/>
  <c r="DK69" i="1"/>
  <c r="CX109" i="1"/>
  <c r="DK109" i="1"/>
  <c r="CX154" i="1"/>
  <c r="DK154" i="1"/>
  <c r="CX87" i="1"/>
  <c r="DK87" i="1"/>
  <c r="CX92" i="1"/>
  <c r="DK92" i="1"/>
  <c r="CX166" i="1"/>
  <c r="DK166" i="1"/>
  <c r="CX86" i="1"/>
  <c r="DK86" i="1"/>
  <c r="CX111" i="1"/>
  <c r="DK111" i="1"/>
  <c r="CX58" i="1"/>
  <c r="DK58" i="1"/>
  <c r="CX53" i="1"/>
  <c r="DK53" i="1"/>
  <c r="CX186" i="1"/>
  <c r="DK186" i="1"/>
  <c r="CX136" i="1"/>
  <c r="DK136" i="1"/>
  <c r="CX208" i="1"/>
  <c r="DK208" i="1"/>
  <c r="CX93" i="1"/>
  <c r="DK93" i="1"/>
  <c r="CX256" i="1"/>
  <c r="DK256" i="1"/>
  <c r="CX189" i="1"/>
  <c r="DK189" i="1"/>
  <c r="CX238" i="1"/>
  <c r="DK238" i="1"/>
  <c r="CX28" i="1"/>
  <c r="DK28" i="1"/>
  <c r="CX230" i="1"/>
  <c r="DK230" i="1"/>
  <c r="CX147" i="1"/>
  <c r="DK147" i="1"/>
  <c r="CX88" i="1"/>
  <c r="DK88" i="1"/>
  <c r="CX240" i="1"/>
  <c r="DK240" i="1"/>
  <c r="CX145" i="1"/>
  <c r="DK145" i="1"/>
  <c r="CX91" i="1"/>
  <c r="DK91" i="1"/>
  <c r="CX59" i="1"/>
  <c r="DK59" i="1"/>
  <c r="CX152" i="1"/>
  <c r="DK152" i="1"/>
  <c r="CX46" i="1"/>
  <c r="DK46" i="1"/>
  <c r="CX122" i="1"/>
  <c r="DK122" i="1"/>
  <c r="CX99" i="1"/>
  <c r="DK99" i="1"/>
  <c r="CX241" i="1"/>
  <c r="DK241" i="1"/>
  <c r="CX229" i="1"/>
  <c r="DK229" i="1"/>
  <c r="CX215" i="1"/>
  <c r="DK215" i="1"/>
  <c r="CX239" i="1"/>
  <c r="DK239" i="1"/>
  <c r="CX16" i="1"/>
  <c r="DK16" i="1"/>
  <c r="CX24" i="1"/>
  <c r="DK24" i="1"/>
  <c r="CX184" i="1"/>
  <c r="DK184" i="1"/>
  <c r="CX221" i="1"/>
  <c r="DK221" i="1"/>
  <c r="CX261" i="1"/>
  <c r="DK261" i="1"/>
  <c r="CX47" i="1"/>
  <c r="DK47" i="1"/>
  <c r="CX247" i="1"/>
  <c r="DK247" i="1"/>
  <c r="CX56" i="1"/>
  <c r="DK56" i="1"/>
  <c r="CX234" i="1"/>
  <c r="DK234" i="1"/>
  <c r="CX198" i="1"/>
  <c r="DK198" i="1"/>
  <c r="CX35" i="1"/>
  <c r="DK35" i="1"/>
  <c r="CX181" i="1"/>
  <c r="DK181" i="1"/>
  <c r="CX151" i="1"/>
  <c r="DK151" i="1"/>
  <c r="CX156" i="1"/>
  <c r="DK156" i="1"/>
  <c r="CX177" i="1"/>
  <c r="DK177" i="1"/>
  <c r="CX49" i="1"/>
  <c r="DK49" i="1"/>
  <c r="CX251" i="1"/>
  <c r="DK251" i="1"/>
  <c r="CX202" i="1"/>
  <c r="DK202" i="1"/>
  <c r="CX190" i="1"/>
  <c r="DK190" i="1"/>
  <c r="CX172" i="1"/>
  <c r="DK172" i="1"/>
  <c r="CX104" i="1"/>
  <c r="DK104" i="1"/>
  <c r="CX206" i="1"/>
  <c r="DK206" i="1"/>
  <c r="CX182" i="1"/>
  <c r="DK182" i="1"/>
  <c r="CX160" i="1"/>
  <c r="DK160" i="1"/>
  <c r="CX40" i="1"/>
  <c r="DK40" i="1"/>
  <c r="CX267" i="1"/>
  <c r="DK267" i="1"/>
  <c r="DD20" i="1"/>
  <c r="DE20" i="1"/>
  <c r="DB20" i="1"/>
  <c r="DC20" i="1"/>
  <c r="DF20" i="1"/>
  <c r="DG20" i="1"/>
  <c r="DB219" i="1"/>
  <c r="DF219" i="1"/>
  <c r="DD219" i="1"/>
  <c r="DE219" i="1"/>
  <c r="DG219" i="1"/>
  <c r="DC219" i="1"/>
  <c r="DD154" i="1"/>
  <c r="DE154" i="1"/>
  <c r="DF154" i="1"/>
  <c r="DB154" i="1"/>
  <c r="DG154" i="1"/>
  <c r="DC154" i="1"/>
  <c r="DB92" i="1"/>
  <c r="DF92" i="1"/>
  <c r="DC92" i="1"/>
  <c r="DG92" i="1"/>
  <c r="DD92" i="1"/>
  <c r="DE92" i="1"/>
  <c r="DB111" i="1"/>
  <c r="DF111" i="1"/>
  <c r="DE111" i="1"/>
  <c r="DG111" i="1"/>
  <c r="DC111" i="1"/>
  <c r="DD111" i="1"/>
  <c r="DB53" i="1"/>
  <c r="DF53" i="1"/>
  <c r="DC53" i="1"/>
  <c r="DG53" i="1"/>
  <c r="DD53" i="1"/>
  <c r="DE53" i="1"/>
  <c r="DD136" i="1"/>
  <c r="DE136" i="1"/>
  <c r="DF136" i="1"/>
  <c r="DB136" i="1"/>
  <c r="DG136" i="1"/>
  <c r="DC136" i="1"/>
  <c r="DD256" i="1"/>
  <c r="DF256" i="1"/>
  <c r="DB256" i="1"/>
  <c r="DG256" i="1"/>
  <c r="DC256" i="1"/>
  <c r="DE256" i="1"/>
  <c r="DD28" i="1"/>
  <c r="DE28" i="1"/>
  <c r="DB28" i="1"/>
  <c r="DG28" i="1"/>
  <c r="DC28" i="1"/>
  <c r="DF28" i="1"/>
  <c r="DB147" i="1"/>
  <c r="DF147" i="1"/>
  <c r="DC147" i="1"/>
  <c r="DD147" i="1"/>
  <c r="DE147" i="1"/>
  <c r="DG147" i="1"/>
  <c r="DB145" i="1"/>
  <c r="DF145" i="1"/>
  <c r="DD145" i="1"/>
  <c r="DE145" i="1"/>
  <c r="DG145" i="1"/>
  <c r="DC145" i="1"/>
  <c r="DB59" i="1"/>
  <c r="DF59" i="1"/>
  <c r="DC59" i="1"/>
  <c r="DG59" i="1"/>
  <c r="DD59" i="1"/>
  <c r="DE59" i="1"/>
  <c r="DD122" i="1"/>
  <c r="DC122" i="1"/>
  <c r="DE122" i="1"/>
  <c r="DF122" i="1"/>
  <c r="DB122" i="1"/>
  <c r="DG122" i="1"/>
  <c r="DB241" i="1"/>
  <c r="DF241" i="1"/>
  <c r="DE241" i="1"/>
  <c r="DC241" i="1"/>
  <c r="DG241" i="1"/>
  <c r="DD241" i="1"/>
  <c r="DB239" i="1"/>
  <c r="DF239" i="1"/>
  <c r="DG239" i="1"/>
  <c r="DD239" i="1"/>
  <c r="DC239" i="1"/>
  <c r="DE239" i="1"/>
  <c r="DD184" i="1"/>
  <c r="DF184" i="1"/>
  <c r="DB184" i="1"/>
  <c r="DG184" i="1"/>
  <c r="DC184" i="1"/>
  <c r="DE184" i="1"/>
  <c r="DD130" i="1"/>
  <c r="DC130" i="1"/>
  <c r="DE130" i="1"/>
  <c r="DF130" i="1"/>
  <c r="DG130" i="1"/>
  <c r="DB130" i="1"/>
  <c r="DD64" i="1"/>
  <c r="DE64" i="1"/>
  <c r="DB64" i="1"/>
  <c r="DF64" i="1"/>
  <c r="DG64" i="1"/>
  <c r="DC64" i="1"/>
  <c r="DB257" i="1"/>
  <c r="DF257" i="1"/>
  <c r="DE257" i="1"/>
  <c r="DC257" i="1"/>
  <c r="DG257" i="1"/>
  <c r="DD257" i="1"/>
  <c r="DB264" i="1"/>
  <c r="DF264" i="1"/>
  <c r="DE264" i="1"/>
  <c r="DG264" i="1"/>
  <c r="DC264" i="1"/>
  <c r="DD264" i="1"/>
  <c r="DB77" i="1"/>
  <c r="DF77" i="1"/>
  <c r="DG77" i="1"/>
  <c r="DC77" i="1"/>
  <c r="DD77" i="1"/>
  <c r="DE77" i="1"/>
  <c r="DD162" i="1"/>
  <c r="DE162" i="1"/>
  <c r="DF162" i="1"/>
  <c r="DB162" i="1"/>
  <c r="DG162" i="1"/>
  <c r="DC162" i="1"/>
  <c r="DB171" i="1"/>
  <c r="DF171" i="1"/>
  <c r="DC171" i="1"/>
  <c r="DG171" i="1"/>
  <c r="DD171" i="1"/>
  <c r="DE171" i="1"/>
  <c r="DB63" i="1"/>
  <c r="DF63" i="1"/>
  <c r="DC63" i="1"/>
  <c r="DG63" i="1"/>
  <c r="DD63" i="1"/>
  <c r="DE63" i="1"/>
  <c r="DD48" i="1"/>
  <c r="DE48" i="1"/>
  <c r="DB48" i="1"/>
  <c r="DF48" i="1"/>
  <c r="DG48" i="1"/>
  <c r="DC48" i="1"/>
  <c r="DA10" i="1"/>
  <c r="DD10" i="1"/>
  <c r="DE10" i="1"/>
  <c r="DF10" i="1"/>
  <c r="DB10" i="1"/>
  <c r="DC10" i="1"/>
  <c r="DG10" i="1"/>
  <c r="DD34" i="1"/>
  <c r="DE34" i="1"/>
  <c r="DF34" i="1"/>
  <c r="DC34" i="1"/>
  <c r="DG34" i="1"/>
  <c r="DB34" i="1"/>
  <c r="DI242" i="1"/>
  <c r="DD242" i="1"/>
  <c r="DE242" i="1"/>
  <c r="DG242" i="1"/>
  <c r="DF242" i="1"/>
  <c r="DB242" i="1"/>
  <c r="DC242" i="1"/>
  <c r="DD178" i="1"/>
  <c r="DE178" i="1"/>
  <c r="DB178" i="1"/>
  <c r="DG178" i="1"/>
  <c r="DF178" i="1"/>
  <c r="DC178" i="1"/>
  <c r="DD116" i="1"/>
  <c r="DB116" i="1"/>
  <c r="DG116" i="1"/>
  <c r="DC116" i="1"/>
  <c r="DE116" i="1"/>
  <c r="DF116" i="1"/>
  <c r="DB21" i="1"/>
  <c r="DF21" i="1"/>
  <c r="DC21" i="1"/>
  <c r="DG21" i="1"/>
  <c r="DD21" i="1"/>
  <c r="DE21" i="1"/>
  <c r="DD218" i="1"/>
  <c r="DE218" i="1"/>
  <c r="DG218" i="1"/>
  <c r="DF218" i="1"/>
  <c r="DB218" i="1"/>
  <c r="DC218" i="1"/>
  <c r="DD12" i="1"/>
  <c r="DE12" i="1"/>
  <c r="DB12" i="1"/>
  <c r="DG12" i="1"/>
  <c r="DC12" i="1"/>
  <c r="DF12" i="1"/>
  <c r="DD260" i="1"/>
  <c r="DC260" i="1"/>
  <c r="DF260" i="1"/>
  <c r="DE260" i="1"/>
  <c r="DG260" i="1"/>
  <c r="DB260" i="1"/>
  <c r="DD30" i="1"/>
  <c r="DE30" i="1"/>
  <c r="DF30" i="1"/>
  <c r="DG30" i="1"/>
  <c r="DB30" i="1"/>
  <c r="DC30" i="1"/>
  <c r="DB159" i="1"/>
  <c r="DF159" i="1"/>
  <c r="DC159" i="1"/>
  <c r="DG159" i="1"/>
  <c r="DD159" i="1"/>
  <c r="DE159" i="1"/>
  <c r="DD270" i="1"/>
  <c r="DF270" i="1"/>
  <c r="DB270" i="1"/>
  <c r="DG270" i="1"/>
  <c r="DC270" i="1"/>
  <c r="DE270" i="1"/>
  <c r="DD246" i="1"/>
  <c r="DB246" i="1"/>
  <c r="DG246" i="1"/>
  <c r="DE246" i="1"/>
  <c r="DC246" i="1"/>
  <c r="DF246" i="1"/>
  <c r="DB201" i="1"/>
  <c r="DF201" i="1"/>
  <c r="DE201" i="1"/>
  <c r="DG201" i="1"/>
  <c r="DC201" i="1"/>
  <c r="DD201" i="1"/>
  <c r="DB31" i="1"/>
  <c r="DF31" i="1"/>
  <c r="DC31" i="1"/>
  <c r="DG31" i="1"/>
  <c r="DD31" i="1"/>
  <c r="DE31" i="1"/>
  <c r="DB15" i="1"/>
  <c r="DF15" i="1"/>
  <c r="DC15" i="1"/>
  <c r="DG15" i="1"/>
  <c r="DD15" i="1"/>
  <c r="DE15" i="1"/>
  <c r="DB43" i="1"/>
  <c r="DF43" i="1"/>
  <c r="DC43" i="1"/>
  <c r="DG43" i="1"/>
  <c r="DD43" i="1"/>
  <c r="DE43" i="1"/>
  <c r="DD102" i="1"/>
  <c r="DF102" i="1"/>
  <c r="DB102" i="1"/>
  <c r="DG102" i="1"/>
  <c r="DC102" i="1"/>
  <c r="DE102" i="1"/>
  <c r="DB217" i="1"/>
  <c r="DF217" i="1"/>
  <c r="DE217" i="1"/>
  <c r="DC217" i="1"/>
  <c r="DG217" i="1"/>
  <c r="DD217" i="1"/>
  <c r="DB235" i="1"/>
  <c r="DF235" i="1"/>
  <c r="DD235" i="1"/>
  <c r="DG235" i="1"/>
  <c r="DE235" i="1"/>
  <c r="DC235" i="1"/>
  <c r="DB33" i="1"/>
  <c r="DF33" i="1"/>
  <c r="DC33" i="1"/>
  <c r="DG33" i="1"/>
  <c r="DD33" i="1"/>
  <c r="DE33" i="1"/>
  <c r="DB157" i="1"/>
  <c r="DF157" i="1"/>
  <c r="DC157" i="1"/>
  <c r="DG157" i="1"/>
  <c r="DD157" i="1"/>
  <c r="DE157" i="1"/>
  <c r="DD196" i="1"/>
  <c r="DC196" i="1"/>
  <c r="DE196" i="1"/>
  <c r="DF196" i="1"/>
  <c r="DG196" i="1"/>
  <c r="DB196" i="1"/>
  <c r="DD32" i="1"/>
  <c r="DE32" i="1"/>
  <c r="DB32" i="1"/>
  <c r="DF32" i="1"/>
  <c r="DG32" i="1"/>
  <c r="DC32" i="1"/>
  <c r="DD191" i="1"/>
  <c r="DF191" i="1"/>
  <c r="DB191" i="1"/>
  <c r="DG191" i="1"/>
  <c r="DC191" i="1"/>
  <c r="DE191" i="1"/>
  <c r="DB27" i="1"/>
  <c r="DF27" i="1"/>
  <c r="DC27" i="1"/>
  <c r="DG27" i="1"/>
  <c r="DD27" i="1"/>
  <c r="DE27" i="1"/>
  <c r="DB131" i="1"/>
  <c r="DF131" i="1"/>
  <c r="DC131" i="1"/>
  <c r="DD131" i="1"/>
  <c r="DE131" i="1"/>
  <c r="DG131" i="1"/>
  <c r="DD214" i="1"/>
  <c r="DB214" i="1"/>
  <c r="DG214" i="1"/>
  <c r="DC214" i="1"/>
  <c r="DE214" i="1"/>
  <c r="DF214" i="1"/>
  <c r="DB9" i="1"/>
  <c r="DF9" i="1"/>
  <c r="DC9" i="1"/>
  <c r="DG9" i="1"/>
  <c r="DD9" i="1"/>
  <c r="DE9" i="1"/>
  <c r="DD265" i="1"/>
  <c r="DE265" i="1"/>
  <c r="DB265" i="1"/>
  <c r="DF265" i="1"/>
  <c r="DG265" i="1"/>
  <c r="DC265" i="1"/>
  <c r="DB61" i="1"/>
  <c r="DF61" i="1"/>
  <c r="DC61" i="1"/>
  <c r="DG61" i="1"/>
  <c r="DD61" i="1"/>
  <c r="DE61" i="1"/>
  <c r="DD62" i="1"/>
  <c r="DE62" i="1"/>
  <c r="DF62" i="1"/>
  <c r="DG62" i="1"/>
  <c r="DB62" i="1"/>
  <c r="DC62" i="1"/>
  <c r="DB65" i="1"/>
  <c r="DF65" i="1"/>
  <c r="DC65" i="1"/>
  <c r="DG65" i="1"/>
  <c r="DD65" i="1"/>
  <c r="DE65" i="1"/>
  <c r="DB114" i="1"/>
  <c r="DF114" i="1"/>
  <c r="DE114" i="1"/>
  <c r="DG114" i="1"/>
  <c r="DC114" i="1"/>
  <c r="DD114" i="1"/>
  <c r="DB245" i="1"/>
  <c r="DF245" i="1"/>
  <c r="DC245" i="1"/>
  <c r="DD245" i="1"/>
  <c r="DE245" i="1"/>
  <c r="DG245" i="1"/>
  <c r="DB119" i="1"/>
  <c r="DF119" i="1"/>
  <c r="DE119" i="1"/>
  <c r="DG119" i="1"/>
  <c r="DC119" i="1"/>
  <c r="DD119" i="1"/>
  <c r="DD128" i="1"/>
  <c r="DE128" i="1"/>
  <c r="DF128" i="1"/>
  <c r="DG128" i="1"/>
  <c r="DB128" i="1"/>
  <c r="DC128" i="1"/>
  <c r="DB23" i="1"/>
  <c r="DF23" i="1"/>
  <c r="DC23" i="1"/>
  <c r="DG23" i="1"/>
  <c r="DE23" i="1"/>
  <c r="DD23" i="1"/>
  <c r="DB207" i="1"/>
  <c r="DF207" i="1"/>
  <c r="DG207" i="1"/>
  <c r="DD207" i="1"/>
  <c r="DC207" i="1"/>
  <c r="DE207" i="1"/>
  <c r="DD22" i="1"/>
  <c r="DE22" i="1"/>
  <c r="DF22" i="1"/>
  <c r="DB22" i="1"/>
  <c r="DC22" i="1"/>
  <c r="DG22" i="1"/>
  <c r="DB57" i="1"/>
  <c r="DF57" i="1"/>
  <c r="DC57" i="1"/>
  <c r="DG57" i="1"/>
  <c r="DD57" i="1"/>
  <c r="DE57" i="1"/>
  <c r="DB167" i="1"/>
  <c r="DF167" i="1"/>
  <c r="DC167" i="1"/>
  <c r="DG167" i="1"/>
  <c r="DD167" i="1"/>
  <c r="DE167" i="1"/>
  <c r="DD200" i="1"/>
  <c r="DF200" i="1"/>
  <c r="DC200" i="1"/>
  <c r="DB200" i="1"/>
  <c r="DG200" i="1"/>
  <c r="DE200" i="1"/>
  <c r="DD100" i="1"/>
  <c r="DB100" i="1"/>
  <c r="DG100" i="1"/>
  <c r="DC100" i="1"/>
  <c r="DE100" i="1"/>
  <c r="DF100" i="1"/>
  <c r="DB261" i="1"/>
  <c r="DF261" i="1"/>
  <c r="DC261" i="1"/>
  <c r="DD261" i="1"/>
  <c r="DE261" i="1"/>
  <c r="DG261" i="1"/>
  <c r="DB47" i="1"/>
  <c r="DF47" i="1"/>
  <c r="DC47" i="1"/>
  <c r="DG47" i="1"/>
  <c r="DD47" i="1"/>
  <c r="DE47" i="1"/>
  <c r="DB247" i="1"/>
  <c r="DF247" i="1"/>
  <c r="DG247" i="1"/>
  <c r="DC247" i="1"/>
  <c r="DD247" i="1"/>
  <c r="DE247" i="1"/>
  <c r="DD56" i="1"/>
  <c r="DE56" i="1"/>
  <c r="DB56" i="1"/>
  <c r="DC56" i="1"/>
  <c r="DF56" i="1"/>
  <c r="DG56" i="1"/>
  <c r="DD234" i="1"/>
  <c r="DE234" i="1"/>
  <c r="DB234" i="1"/>
  <c r="DF234" i="1"/>
  <c r="DG234" i="1"/>
  <c r="DC234" i="1"/>
  <c r="DD198" i="1"/>
  <c r="DB198" i="1"/>
  <c r="DG198" i="1"/>
  <c r="DE198" i="1"/>
  <c r="DC198" i="1"/>
  <c r="DF198" i="1"/>
  <c r="DB35" i="1"/>
  <c r="DF35" i="1"/>
  <c r="DG35" i="1"/>
  <c r="DD35" i="1"/>
  <c r="DC35" i="1"/>
  <c r="DE35" i="1"/>
  <c r="DB181" i="1"/>
  <c r="DF181" i="1"/>
  <c r="DC181" i="1"/>
  <c r="DE181" i="1"/>
  <c r="DD181" i="1"/>
  <c r="DG181" i="1"/>
  <c r="DD151" i="1"/>
  <c r="DE151" i="1"/>
  <c r="DF151" i="1"/>
  <c r="DB151" i="1"/>
  <c r="DG151" i="1"/>
  <c r="DC151" i="1"/>
  <c r="DD156" i="1"/>
  <c r="DE156" i="1"/>
  <c r="DB156" i="1"/>
  <c r="DF156" i="1"/>
  <c r="DC156" i="1"/>
  <c r="DG156" i="1"/>
  <c r="DB177" i="1"/>
  <c r="DF177" i="1"/>
  <c r="DC177" i="1"/>
  <c r="DG177" i="1"/>
  <c r="DD177" i="1"/>
  <c r="DE177" i="1"/>
  <c r="DB49" i="1"/>
  <c r="DF49" i="1"/>
  <c r="DC49" i="1"/>
  <c r="DG49" i="1"/>
  <c r="DD49" i="1"/>
  <c r="DE49" i="1"/>
  <c r="DB251" i="1"/>
  <c r="DF251" i="1"/>
  <c r="DD251" i="1"/>
  <c r="DG251" i="1"/>
  <c r="DE251" i="1"/>
  <c r="DC251" i="1"/>
  <c r="DB202" i="1"/>
  <c r="DF202" i="1"/>
  <c r="DG202" i="1"/>
  <c r="DD202" i="1"/>
  <c r="DC202" i="1"/>
  <c r="DE202" i="1"/>
  <c r="DD190" i="1"/>
  <c r="DB190" i="1"/>
  <c r="DG190" i="1"/>
  <c r="DE190" i="1"/>
  <c r="DC190" i="1"/>
  <c r="DF190" i="1"/>
  <c r="CZ172" i="1"/>
  <c r="DD172" i="1"/>
  <c r="DE172" i="1"/>
  <c r="DB172" i="1"/>
  <c r="DF172" i="1"/>
  <c r="DC172" i="1"/>
  <c r="DG172" i="1"/>
  <c r="DD104" i="1"/>
  <c r="DE104" i="1"/>
  <c r="DF104" i="1"/>
  <c r="DB104" i="1"/>
  <c r="DG104" i="1"/>
  <c r="DC104" i="1"/>
  <c r="DD206" i="1"/>
  <c r="DB206" i="1"/>
  <c r="DG206" i="1"/>
  <c r="DC206" i="1"/>
  <c r="DE206" i="1"/>
  <c r="DF206" i="1"/>
  <c r="DH182" i="1"/>
  <c r="DD182" i="1"/>
  <c r="DB182" i="1"/>
  <c r="DG182" i="1"/>
  <c r="DE182" i="1"/>
  <c r="DC182" i="1"/>
  <c r="DF182" i="1"/>
  <c r="DD160" i="1"/>
  <c r="DE160" i="1"/>
  <c r="DB160" i="1"/>
  <c r="DF160" i="1"/>
  <c r="DC160" i="1"/>
  <c r="DG160" i="1"/>
  <c r="DI40" i="1"/>
  <c r="DD40" i="1"/>
  <c r="DE40" i="1"/>
  <c r="DB40" i="1"/>
  <c r="DC40" i="1"/>
  <c r="DF40" i="1"/>
  <c r="DG40" i="1"/>
  <c r="DD267" i="1"/>
  <c r="DC267" i="1"/>
  <c r="DE267" i="1"/>
  <c r="DF267" i="1"/>
  <c r="DB267" i="1"/>
  <c r="DG267" i="1"/>
  <c r="DD155" i="1"/>
  <c r="DC155" i="1"/>
  <c r="DF155" i="1"/>
  <c r="DE155" i="1"/>
  <c r="DG155" i="1"/>
  <c r="DB155" i="1"/>
  <c r="DB109" i="1"/>
  <c r="DF109" i="1"/>
  <c r="DG109" i="1"/>
  <c r="DC109" i="1"/>
  <c r="DD109" i="1"/>
  <c r="DE109" i="1"/>
  <c r="DD166" i="1"/>
  <c r="DE166" i="1"/>
  <c r="DF166" i="1"/>
  <c r="DB166" i="1"/>
  <c r="DG166" i="1"/>
  <c r="DC166" i="1"/>
  <c r="DD208" i="1"/>
  <c r="DF208" i="1"/>
  <c r="DB208" i="1"/>
  <c r="DG208" i="1"/>
  <c r="DC208" i="1"/>
  <c r="DE208" i="1"/>
  <c r="DD238" i="1"/>
  <c r="DB238" i="1"/>
  <c r="DG238" i="1"/>
  <c r="DC238" i="1"/>
  <c r="DE238" i="1"/>
  <c r="DF238" i="1"/>
  <c r="DD240" i="1"/>
  <c r="DF240" i="1"/>
  <c r="DB240" i="1"/>
  <c r="DG240" i="1"/>
  <c r="DC240" i="1"/>
  <c r="DE240" i="1"/>
  <c r="DB152" i="1"/>
  <c r="DF152" i="1"/>
  <c r="DC152" i="1"/>
  <c r="DG152" i="1"/>
  <c r="DD152" i="1"/>
  <c r="DE152" i="1"/>
  <c r="DB229" i="1"/>
  <c r="DF229" i="1"/>
  <c r="DC229" i="1"/>
  <c r="DD229" i="1"/>
  <c r="DE229" i="1"/>
  <c r="DG229" i="1"/>
  <c r="DD16" i="1"/>
  <c r="DE16" i="1"/>
  <c r="DB16" i="1"/>
  <c r="DF16" i="1"/>
  <c r="DG16" i="1"/>
  <c r="DC16" i="1"/>
  <c r="DB51" i="1"/>
  <c r="DF51" i="1"/>
  <c r="DC51" i="1"/>
  <c r="DG51" i="1"/>
  <c r="DD51" i="1"/>
  <c r="DE51" i="1"/>
  <c r="DF101" i="1"/>
  <c r="DG101" i="1"/>
  <c r="DD236" i="1"/>
  <c r="DC236" i="1"/>
  <c r="DE236" i="1"/>
  <c r="DF236" i="1"/>
  <c r="DB236" i="1"/>
  <c r="DG236" i="1"/>
  <c r="DB237" i="1"/>
  <c r="DF237" i="1"/>
  <c r="DC237" i="1"/>
  <c r="DE237" i="1"/>
  <c r="DD237" i="1"/>
  <c r="DG237" i="1"/>
  <c r="DD76" i="1"/>
  <c r="DB76" i="1"/>
  <c r="DG76" i="1"/>
  <c r="DC76" i="1"/>
  <c r="DE76" i="1"/>
  <c r="DF76" i="1"/>
  <c r="DD248" i="1"/>
  <c r="DF248" i="1"/>
  <c r="DC248" i="1"/>
  <c r="DB248" i="1"/>
  <c r="DG248" i="1"/>
  <c r="DE248" i="1"/>
  <c r="DD96" i="1"/>
  <c r="DE96" i="1"/>
  <c r="DF96" i="1"/>
  <c r="DG96" i="1"/>
  <c r="DB96" i="1"/>
  <c r="DC96" i="1"/>
  <c r="DD153" i="1"/>
  <c r="DB153" i="1"/>
  <c r="DG153" i="1"/>
  <c r="DC153" i="1"/>
  <c r="DE153" i="1"/>
  <c r="DF153" i="1"/>
  <c r="DB73" i="1"/>
  <c r="DF73" i="1"/>
  <c r="DD73" i="1"/>
  <c r="DE73" i="1"/>
  <c r="DG73" i="1"/>
  <c r="DC73" i="1"/>
  <c r="DD142" i="1"/>
  <c r="DF142" i="1"/>
  <c r="DB142" i="1"/>
  <c r="DG142" i="1"/>
  <c r="DC142" i="1"/>
  <c r="DE142" i="1"/>
  <c r="DB143" i="1"/>
  <c r="DF143" i="1"/>
  <c r="DE143" i="1"/>
  <c r="DG143" i="1"/>
  <c r="DC143" i="1"/>
  <c r="DD143" i="1"/>
  <c r="DB233" i="1"/>
  <c r="DF233" i="1"/>
  <c r="DE233" i="1"/>
  <c r="DG233" i="1"/>
  <c r="DC233" i="1"/>
  <c r="DD233" i="1"/>
  <c r="DB133" i="1"/>
  <c r="DF133" i="1"/>
  <c r="DG133" i="1"/>
  <c r="DC133" i="1"/>
  <c r="DD133" i="1"/>
  <c r="DE133" i="1"/>
  <c r="DB97" i="1"/>
  <c r="DF97" i="1"/>
  <c r="DD97" i="1"/>
  <c r="DE97" i="1"/>
  <c r="DG97" i="1"/>
  <c r="DC97" i="1"/>
  <c r="DB271" i="1"/>
  <c r="DF271" i="1"/>
  <c r="DE271" i="1"/>
  <c r="DC271" i="1"/>
  <c r="DG271" i="1"/>
  <c r="DD271" i="1"/>
  <c r="DD110" i="1"/>
  <c r="DF110" i="1"/>
  <c r="DB110" i="1"/>
  <c r="DG110" i="1"/>
  <c r="DC110" i="1"/>
  <c r="DE110" i="1"/>
  <c r="DD222" i="1"/>
  <c r="DB222" i="1"/>
  <c r="DG222" i="1"/>
  <c r="DE222" i="1"/>
  <c r="DC222" i="1"/>
  <c r="DF222" i="1"/>
  <c r="DD67" i="1"/>
  <c r="DE67" i="1"/>
  <c r="DF67" i="1"/>
  <c r="DB67" i="1"/>
  <c r="DG67" i="1"/>
  <c r="DC67" i="1"/>
  <c r="DD134" i="1"/>
  <c r="DF134" i="1"/>
  <c r="DB134" i="1"/>
  <c r="DG134" i="1"/>
  <c r="DC134" i="1"/>
  <c r="DE134" i="1"/>
  <c r="DD42" i="1"/>
  <c r="DE42" i="1"/>
  <c r="DF42" i="1"/>
  <c r="DB42" i="1"/>
  <c r="DC42" i="1"/>
  <c r="DG42" i="1"/>
  <c r="DD132" i="1"/>
  <c r="DB132" i="1"/>
  <c r="DG132" i="1"/>
  <c r="DC132" i="1"/>
  <c r="DE132" i="1"/>
  <c r="DF132" i="1"/>
  <c r="DB11" i="1"/>
  <c r="DF11" i="1"/>
  <c r="DC11" i="1"/>
  <c r="DG11" i="1"/>
  <c r="DD11" i="1"/>
  <c r="DE11" i="1"/>
  <c r="DD118" i="1"/>
  <c r="DF118" i="1"/>
  <c r="DB118" i="1"/>
  <c r="DG118" i="1"/>
  <c r="DC118" i="1"/>
  <c r="DE118" i="1"/>
  <c r="DD38" i="1"/>
  <c r="DE38" i="1"/>
  <c r="DF38" i="1"/>
  <c r="DB38" i="1"/>
  <c r="DC38" i="1"/>
  <c r="DG38" i="1"/>
  <c r="DD232" i="1"/>
  <c r="DF232" i="1"/>
  <c r="DC232" i="1"/>
  <c r="DB232" i="1"/>
  <c r="DG232" i="1"/>
  <c r="DE232" i="1"/>
  <c r="DD54" i="1"/>
  <c r="DE54" i="1"/>
  <c r="DF54" i="1"/>
  <c r="DB54" i="1"/>
  <c r="DC54" i="1"/>
  <c r="DG54" i="1"/>
  <c r="DD262" i="1"/>
  <c r="DB262" i="1"/>
  <c r="DG262" i="1"/>
  <c r="DE262" i="1"/>
  <c r="DC262" i="1"/>
  <c r="DF262" i="1"/>
  <c r="DD68" i="1"/>
  <c r="DB68" i="1"/>
  <c r="DG68" i="1"/>
  <c r="DC68" i="1"/>
  <c r="DE68" i="1"/>
  <c r="DF68" i="1"/>
  <c r="DD144" i="1"/>
  <c r="DE144" i="1"/>
  <c r="DF144" i="1"/>
  <c r="DG144" i="1"/>
  <c r="DB144" i="1"/>
  <c r="DC144" i="1"/>
  <c r="DB199" i="1"/>
  <c r="DF199" i="1"/>
  <c r="DG199" i="1"/>
  <c r="DC199" i="1"/>
  <c r="DD199" i="1"/>
  <c r="DE199" i="1"/>
  <c r="DB7" i="1"/>
  <c r="DF7" i="1"/>
  <c r="DD7" i="1"/>
  <c r="DE7" i="1"/>
  <c r="DG7" i="1"/>
  <c r="DC7" i="1"/>
  <c r="DB71" i="1"/>
  <c r="DF71" i="1"/>
  <c r="DE71" i="1"/>
  <c r="DG71" i="1"/>
  <c r="DC71" i="1"/>
  <c r="DD71" i="1"/>
  <c r="DB29" i="1"/>
  <c r="DF29" i="1"/>
  <c r="DC29" i="1"/>
  <c r="DG29" i="1"/>
  <c r="DD29" i="1"/>
  <c r="DE29" i="1"/>
  <c r="DB107" i="1"/>
  <c r="DF107" i="1"/>
  <c r="DC107" i="1"/>
  <c r="DD107" i="1"/>
  <c r="DE107" i="1"/>
  <c r="DG107" i="1"/>
  <c r="DB269" i="1"/>
  <c r="DF269" i="1"/>
  <c r="DG269" i="1"/>
  <c r="DD269" i="1"/>
  <c r="DC269" i="1"/>
  <c r="DE269" i="1"/>
  <c r="DB211" i="1"/>
  <c r="DF211" i="1"/>
  <c r="DD211" i="1"/>
  <c r="DG211" i="1"/>
  <c r="DE211" i="1"/>
  <c r="DC211" i="1"/>
  <c r="DB165" i="1"/>
  <c r="DF165" i="1"/>
  <c r="DC165" i="1"/>
  <c r="DG165" i="1"/>
  <c r="DD165" i="1"/>
  <c r="DE165" i="1"/>
  <c r="DD255" i="1"/>
  <c r="DE255" i="1"/>
  <c r="DB255" i="1"/>
  <c r="DF255" i="1"/>
  <c r="DG255" i="1"/>
  <c r="DC255" i="1"/>
  <c r="DB183" i="1"/>
  <c r="DF183" i="1"/>
  <c r="DG183" i="1"/>
  <c r="DD183" i="1"/>
  <c r="DC183" i="1"/>
  <c r="DE183" i="1"/>
  <c r="DB135" i="1"/>
  <c r="DF135" i="1"/>
  <c r="DE135" i="1"/>
  <c r="DG135" i="1"/>
  <c r="DC135" i="1"/>
  <c r="DD135" i="1"/>
  <c r="DB197" i="1"/>
  <c r="DF197" i="1"/>
  <c r="DC197" i="1"/>
  <c r="DE197" i="1"/>
  <c r="DD197" i="1"/>
  <c r="DG197" i="1"/>
  <c r="DH161" i="1"/>
  <c r="DB161" i="1"/>
  <c r="DF161" i="1"/>
  <c r="DC161" i="1"/>
  <c r="DG161" i="1"/>
  <c r="DD161" i="1"/>
  <c r="DE161" i="1"/>
  <c r="DB129" i="1"/>
  <c r="DF129" i="1"/>
  <c r="DD129" i="1"/>
  <c r="DE129" i="1"/>
  <c r="DG129" i="1"/>
  <c r="DC129" i="1"/>
  <c r="CZ75" i="1"/>
  <c r="DB75" i="1"/>
  <c r="DF75" i="1"/>
  <c r="DC75" i="1"/>
  <c r="DD75" i="1"/>
  <c r="DE75" i="1"/>
  <c r="DG75" i="1"/>
  <c r="DB25" i="1"/>
  <c r="DF25" i="1"/>
  <c r="DC25" i="1"/>
  <c r="DG25" i="1"/>
  <c r="DD25" i="1"/>
  <c r="DE25" i="1"/>
  <c r="DD158" i="1"/>
  <c r="DE158" i="1"/>
  <c r="DF158" i="1"/>
  <c r="DB158" i="1"/>
  <c r="DG158" i="1"/>
  <c r="DC158" i="1"/>
  <c r="DD74" i="1"/>
  <c r="DC74" i="1"/>
  <c r="DE74" i="1"/>
  <c r="DF74" i="1"/>
  <c r="DB74" i="1"/>
  <c r="DG74" i="1"/>
  <c r="DB69" i="1"/>
  <c r="DF69" i="1"/>
  <c r="DG69" i="1"/>
  <c r="DC69" i="1"/>
  <c r="DD69" i="1"/>
  <c r="DE69" i="1"/>
  <c r="DB87" i="1"/>
  <c r="DF87" i="1"/>
  <c r="DE87" i="1"/>
  <c r="DG87" i="1"/>
  <c r="DC87" i="1"/>
  <c r="DD87" i="1"/>
  <c r="DD86" i="1"/>
  <c r="DF86" i="1"/>
  <c r="DB86" i="1"/>
  <c r="DG86" i="1"/>
  <c r="DC86" i="1"/>
  <c r="DE86" i="1"/>
  <c r="DD58" i="1"/>
  <c r="DE58" i="1"/>
  <c r="DF58" i="1"/>
  <c r="DB58" i="1"/>
  <c r="DC58" i="1"/>
  <c r="DG58" i="1"/>
  <c r="DF186" i="1"/>
  <c r="DG186" i="1"/>
  <c r="DB93" i="1"/>
  <c r="DF93" i="1"/>
  <c r="DG93" i="1"/>
  <c r="DC93" i="1"/>
  <c r="DD93" i="1"/>
  <c r="DE93" i="1"/>
  <c r="DB189" i="1"/>
  <c r="DF189" i="1"/>
  <c r="DC189" i="1"/>
  <c r="DE189" i="1"/>
  <c r="DD189" i="1"/>
  <c r="DG189" i="1"/>
  <c r="DD230" i="1"/>
  <c r="DB230" i="1"/>
  <c r="DG230" i="1"/>
  <c r="DE230" i="1"/>
  <c r="DC230" i="1"/>
  <c r="DF230" i="1"/>
  <c r="DD88" i="1"/>
  <c r="DE88" i="1"/>
  <c r="DF88" i="1"/>
  <c r="DB88" i="1"/>
  <c r="DG88" i="1"/>
  <c r="DC88" i="1"/>
  <c r="DB91" i="1"/>
  <c r="DF91" i="1"/>
  <c r="DC91" i="1"/>
  <c r="DD91" i="1"/>
  <c r="DE91" i="1"/>
  <c r="DG91" i="1"/>
  <c r="DD46" i="1"/>
  <c r="DE46" i="1"/>
  <c r="DF46" i="1"/>
  <c r="DG46" i="1"/>
  <c r="DB46" i="1"/>
  <c r="DC46" i="1"/>
  <c r="DB99" i="1"/>
  <c r="DF99" i="1"/>
  <c r="DC99" i="1"/>
  <c r="DD99" i="1"/>
  <c r="DE99" i="1"/>
  <c r="DG99" i="1"/>
  <c r="DB215" i="1"/>
  <c r="DF215" i="1"/>
  <c r="DG215" i="1"/>
  <c r="DD215" i="1"/>
  <c r="DC215" i="1"/>
  <c r="DE215" i="1"/>
  <c r="DD24" i="1"/>
  <c r="DE24" i="1"/>
  <c r="DB24" i="1"/>
  <c r="DC24" i="1"/>
  <c r="DF24" i="1"/>
  <c r="DG24" i="1"/>
  <c r="DB221" i="1"/>
  <c r="DF221" i="1"/>
  <c r="DC221" i="1"/>
  <c r="DD221" i="1"/>
  <c r="DE221" i="1"/>
  <c r="DG221" i="1"/>
  <c r="DB266" i="1"/>
  <c r="DF266" i="1"/>
  <c r="DD266" i="1"/>
  <c r="DG266" i="1"/>
  <c r="DE266" i="1"/>
  <c r="DC266" i="1"/>
  <c r="DB85" i="1"/>
  <c r="DF85" i="1"/>
  <c r="DG85" i="1"/>
  <c r="DC85" i="1"/>
  <c r="DD85" i="1"/>
  <c r="DE85" i="1"/>
  <c r="DD26" i="1"/>
  <c r="DE26" i="1"/>
  <c r="DF26" i="1"/>
  <c r="DB26" i="1"/>
  <c r="DC26" i="1"/>
  <c r="DG26" i="1"/>
  <c r="DB55" i="1"/>
  <c r="DF55" i="1"/>
  <c r="DC55" i="1"/>
  <c r="DG55" i="1"/>
  <c r="DE55" i="1"/>
  <c r="DD55" i="1"/>
  <c r="DB231" i="1"/>
  <c r="DF231" i="1"/>
  <c r="DG231" i="1"/>
  <c r="DC231" i="1"/>
  <c r="DD231" i="1"/>
  <c r="DE231" i="1"/>
  <c r="DB249" i="1"/>
  <c r="DF249" i="1"/>
  <c r="DE249" i="1"/>
  <c r="DG249" i="1"/>
  <c r="DC249" i="1"/>
  <c r="DD249" i="1"/>
  <c r="CY139" i="1"/>
  <c r="DB139" i="1"/>
  <c r="DF139" i="1"/>
  <c r="DC139" i="1"/>
  <c r="DD139" i="1"/>
  <c r="DE139" i="1"/>
  <c r="DG139" i="1"/>
  <c r="DB268" i="1"/>
  <c r="DF268" i="1"/>
  <c r="DC268" i="1"/>
  <c r="DE268" i="1"/>
  <c r="DD268" i="1"/>
  <c r="DG268" i="1"/>
  <c r="DD126" i="1"/>
  <c r="DF126" i="1"/>
  <c r="DB126" i="1"/>
  <c r="DG126" i="1"/>
  <c r="DC126" i="1"/>
  <c r="DE126" i="1"/>
  <c r="DB179" i="1"/>
  <c r="DF179" i="1"/>
  <c r="DD179" i="1"/>
  <c r="DG179" i="1"/>
  <c r="DE179" i="1"/>
  <c r="DC179" i="1"/>
  <c r="DB103" i="1"/>
  <c r="DF103" i="1"/>
  <c r="DE103" i="1"/>
  <c r="DG103" i="1"/>
  <c r="DC103" i="1"/>
  <c r="DD103" i="1"/>
  <c r="DD180" i="1"/>
  <c r="DB180" i="1"/>
  <c r="DG180" i="1"/>
  <c r="DC180" i="1"/>
  <c r="DE180" i="1"/>
  <c r="DF180" i="1"/>
  <c r="DB213" i="1"/>
  <c r="DF213" i="1"/>
  <c r="DC213" i="1"/>
  <c r="DE213" i="1"/>
  <c r="DD213" i="1"/>
  <c r="DG213" i="1"/>
  <c r="DB149" i="1"/>
  <c r="DF149" i="1"/>
  <c r="DG149" i="1"/>
  <c r="DC149" i="1"/>
  <c r="DD149" i="1"/>
  <c r="DE149" i="1"/>
  <c r="DD188" i="1"/>
  <c r="DC188" i="1"/>
  <c r="DF188" i="1"/>
  <c r="DE188" i="1"/>
  <c r="DB188" i="1"/>
  <c r="DG188" i="1"/>
  <c r="DB117" i="1"/>
  <c r="DF117" i="1"/>
  <c r="DG117" i="1"/>
  <c r="DC117" i="1"/>
  <c r="DD117" i="1"/>
  <c r="DE117" i="1"/>
  <c r="DD106" i="1"/>
  <c r="DC106" i="1"/>
  <c r="DE106" i="1"/>
  <c r="DF106" i="1"/>
  <c r="DB106" i="1"/>
  <c r="DG106" i="1"/>
  <c r="DD18" i="1"/>
  <c r="DE18" i="1"/>
  <c r="DF18" i="1"/>
  <c r="DC18" i="1"/>
  <c r="DG18" i="1"/>
  <c r="DB18" i="1"/>
  <c r="DD60" i="1"/>
  <c r="DE60" i="1"/>
  <c r="DB60" i="1"/>
  <c r="DG60" i="1"/>
  <c r="DC60" i="1"/>
  <c r="DF60" i="1"/>
  <c r="DD36" i="1"/>
  <c r="DE36" i="1"/>
  <c r="DB36" i="1"/>
  <c r="DC36" i="1"/>
  <c r="DF36" i="1"/>
  <c r="DG36" i="1"/>
  <c r="DD120" i="1"/>
  <c r="DE120" i="1"/>
  <c r="DB120" i="1"/>
  <c r="DF120" i="1"/>
  <c r="DC120" i="1"/>
  <c r="DG120" i="1"/>
  <c r="DD176" i="1"/>
  <c r="DE176" i="1"/>
  <c r="DB176" i="1"/>
  <c r="DF176" i="1"/>
  <c r="DC176" i="1"/>
  <c r="DG176" i="1"/>
  <c r="DB37" i="1"/>
  <c r="DF37" i="1"/>
  <c r="DC37" i="1"/>
  <c r="DG37" i="1"/>
  <c r="DD37" i="1"/>
  <c r="DE37" i="1"/>
  <c r="DB243" i="1"/>
  <c r="DF243" i="1"/>
  <c r="DD243" i="1"/>
  <c r="DE243" i="1"/>
  <c r="DG243" i="1"/>
  <c r="DC243" i="1"/>
  <c r="DD212" i="1"/>
  <c r="DC212" i="1"/>
  <c r="DE212" i="1"/>
  <c r="DF212" i="1"/>
  <c r="DG212" i="1"/>
  <c r="DB212" i="1"/>
  <c r="DB90" i="1"/>
  <c r="DF90" i="1"/>
  <c r="DC90" i="1"/>
  <c r="DG90" i="1"/>
  <c r="DD90" i="1"/>
  <c r="DE90" i="1"/>
  <c r="DB227" i="1"/>
  <c r="DF227" i="1"/>
  <c r="DD227" i="1"/>
  <c r="DE227" i="1"/>
  <c r="DG227" i="1"/>
  <c r="DC227" i="1"/>
  <c r="DB203" i="1"/>
  <c r="DF203" i="1"/>
  <c r="DD203" i="1"/>
  <c r="DG203" i="1"/>
  <c r="DE203" i="1"/>
  <c r="DC203" i="1"/>
  <c r="DB141" i="1"/>
  <c r="DF141" i="1"/>
  <c r="DG141" i="1"/>
  <c r="DC141" i="1"/>
  <c r="DD141" i="1"/>
  <c r="DE141" i="1"/>
  <c r="DB41" i="1"/>
  <c r="DF41" i="1"/>
  <c r="DC41" i="1"/>
  <c r="DG41" i="1"/>
  <c r="DD41" i="1"/>
  <c r="DE41" i="1"/>
  <c r="DD192" i="1"/>
  <c r="DF192" i="1"/>
  <c r="DC192" i="1"/>
  <c r="DB192" i="1"/>
  <c r="DG192" i="1"/>
  <c r="DE192" i="1"/>
  <c r="DB169" i="1"/>
  <c r="DF169" i="1"/>
  <c r="DC169" i="1"/>
  <c r="DG169" i="1"/>
  <c r="DD169" i="1"/>
  <c r="DE169" i="1"/>
  <c r="DD224" i="1"/>
  <c r="DF224" i="1"/>
  <c r="DC224" i="1"/>
  <c r="DB224" i="1"/>
  <c r="DG224" i="1"/>
  <c r="DE224" i="1"/>
  <c r="DD216" i="1"/>
  <c r="DF216" i="1"/>
  <c r="DB216" i="1"/>
  <c r="DG216" i="1"/>
  <c r="DC216" i="1"/>
  <c r="DE216" i="1"/>
  <c r="DB137" i="1"/>
  <c r="DF137" i="1"/>
  <c r="DD137" i="1"/>
  <c r="DE137" i="1"/>
  <c r="DG137" i="1"/>
  <c r="DC137" i="1"/>
  <c r="DB223" i="1"/>
  <c r="DF223" i="1"/>
  <c r="DG223" i="1"/>
  <c r="DC223" i="1"/>
  <c r="DD223" i="1"/>
  <c r="DE223" i="1"/>
  <c r="DB105" i="1"/>
  <c r="DF105" i="1"/>
  <c r="DD105" i="1"/>
  <c r="DE105" i="1"/>
  <c r="DG105" i="1"/>
  <c r="DC105" i="1"/>
  <c r="DD164" i="1"/>
  <c r="DE164" i="1"/>
  <c r="DB164" i="1"/>
  <c r="DF164" i="1"/>
  <c r="DC164" i="1"/>
  <c r="DG164" i="1"/>
  <c r="DD44" i="1"/>
  <c r="DE44" i="1"/>
  <c r="DB44" i="1"/>
  <c r="DG44" i="1"/>
  <c r="DC44" i="1"/>
  <c r="DF44" i="1"/>
  <c r="DD108" i="1"/>
  <c r="DB108" i="1"/>
  <c r="DG108" i="1"/>
  <c r="DC108" i="1"/>
  <c r="DE108" i="1"/>
  <c r="DF108" i="1"/>
  <c r="DD168" i="1"/>
  <c r="DE168" i="1"/>
  <c r="DB168" i="1"/>
  <c r="DF168" i="1"/>
  <c r="DC168" i="1"/>
  <c r="DG168" i="1"/>
  <c r="DB259" i="1"/>
  <c r="DF259" i="1"/>
  <c r="DD259" i="1"/>
  <c r="DE259" i="1"/>
  <c r="DG259" i="1"/>
  <c r="DC259" i="1"/>
  <c r="DD82" i="1"/>
  <c r="DC82" i="1"/>
  <c r="DE82" i="1"/>
  <c r="DF82" i="1"/>
  <c r="DG82" i="1"/>
  <c r="DB82" i="1"/>
  <c r="DD163" i="1"/>
  <c r="DC163" i="1"/>
  <c r="DE163" i="1"/>
  <c r="DF163" i="1"/>
  <c r="DB163" i="1"/>
  <c r="DG163" i="1"/>
  <c r="DD50" i="1"/>
  <c r="DE50" i="1"/>
  <c r="DF50" i="1"/>
  <c r="DC50" i="1"/>
  <c r="DG50" i="1"/>
  <c r="DB50" i="1"/>
  <c r="DB115" i="1"/>
  <c r="DF115" i="1"/>
  <c r="DC115" i="1"/>
  <c r="DD115" i="1"/>
  <c r="DE115" i="1"/>
  <c r="DG115" i="1"/>
  <c r="DB123" i="1"/>
  <c r="DF123" i="1"/>
  <c r="DC123" i="1"/>
  <c r="DD123" i="1"/>
  <c r="DE123" i="1"/>
  <c r="DG123" i="1"/>
  <c r="DB45" i="1"/>
  <c r="DF45" i="1"/>
  <c r="DC45" i="1"/>
  <c r="DG45" i="1"/>
  <c r="DD45" i="1"/>
  <c r="DE45" i="1"/>
  <c r="DD148" i="1"/>
  <c r="DB148" i="1"/>
  <c r="DG148" i="1"/>
  <c r="DC148" i="1"/>
  <c r="DE148" i="1"/>
  <c r="DF148" i="1"/>
  <c r="DB253" i="1"/>
  <c r="DF253" i="1"/>
  <c r="DC253" i="1"/>
  <c r="DE253" i="1"/>
  <c r="DD253" i="1"/>
  <c r="DG253" i="1"/>
  <c r="DD244" i="1"/>
  <c r="DC244" i="1"/>
  <c r="DF244" i="1"/>
  <c r="DE244" i="1"/>
  <c r="DG244" i="1"/>
  <c r="DB244" i="1"/>
  <c r="DB125" i="1"/>
  <c r="DF125" i="1"/>
  <c r="DG125" i="1"/>
  <c r="DC125" i="1"/>
  <c r="DD125" i="1"/>
  <c r="DE125" i="1"/>
  <c r="DB121" i="1"/>
  <c r="DF121" i="1"/>
  <c r="DC121" i="1"/>
  <c r="DD121" i="1"/>
  <c r="DE121" i="1"/>
  <c r="DG121" i="1"/>
  <c r="DB185" i="1"/>
  <c r="DF185" i="1"/>
  <c r="DE185" i="1"/>
  <c r="DC185" i="1"/>
  <c r="DG185" i="1"/>
  <c r="DD185" i="1"/>
  <c r="DB70" i="1"/>
  <c r="DF70" i="1"/>
  <c r="DD70" i="1"/>
  <c r="DE70" i="1"/>
  <c r="DG70" i="1"/>
  <c r="DC70" i="1"/>
  <c r="DD146" i="1"/>
  <c r="DC146" i="1"/>
  <c r="DE146" i="1"/>
  <c r="DF146" i="1"/>
  <c r="DG146" i="1"/>
  <c r="DB146" i="1"/>
  <c r="DD78" i="1"/>
  <c r="DF78" i="1"/>
  <c r="DB78" i="1"/>
  <c r="DG78" i="1"/>
  <c r="DC78" i="1"/>
  <c r="DE78" i="1"/>
  <c r="DB205" i="1"/>
  <c r="DF205" i="1"/>
  <c r="DC205" i="1"/>
  <c r="DE205" i="1"/>
  <c r="DD205" i="1"/>
  <c r="DG205" i="1"/>
  <c r="DD19" i="1"/>
  <c r="DE19" i="1"/>
  <c r="DB19" i="1"/>
  <c r="DG19" i="1"/>
  <c r="DF19" i="1"/>
  <c r="DC19" i="1"/>
  <c r="DB187" i="1"/>
  <c r="DF187" i="1"/>
  <c r="DD187" i="1"/>
  <c r="DG187" i="1"/>
  <c r="DE187" i="1"/>
  <c r="DC187" i="1"/>
  <c r="DB17" i="1"/>
  <c r="DF17" i="1"/>
  <c r="DC17" i="1"/>
  <c r="DG17" i="1"/>
  <c r="DD17" i="1"/>
  <c r="DE17" i="1"/>
  <c r="DD94" i="1"/>
  <c r="DF94" i="1"/>
  <c r="DB94" i="1"/>
  <c r="DG94" i="1"/>
  <c r="DC94" i="1"/>
  <c r="DE94" i="1"/>
  <c r="DD80" i="1"/>
  <c r="DE80" i="1"/>
  <c r="DF80" i="1"/>
  <c r="DG80" i="1"/>
  <c r="DB80" i="1"/>
  <c r="DC80" i="1"/>
  <c r="DB39" i="1"/>
  <c r="DF39" i="1"/>
  <c r="DC39" i="1"/>
  <c r="DG39" i="1"/>
  <c r="DE39" i="1"/>
  <c r="DD39" i="1"/>
  <c r="DB193" i="1"/>
  <c r="DF193" i="1"/>
  <c r="DE193" i="1"/>
  <c r="DC193" i="1"/>
  <c r="DG193" i="1"/>
  <c r="DD193" i="1"/>
  <c r="DD220" i="1"/>
  <c r="DC220" i="1"/>
  <c r="DF220" i="1"/>
  <c r="DE220" i="1"/>
  <c r="DB220" i="1"/>
  <c r="DG220" i="1"/>
  <c r="DD89" i="1"/>
  <c r="DC89" i="1"/>
  <c r="DE89" i="1"/>
  <c r="DF89" i="1"/>
  <c r="DG89" i="1"/>
  <c r="DB89" i="1"/>
  <c r="DD254" i="1"/>
  <c r="DB254" i="1"/>
  <c r="DG254" i="1"/>
  <c r="DC254" i="1"/>
  <c r="DE254" i="1"/>
  <c r="DF254" i="1"/>
  <c r="CZ242" i="1"/>
  <c r="DB83" i="1"/>
  <c r="DF83" i="1"/>
  <c r="DC83" i="1"/>
  <c r="DD83" i="1"/>
  <c r="DE83" i="1"/>
  <c r="DG83" i="1"/>
  <c r="DD84" i="1"/>
  <c r="DB84" i="1"/>
  <c r="DG84" i="1"/>
  <c r="DC84" i="1"/>
  <c r="DE84" i="1"/>
  <c r="DF84" i="1"/>
  <c r="DD228" i="1"/>
  <c r="DC228" i="1"/>
  <c r="DF228" i="1"/>
  <c r="DE228" i="1"/>
  <c r="DG228" i="1"/>
  <c r="DB228" i="1"/>
  <c r="DD174" i="1"/>
  <c r="DE174" i="1"/>
  <c r="DF174" i="1"/>
  <c r="DB174" i="1"/>
  <c r="DG174" i="1"/>
  <c r="DC174" i="1"/>
  <c r="DD170" i="1"/>
  <c r="DE170" i="1"/>
  <c r="DF170" i="1"/>
  <c r="DB170" i="1"/>
  <c r="DG170" i="1"/>
  <c r="DC170" i="1"/>
  <c r="DD98" i="1"/>
  <c r="DC98" i="1"/>
  <c r="DE98" i="1"/>
  <c r="DF98" i="1"/>
  <c r="DG98" i="1"/>
  <c r="DB98" i="1"/>
  <c r="DB195" i="1"/>
  <c r="DF195" i="1"/>
  <c r="DD195" i="1"/>
  <c r="DG195" i="1"/>
  <c r="DE195" i="1"/>
  <c r="DC195" i="1"/>
  <c r="DB14" i="1"/>
  <c r="DF14" i="1"/>
  <c r="DE14" i="1"/>
  <c r="DG14" i="1"/>
  <c r="DC14" i="1"/>
  <c r="DD14" i="1"/>
  <c r="DB263" i="1"/>
  <c r="DF263" i="1"/>
  <c r="DG263" i="1"/>
  <c r="DC263" i="1"/>
  <c r="DD263" i="1"/>
  <c r="DE263" i="1"/>
  <c r="DB225" i="1"/>
  <c r="DF225" i="1"/>
  <c r="DE225" i="1"/>
  <c r="DG225" i="1"/>
  <c r="DC225" i="1"/>
  <c r="DD225" i="1"/>
  <c r="DB81" i="1"/>
  <c r="DF81" i="1"/>
  <c r="DD81" i="1"/>
  <c r="DE81" i="1"/>
  <c r="DG81" i="1"/>
  <c r="DC81" i="1"/>
  <c r="DD72" i="1"/>
  <c r="DE72" i="1"/>
  <c r="DF72" i="1"/>
  <c r="DB72" i="1"/>
  <c r="DG72" i="1"/>
  <c r="DC72" i="1"/>
  <c r="DD204" i="1"/>
  <c r="DC204" i="1"/>
  <c r="DE204" i="1"/>
  <c r="DF204" i="1"/>
  <c r="DB204" i="1"/>
  <c r="DG204" i="1"/>
  <c r="DD150" i="1"/>
  <c r="DF150" i="1"/>
  <c r="DB150" i="1"/>
  <c r="DG150" i="1"/>
  <c r="DC150" i="1"/>
  <c r="DE150" i="1"/>
  <c r="DB173" i="1"/>
  <c r="DF173" i="1"/>
  <c r="DC173" i="1"/>
  <c r="DG173" i="1"/>
  <c r="DD173" i="1"/>
  <c r="DE173" i="1"/>
  <c r="DD226" i="1"/>
  <c r="DE226" i="1"/>
  <c r="DB226" i="1"/>
  <c r="DG226" i="1"/>
  <c r="DF226" i="1"/>
  <c r="DC226" i="1"/>
  <c r="DD138" i="1"/>
  <c r="DC138" i="1"/>
  <c r="DE138" i="1"/>
  <c r="DF138" i="1"/>
  <c r="DB138" i="1"/>
  <c r="DG138" i="1"/>
  <c r="DD52" i="1"/>
  <c r="DE52" i="1"/>
  <c r="DB52" i="1"/>
  <c r="DC52" i="1"/>
  <c r="DF52" i="1"/>
  <c r="DG52" i="1"/>
  <c r="DB175" i="1"/>
  <c r="DF175" i="1"/>
  <c r="DC175" i="1"/>
  <c r="DG175" i="1"/>
  <c r="DD175" i="1"/>
  <c r="DE175" i="1"/>
  <c r="DH140" i="1"/>
  <c r="DD140" i="1"/>
  <c r="DB140" i="1"/>
  <c r="DG140" i="1"/>
  <c r="DC140" i="1"/>
  <c r="DE140" i="1"/>
  <c r="DF140" i="1"/>
  <c r="DE66" i="1"/>
  <c r="DC66" i="1"/>
  <c r="DB66" i="1"/>
  <c r="DD66" i="1"/>
  <c r="DF66" i="1"/>
  <c r="DG66" i="1"/>
  <c r="DD194" i="1"/>
  <c r="DE194" i="1"/>
  <c r="DG194" i="1"/>
  <c r="DF194" i="1"/>
  <c r="DB194" i="1"/>
  <c r="DC194" i="1"/>
  <c r="DD252" i="1"/>
  <c r="DC252" i="1"/>
  <c r="DE252" i="1"/>
  <c r="DF252" i="1"/>
  <c r="DB252" i="1"/>
  <c r="DG252" i="1"/>
  <c r="DG8" i="1"/>
  <c r="DC8" i="1"/>
  <c r="DD8" i="1"/>
  <c r="DF8" i="1"/>
  <c r="DB8" i="1"/>
  <c r="DE8" i="1"/>
  <c r="DA194" i="1"/>
  <c r="DJ267" i="1"/>
  <c r="DI267" i="1"/>
  <c r="CZ52" i="1"/>
  <c r="DH194" i="1"/>
  <c r="DI66" i="1"/>
  <c r="CZ252" i="1"/>
  <c r="CZ175" i="1"/>
  <c r="DA66" i="1"/>
  <c r="CY140" i="1"/>
  <c r="CY194" i="1"/>
  <c r="CY52" i="1"/>
  <c r="DJ140" i="1"/>
  <c r="DH25" i="1"/>
  <c r="DH52" i="1"/>
  <c r="DJ175" i="1"/>
  <c r="DA175" i="1"/>
  <c r="CZ66" i="1"/>
  <c r="CZ140" i="1"/>
  <c r="CY252" i="1"/>
  <c r="CZ194" i="1"/>
  <c r="DA52" i="1"/>
  <c r="CZ25" i="1"/>
  <c r="DH66" i="1"/>
  <c r="DI252" i="1"/>
  <c r="CZ161" i="1"/>
  <c r="CY75" i="1"/>
  <c r="DA158" i="1"/>
  <c r="DI158" i="1"/>
  <c r="CY242" i="1"/>
  <c r="DH242" i="1"/>
  <c r="DA242" i="1"/>
  <c r="DJ242" i="1"/>
  <c r="DJ52" i="1"/>
  <c r="DI140" i="1"/>
  <c r="DI175" i="1"/>
  <c r="DJ194" i="1"/>
  <c r="DH252" i="1"/>
  <c r="DI52" i="1"/>
  <c r="DH175" i="1"/>
  <c r="DI194" i="1"/>
  <c r="DJ66" i="1"/>
  <c r="DJ252" i="1"/>
  <c r="CZ160" i="1"/>
  <c r="DA104" i="1"/>
  <c r="DI182" i="1"/>
  <c r="CZ182" i="1"/>
  <c r="DI206" i="1"/>
  <c r="DH104" i="1"/>
  <c r="DA40" i="1"/>
  <c r="DA129" i="1"/>
  <c r="CY182" i="1"/>
  <c r="CY25" i="1"/>
  <c r="CZ158" i="1"/>
  <c r="CZ206" i="1"/>
  <c r="DJ25" i="1"/>
  <c r="DH129" i="1"/>
  <c r="DH158" i="1"/>
  <c r="DH40" i="1"/>
  <c r="DA160" i="1"/>
  <c r="DA25" i="1"/>
  <c r="CY158" i="1"/>
  <c r="CY104" i="1"/>
  <c r="CY206" i="1"/>
  <c r="DI25" i="1"/>
  <c r="DJ158" i="1"/>
  <c r="DH75" i="1"/>
  <c r="CZ34" i="1"/>
  <c r="DI34" i="1"/>
  <c r="CY34" i="1"/>
  <c r="CZ40" i="1"/>
  <c r="CY160" i="1"/>
  <c r="CZ63" i="1"/>
  <c r="DJ40" i="1"/>
  <c r="DH63" i="1"/>
  <c r="DH34" i="1"/>
  <c r="DA34" i="1"/>
  <c r="CY40" i="1"/>
  <c r="DA182" i="1"/>
  <c r="CZ104" i="1"/>
  <c r="DA206" i="1"/>
  <c r="DJ182" i="1"/>
  <c r="DH160" i="1"/>
  <c r="DJ34" i="1"/>
  <c r="DJ104" i="1"/>
  <c r="DA139" i="1"/>
  <c r="DH139" i="1"/>
  <c r="DI48" i="1"/>
  <c r="CZ48" i="1"/>
  <c r="DH10" i="1"/>
  <c r="CY48" i="1"/>
  <c r="CZ139" i="1"/>
  <c r="CY63" i="1"/>
  <c r="DJ139" i="1"/>
  <c r="DJ63" i="1"/>
  <c r="DJ48" i="1"/>
  <c r="DA63" i="1"/>
  <c r="DI139" i="1"/>
  <c r="DI63" i="1"/>
  <c r="DH48" i="1"/>
  <c r="DH206" i="1"/>
  <c r="DI10" i="1"/>
  <c r="DJ160" i="1"/>
  <c r="CY10" i="1"/>
  <c r="CZ10" i="1"/>
  <c r="DA48" i="1"/>
  <c r="DJ206" i="1"/>
  <c r="DJ10" i="1"/>
  <c r="DI160" i="1"/>
  <c r="DI104" i="1"/>
  <c r="CZ129" i="1"/>
  <c r="CY161" i="1"/>
  <c r="DA197" i="1"/>
  <c r="DA75" i="1"/>
  <c r="DJ129" i="1"/>
  <c r="DI161" i="1"/>
  <c r="DI197" i="1"/>
  <c r="DJ75" i="1"/>
  <c r="CZ197" i="1"/>
  <c r="DI129" i="1"/>
  <c r="DJ161" i="1"/>
  <c r="DJ197" i="1"/>
  <c r="DI75" i="1"/>
  <c r="CY129" i="1"/>
  <c r="DA161" i="1"/>
  <c r="CY197" i="1"/>
  <c r="DH197" i="1"/>
  <c r="CY172" i="1"/>
  <c r="DA138" i="1"/>
  <c r="CZ135" i="1"/>
  <c r="CZ14" i="1"/>
  <c r="DA81" i="1"/>
  <c r="DA150" i="1"/>
  <c r="CZ173" i="1"/>
  <c r="CY138" i="1"/>
  <c r="CZ138" i="1"/>
  <c r="DI270" i="1"/>
  <c r="DJ270" i="1"/>
  <c r="DH270" i="1"/>
  <c r="DH20" i="1"/>
  <c r="DI20" i="1"/>
  <c r="DJ20" i="1"/>
  <c r="DH74" i="1"/>
  <c r="DI74" i="1"/>
  <c r="DJ74" i="1"/>
  <c r="DI109" i="1"/>
  <c r="DJ109" i="1"/>
  <c r="DH109" i="1"/>
  <c r="DH92" i="1"/>
  <c r="DI92" i="1"/>
  <c r="DJ92" i="1"/>
  <c r="DI111" i="1"/>
  <c r="DJ111" i="1"/>
  <c r="DH111" i="1"/>
  <c r="DH136" i="1"/>
  <c r="DI136" i="1"/>
  <c r="DJ136" i="1"/>
  <c r="DI256" i="1"/>
  <c r="DJ256" i="1"/>
  <c r="DH256" i="1"/>
  <c r="DI45" i="1"/>
  <c r="DJ45" i="1"/>
  <c r="DH45" i="1"/>
  <c r="DI125" i="1"/>
  <c r="DJ125" i="1"/>
  <c r="DH125" i="1"/>
  <c r="DI70" i="1"/>
  <c r="DJ70" i="1"/>
  <c r="DH70" i="1"/>
  <c r="DH78" i="1"/>
  <c r="DI78" i="1"/>
  <c r="DJ78" i="1"/>
  <c r="DH187" i="1"/>
  <c r="DI187" i="1"/>
  <c r="DJ187" i="1"/>
  <c r="DI17" i="1"/>
  <c r="DJ17" i="1"/>
  <c r="DH17" i="1"/>
  <c r="DI39" i="1"/>
  <c r="DJ39" i="1"/>
  <c r="DH39" i="1"/>
  <c r="DI220" i="1"/>
  <c r="DJ220" i="1"/>
  <c r="DH220" i="1"/>
  <c r="DH8" i="1"/>
  <c r="DI8" i="1"/>
  <c r="DJ8" i="1"/>
  <c r="DH144" i="1"/>
  <c r="DI144" i="1"/>
  <c r="DJ144" i="1"/>
  <c r="DI71" i="1"/>
  <c r="DJ71" i="1"/>
  <c r="DH71" i="1"/>
  <c r="DI107" i="1"/>
  <c r="DJ107" i="1"/>
  <c r="DH107" i="1"/>
  <c r="DI255" i="1"/>
  <c r="DJ255" i="1"/>
  <c r="DH255" i="1"/>
  <c r="DI135" i="1"/>
  <c r="DJ135" i="1"/>
  <c r="DH135" i="1"/>
  <c r="DI178" i="1"/>
  <c r="DJ178" i="1"/>
  <c r="DH178" i="1"/>
  <c r="DH116" i="1"/>
  <c r="DI116" i="1"/>
  <c r="DJ116" i="1"/>
  <c r="DI21" i="1"/>
  <c r="DJ21" i="1"/>
  <c r="DH21" i="1"/>
  <c r="DI218" i="1"/>
  <c r="DJ218" i="1"/>
  <c r="DH218" i="1"/>
  <c r="DH12" i="1"/>
  <c r="DI12" i="1"/>
  <c r="DJ12" i="1"/>
  <c r="DI260" i="1"/>
  <c r="DJ260" i="1"/>
  <c r="DH260" i="1"/>
  <c r="DH30" i="1"/>
  <c r="DI30" i="1"/>
  <c r="DJ30" i="1"/>
  <c r="DH159" i="1"/>
  <c r="DI159" i="1"/>
  <c r="DJ159" i="1"/>
  <c r="DI246" i="1"/>
  <c r="DJ246" i="1"/>
  <c r="DH246" i="1"/>
  <c r="DH201" i="1"/>
  <c r="DJ201" i="1"/>
  <c r="DI201" i="1"/>
  <c r="DI31" i="1"/>
  <c r="DJ31" i="1"/>
  <c r="DH31" i="1"/>
  <c r="DI15" i="1"/>
  <c r="DJ15" i="1"/>
  <c r="DH15" i="1"/>
  <c r="DI43" i="1"/>
  <c r="DJ43" i="1"/>
  <c r="DH43" i="1"/>
  <c r="DH102" i="1"/>
  <c r="DI102" i="1"/>
  <c r="DJ102" i="1"/>
  <c r="DH217" i="1"/>
  <c r="DJ217" i="1"/>
  <c r="DI217" i="1"/>
  <c r="DH235" i="1"/>
  <c r="DI235" i="1"/>
  <c r="DJ235" i="1"/>
  <c r="DI33" i="1"/>
  <c r="DJ33" i="1"/>
  <c r="DH33" i="1"/>
  <c r="DH157" i="1"/>
  <c r="DJ157" i="1"/>
  <c r="DI157" i="1"/>
  <c r="DI196" i="1"/>
  <c r="DJ196" i="1"/>
  <c r="DH196" i="1"/>
  <c r="DH32" i="1"/>
  <c r="DI32" i="1"/>
  <c r="DJ32" i="1"/>
  <c r="DI238" i="1"/>
  <c r="DJ238" i="1"/>
  <c r="DH238" i="1"/>
  <c r="DH28" i="1"/>
  <c r="DI28" i="1"/>
  <c r="DJ28" i="1"/>
  <c r="DI230" i="1"/>
  <c r="DJ230" i="1"/>
  <c r="DH230" i="1"/>
  <c r="DI147" i="1"/>
  <c r="DJ147" i="1"/>
  <c r="DH147" i="1"/>
  <c r="DH88" i="1"/>
  <c r="DJ88" i="1"/>
  <c r="DI88" i="1"/>
  <c r="DI240" i="1"/>
  <c r="DJ240" i="1"/>
  <c r="DH240" i="1"/>
  <c r="DI145" i="1"/>
  <c r="DJ145" i="1"/>
  <c r="DH145" i="1"/>
  <c r="DI91" i="1"/>
  <c r="DJ91" i="1"/>
  <c r="DH91" i="1"/>
  <c r="DI59" i="1"/>
  <c r="DJ59" i="1"/>
  <c r="DH59" i="1"/>
  <c r="DH152" i="1"/>
  <c r="DI152" i="1"/>
  <c r="DJ152" i="1"/>
  <c r="DH46" i="1"/>
  <c r="DI46" i="1"/>
  <c r="DJ46" i="1"/>
  <c r="DH122" i="1"/>
  <c r="DI122" i="1"/>
  <c r="DJ122" i="1"/>
  <c r="DI99" i="1"/>
  <c r="DJ99" i="1"/>
  <c r="DH99" i="1"/>
  <c r="DH241" i="1"/>
  <c r="DJ241" i="1"/>
  <c r="DI241" i="1"/>
  <c r="DH229" i="1"/>
  <c r="DJ229" i="1"/>
  <c r="DI229" i="1"/>
  <c r="DH215" i="1"/>
  <c r="DI215" i="1"/>
  <c r="DJ215" i="1"/>
  <c r="DH239" i="1"/>
  <c r="DI239" i="1"/>
  <c r="DJ239" i="1"/>
  <c r="DH16" i="1"/>
  <c r="DI16" i="1"/>
  <c r="DJ16" i="1"/>
  <c r="DH24" i="1"/>
  <c r="DI24" i="1"/>
  <c r="DJ24" i="1"/>
  <c r="DH184" i="1"/>
  <c r="DI184" i="1"/>
  <c r="DJ184" i="1"/>
  <c r="DH221" i="1"/>
  <c r="DJ221" i="1"/>
  <c r="DI221" i="1"/>
  <c r="DI83" i="1"/>
  <c r="DJ83" i="1"/>
  <c r="DH83" i="1"/>
  <c r="DH84" i="1"/>
  <c r="DI84" i="1"/>
  <c r="DJ84" i="1"/>
  <c r="DI228" i="1"/>
  <c r="DJ228" i="1"/>
  <c r="DH228" i="1"/>
  <c r="DI174" i="1"/>
  <c r="DJ174" i="1"/>
  <c r="DH174" i="1"/>
  <c r="DI170" i="1"/>
  <c r="DJ170" i="1"/>
  <c r="DH170" i="1"/>
  <c r="DH98" i="1"/>
  <c r="DI98" i="1"/>
  <c r="DJ98" i="1"/>
  <c r="DH195" i="1"/>
  <c r="DI195" i="1"/>
  <c r="DJ195" i="1"/>
  <c r="DI14" i="1"/>
  <c r="DJ14" i="1"/>
  <c r="DH14" i="1"/>
  <c r="DH263" i="1"/>
  <c r="DI263" i="1"/>
  <c r="DJ263" i="1"/>
  <c r="DH225" i="1"/>
  <c r="DJ225" i="1"/>
  <c r="DI225" i="1"/>
  <c r="DI81" i="1"/>
  <c r="DJ81" i="1"/>
  <c r="DH81" i="1"/>
  <c r="DH72" i="1"/>
  <c r="DJ72" i="1"/>
  <c r="DI72" i="1"/>
  <c r="DI204" i="1"/>
  <c r="DJ204" i="1"/>
  <c r="DH204" i="1"/>
  <c r="DH150" i="1"/>
  <c r="DJ150" i="1"/>
  <c r="DI150" i="1"/>
  <c r="DH173" i="1"/>
  <c r="DJ173" i="1"/>
  <c r="DI173" i="1"/>
  <c r="DI226" i="1"/>
  <c r="DJ226" i="1"/>
  <c r="DH226" i="1"/>
  <c r="DH138" i="1"/>
  <c r="DJ138" i="1"/>
  <c r="DI138" i="1"/>
  <c r="DH219" i="1"/>
  <c r="DI219" i="1"/>
  <c r="DJ219" i="1"/>
  <c r="DI87" i="1"/>
  <c r="DJ87" i="1"/>
  <c r="DH87" i="1"/>
  <c r="DH86" i="1"/>
  <c r="DI86" i="1"/>
  <c r="DJ86" i="1"/>
  <c r="DI53" i="1"/>
  <c r="DJ53" i="1"/>
  <c r="DH53" i="1"/>
  <c r="DI93" i="1"/>
  <c r="DJ93" i="1"/>
  <c r="DH93" i="1"/>
  <c r="DH253" i="1"/>
  <c r="DJ253" i="1"/>
  <c r="DI253" i="1"/>
  <c r="DI121" i="1"/>
  <c r="DJ121" i="1"/>
  <c r="DH121" i="1"/>
  <c r="DH205" i="1"/>
  <c r="DJ205" i="1"/>
  <c r="DI205" i="1"/>
  <c r="DH80" i="1"/>
  <c r="DJ80" i="1"/>
  <c r="DI80" i="1"/>
  <c r="DH89" i="1"/>
  <c r="DI89" i="1"/>
  <c r="DJ89" i="1"/>
  <c r="DI262" i="1"/>
  <c r="DJ262" i="1"/>
  <c r="DH262" i="1"/>
  <c r="DI7" i="1"/>
  <c r="DJ7" i="1"/>
  <c r="DH7" i="1"/>
  <c r="DH211" i="1"/>
  <c r="DI211" i="1"/>
  <c r="DJ211" i="1"/>
  <c r="DH126" i="1"/>
  <c r="DJ126" i="1"/>
  <c r="DI126" i="1"/>
  <c r="DI103" i="1"/>
  <c r="DJ103" i="1"/>
  <c r="DH103" i="1"/>
  <c r="DH96" i="1"/>
  <c r="DJ96" i="1"/>
  <c r="DI96" i="1"/>
  <c r="DH153" i="1"/>
  <c r="DI153" i="1"/>
  <c r="DJ153" i="1"/>
  <c r="DI73" i="1"/>
  <c r="DJ73" i="1"/>
  <c r="DH73" i="1"/>
  <c r="DI120" i="1"/>
  <c r="DJ120" i="1"/>
  <c r="DH120" i="1"/>
  <c r="DI176" i="1"/>
  <c r="DJ176" i="1"/>
  <c r="DH176" i="1"/>
  <c r="DI27" i="1"/>
  <c r="DJ27" i="1"/>
  <c r="DH27" i="1"/>
  <c r="DI214" i="1"/>
  <c r="DJ214" i="1"/>
  <c r="DH214" i="1"/>
  <c r="DI9" i="1"/>
  <c r="DJ9" i="1"/>
  <c r="DH9" i="1"/>
  <c r="DI265" i="1"/>
  <c r="DJ265" i="1"/>
  <c r="DH265" i="1"/>
  <c r="DI61" i="1"/>
  <c r="DJ61" i="1"/>
  <c r="DH61" i="1"/>
  <c r="DH62" i="1"/>
  <c r="DI62" i="1"/>
  <c r="DJ62" i="1"/>
  <c r="DH65" i="1"/>
  <c r="DI65" i="1"/>
  <c r="DJ65" i="1"/>
  <c r="DH114" i="1"/>
  <c r="DJ114" i="1"/>
  <c r="DI114" i="1"/>
  <c r="DH245" i="1"/>
  <c r="DJ245" i="1"/>
  <c r="DI245" i="1"/>
  <c r="DI119" i="1"/>
  <c r="DJ119" i="1"/>
  <c r="DH119" i="1"/>
  <c r="DH128" i="1"/>
  <c r="DI128" i="1"/>
  <c r="DJ128" i="1"/>
  <c r="DI23" i="1"/>
  <c r="DJ23" i="1"/>
  <c r="DH23" i="1"/>
  <c r="DH207" i="1"/>
  <c r="DI207" i="1"/>
  <c r="DJ207" i="1"/>
  <c r="DH22" i="1"/>
  <c r="DI22" i="1"/>
  <c r="DJ22" i="1"/>
  <c r="DI57" i="1"/>
  <c r="DJ57" i="1"/>
  <c r="DH57" i="1"/>
  <c r="DH167" i="1"/>
  <c r="DI167" i="1"/>
  <c r="DJ167" i="1"/>
  <c r="DI200" i="1"/>
  <c r="DJ200" i="1"/>
  <c r="DH200" i="1"/>
  <c r="DH100" i="1"/>
  <c r="DI100" i="1"/>
  <c r="DJ100" i="1"/>
  <c r="DI51" i="1"/>
  <c r="DJ51" i="1"/>
  <c r="DH51" i="1"/>
  <c r="DH266" i="1"/>
  <c r="DI266" i="1"/>
  <c r="DJ266" i="1"/>
  <c r="DH130" i="1"/>
  <c r="DJ130" i="1"/>
  <c r="DI130" i="1"/>
  <c r="DI101" i="1"/>
  <c r="DJ101" i="1"/>
  <c r="DH101" i="1"/>
  <c r="DH64" i="1"/>
  <c r="DJ64" i="1"/>
  <c r="DI64" i="1"/>
  <c r="DI85" i="1"/>
  <c r="DJ85" i="1"/>
  <c r="DH85" i="1"/>
  <c r="DH257" i="1"/>
  <c r="DJ257" i="1"/>
  <c r="DI257" i="1"/>
  <c r="DH26" i="1"/>
  <c r="DI26" i="1"/>
  <c r="DJ26" i="1"/>
  <c r="DH264" i="1"/>
  <c r="DJ264" i="1"/>
  <c r="DI264" i="1"/>
  <c r="DI236" i="1"/>
  <c r="DJ236" i="1"/>
  <c r="DH236" i="1"/>
  <c r="DI55" i="1"/>
  <c r="DJ55" i="1"/>
  <c r="DH55" i="1"/>
  <c r="DI77" i="1"/>
  <c r="DJ77" i="1"/>
  <c r="DH77" i="1"/>
  <c r="DH231" i="1"/>
  <c r="DI231" i="1"/>
  <c r="DJ231" i="1"/>
  <c r="DI162" i="1"/>
  <c r="DJ162" i="1"/>
  <c r="DH162" i="1"/>
  <c r="DH249" i="1"/>
  <c r="DJ249" i="1"/>
  <c r="DI249" i="1"/>
  <c r="DH171" i="1"/>
  <c r="DI171" i="1"/>
  <c r="DJ171" i="1"/>
  <c r="DI155" i="1"/>
  <c r="DJ155" i="1"/>
  <c r="DH155" i="1"/>
  <c r="DI69" i="1"/>
  <c r="DJ69" i="1"/>
  <c r="DH69" i="1"/>
  <c r="DI154" i="1"/>
  <c r="DJ154" i="1"/>
  <c r="DH154" i="1"/>
  <c r="DI166" i="1"/>
  <c r="DJ166" i="1"/>
  <c r="DH166" i="1"/>
  <c r="DH58" i="1"/>
  <c r="DI58" i="1"/>
  <c r="DJ58" i="1"/>
  <c r="DH186" i="1"/>
  <c r="DI186" i="1"/>
  <c r="DJ186" i="1"/>
  <c r="DI208" i="1"/>
  <c r="DJ208" i="1"/>
  <c r="DH208" i="1"/>
  <c r="DH189" i="1"/>
  <c r="DJ189" i="1"/>
  <c r="DI189" i="1"/>
  <c r="DH148" i="1"/>
  <c r="DI148" i="1"/>
  <c r="DJ148" i="1"/>
  <c r="DI244" i="1"/>
  <c r="DJ244" i="1"/>
  <c r="DH244" i="1"/>
  <c r="DH185" i="1"/>
  <c r="DJ185" i="1"/>
  <c r="DI185" i="1"/>
  <c r="DH146" i="1"/>
  <c r="DJ146" i="1"/>
  <c r="DI146" i="1"/>
  <c r="DI19" i="1"/>
  <c r="DJ19" i="1"/>
  <c r="DH19" i="1"/>
  <c r="DH94" i="1"/>
  <c r="DI94" i="1"/>
  <c r="DJ94" i="1"/>
  <c r="DH193" i="1"/>
  <c r="DJ193" i="1"/>
  <c r="DI193" i="1"/>
  <c r="DI254" i="1"/>
  <c r="DJ254" i="1"/>
  <c r="DH254" i="1"/>
  <c r="DH54" i="1"/>
  <c r="DI54" i="1"/>
  <c r="DJ54" i="1"/>
  <c r="DH68" i="1"/>
  <c r="DI68" i="1"/>
  <c r="DJ68" i="1"/>
  <c r="DH199" i="1"/>
  <c r="DI199" i="1"/>
  <c r="DJ199" i="1"/>
  <c r="DI29" i="1"/>
  <c r="DJ29" i="1"/>
  <c r="DH29" i="1"/>
  <c r="DH269" i="1"/>
  <c r="DI269" i="1"/>
  <c r="DJ269" i="1"/>
  <c r="DH165" i="1"/>
  <c r="DJ165" i="1"/>
  <c r="DI165" i="1"/>
  <c r="DH183" i="1"/>
  <c r="DI183" i="1"/>
  <c r="DJ183" i="1"/>
  <c r="DH237" i="1"/>
  <c r="DJ237" i="1"/>
  <c r="DI237" i="1"/>
  <c r="DH268" i="1"/>
  <c r="DJ268" i="1"/>
  <c r="DI268" i="1"/>
  <c r="DH76" i="1"/>
  <c r="DI76" i="1"/>
  <c r="DJ76" i="1"/>
  <c r="DH179" i="1"/>
  <c r="DI179" i="1"/>
  <c r="DJ179" i="1"/>
  <c r="DI248" i="1"/>
  <c r="DJ248" i="1"/>
  <c r="DH248" i="1"/>
  <c r="DH180" i="1"/>
  <c r="DI180" i="1"/>
  <c r="DJ180" i="1"/>
  <c r="DH213" i="1"/>
  <c r="DJ213" i="1"/>
  <c r="DI213" i="1"/>
  <c r="DI149" i="1"/>
  <c r="DJ149" i="1"/>
  <c r="DH149" i="1"/>
  <c r="DI188" i="1"/>
  <c r="DJ188" i="1"/>
  <c r="DH188" i="1"/>
  <c r="DI117" i="1"/>
  <c r="DJ117" i="1"/>
  <c r="DH117" i="1"/>
  <c r="DH106" i="1"/>
  <c r="DI106" i="1"/>
  <c r="DJ106" i="1"/>
  <c r="DH18" i="1"/>
  <c r="DI18" i="1"/>
  <c r="DJ18" i="1"/>
  <c r="DH60" i="1"/>
  <c r="DI60" i="1"/>
  <c r="DJ60" i="1"/>
  <c r="DH36" i="1"/>
  <c r="DI36" i="1"/>
  <c r="DJ36" i="1"/>
  <c r="DH142" i="1"/>
  <c r="DJ142" i="1"/>
  <c r="DI142" i="1"/>
  <c r="DI191" i="1"/>
  <c r="DJ191" i="1"/>
  <c r="DH191" i="1"/>
  <c r="DI131" i="1"/>
  <c r="DJ131" i="1"/>
  <c r="DH131" i="1"/>
  <c r="DH203" i="1"/>
  <c r="DI203" i="1"/>
  <c r="DJ203" i="1"/>
  <c r="DI141" i="1"/>
  <c r="DJ141" i="1"/>
  <c r="DH141" i="1"/>
  <c r="DI41" i="1"/>
  <c r="DJ41" i="1"/>
  <c r="DH41" i="1"/>
  <c r="DI192" i="1"/>
  <c r="DJ192" i="1"/>
  <c r="DH192" i="1"/>
  <c r="DH169" i="1"/>
  <c r="DJ169" i="1"/>
  <c r="DI169" i="1"/>
  <c r="DI224" i="1"/>
  <c r="DJ224" i="1"/>
  <c r="DH224" i="1"/>
  <c r="DI216" i="1"/>
  <c r="DJ216" i="1"/>
  <c r="DH216" i="1"/>
  <c r="DI137" i="1"/>
  <c r="DJ137" i="1"/>
  <c r="DH137" i="1"/>
  <c r="DH223" i="1"/>
  <c r="DI223" i="1"/>
  <c r="DJ223" i="1"/>
  <c r="DI105" i="1"/>
  <c r="DJ105" i="1"/>
  <c r="DH105" i="1"/>
  <c r="DI164" i="1"/>
  <c r="DJ164" i="1"/>
  <c r="DH164" i="1"/>
  <c r="DH44" i="1"/>
  <c r="DI44" i="1"/>
  <c r="DJ44" i="1"/>
  <c r="DH108" i="1"/>
  <c r="DI108" i="1"/>
  <c r="DJ108" i="1"/>
  <c r="DI168" i="1"/>
  <c r="DJ168" i="1"/>
  <c r="DH168" i="1"/>
  <c r="DH259" i="1"/>
  <c r="DI259" i="1"/>
  <c r="DJ259" i="1"/>
  <c r="DH82" i="1"/>
  <c r="DI82" i="1"/>
  <c r="DJ82" i="1"/>
  <c r="DH163" i="1"/>
  <c r="DI163" i="1"/>
  <c r="DJ163" i="1"/>
  <c r="DH50" i="1"/>
  <c r="DI50" i="1"/>
  <c r="DJ50" i="1"/>
  <c r="DI115" i="1"/>
  <c r="DJ115" i="1"/>
  <c r="DH115" i="1"/>
  <c r="DI123" i="1"/>
  <c r="DJ123" i="1"/>
  <c r="DH123" i="1"/>
  <c r="DI37" i="1"/>
  <c r="DJ37" i="1"/>
  <c r="DH37" i="1"/>
  <c r="DI143" i="1"/>
  <c r="DJ143" i="1"/>
  <c r="DH143" i="1"/>
  <c r="DH243" i="1"/>
  <c r="DI243" i="1"/>
  <c r="DJ243" i="1"/>
  <c r="DH233" i="1"/>
  <c r="DJ233" i="1"/>
  <c r="DI233" i="1"/>
  <c r="DI212" i="1"/>
  <c r="DJ212" i="1"/>
  <c r="DH212" i="1"/>
  <c r="DI133" i="1"/>
  <c r="DJ133" i="1"/>
  <c r="DH133" i="1"/>
  <c r="DI90" i="1"/>
  <c r="DJ90" i="1"/>
  <c r="DH90" i="1"/>
  <c r="DI97" i="1"/>
  <c r="DJ97" i="1"/>
  <c r="DH97" i="1"/>
  <c r="DH227" i="1"/>
  <c r="DI227" i="1"/>
  <c r="DJ227" i="1"/>
  <c r="DH271" i="1"/>
  <c r="DJ271" i="1"/>
  <c r="DI271" i="1"/>
  <c r="DH110" i="1"/>
  <c r="DI110" i="1"/>
  <c r="DJ110" i="1"/>
  <c r="DI222" i="1"/>
  <c r="DJ222" i="1"/>
  <c r="DH222" i="1"/>
  <c r="DH67" i="1"/>
  <c r="DJ67" i="1"/>
  <c r="DI67" i="1"/>
  <c r="DH134" i="1"/>
  <c r="DJ134" i="1"/>
  <c r="DI134" i="1"/>
  <c r="DH42" i="1"/>
  <c r="DI42" i="1"/>
  <c r="DJ42" i="1"/>
  <c r="DH132" i="1"/>
  <c r="DI132" i="1"/>
  <c r="DJ132" i="1"/>
  <c r="DI11" i="1"/>
  <c r="DJ11" i="1"/>
  <c r="DH11" i="1"/>
  <c r="DH118" i="1"/>
  <c r="DI118" i="1"/>
  <c r="DJ118" i="1"/>
  <c r="DH38" i="1"/>
  <c r="DI38" i="1"/>
  <c r="DJ38" i="1"/>
  <c r="DI232" i="1"/>
  <c r="DJ232" i="1"/>
  <c r="DH232" i="1"/>
  <c r="CY135" i="1"/>
  <c r="DH261" i="1"/>
  <c r="DJ261" i="1"/>
  <c r="DI261" i="1"/>
  <c r="DI47" i="1"/>
  <c r="DJ47" i="1"/>
  <c r="DH47" i="1"/>
  <c r="DH247" i="1"/>
  <c r="DI247" i="1"/>
  <c r="DJ247" i="1"/>
  <c r="DH56" i="1"/>
  <c r="DJ56" i="1"/>
  <c r="DI56" i="1"/>
  <c r="DI234" i="1"/>
  <c r="DJ234" i="1"/>
  <c r="DH234" i="1"/>
  <c r="DI198" i="1"/>
  <c r="DJ198" i="1"/>
  <c r="DH198" i="1"/>
  <c r="DH35" i="1"/>
  <c r="DI35" i="1"/>
  <c r="DJ35" i="1"/>
  <c r="DH181" i="1"/>
  <c r="DJ181" i="1"/>
  <c r="DI181" i="1"/>
  <c r="DI151" i="1"/>
  <c r="DJ151" i="1"/>
  <c r="DH151" i="1"/>
  <c r="DI156" i="1"/>
  <c r="DJ156" i="1"/>
  <c r="DH156" i="1"/>
  <c r="DH177" i="1"/>
  <c r="DJ177" i="1"/>
  <c r="DI177" i="1"/>
  <c r="DI49" i="1"/>
  <c r="DJ49" i="1"/>
  <c r="DH49" i="1"/>
  <c r="DH251" i="1"/>
  <c r="DI251" i="1"/>
  <c r="DJ251" i="1"/>
  <c r="DH202" i="1"/>
  <c r="DI202" i="1"/>
  <c r="DJ202" i="1"/>
  <c r="DI190" i="1"/>
  <c r="DJ190" i="1"/>
  <c r="DH190" i="1"/>
  <c r="DI172" i="1"/>
  <c r="DJ172" i="1"/>
  <c r="DH172" i="1"/>
  <c r="CZ8" i="1"/>
  <c r="DA29" i="1"/>
  <c r="DA83" i="1"/>
  <c r="DA84" i="1"/>
  <c r="CY228" i="1"/>
  <c r="CY174" i="1"/>
  <c r="CY170" i="1"/>
  <c r="DA98" i="1"/>
  <c r="CY195" i="1"/>
  <c r="DA14" i="1"/>
  <c r="DA71" i="1"/>
  <c r="CY269" i="1"/>
  <c r="DA135" i="1"/>
  <c r="CY266" i="1"/>
  <c r="CZ130" i="1"/>
  <c r="DA64" i="1"/>
  <c r="CZ257" i="1"/>
  <c r="CY264" i="1"/>
  <c r="CY231" i="1"/>
  <c r="CY171" i="1"/>
  <c r="DA7" i="1"/>
  <c r="CY183" i="1"/>
  <c r="CY261" i="1"/>
  <c r="CY247" i="1"/>
  <c r="CY35" i="1"/>
  <c r="CZ181" i="1"/>
  <c r="CY151" i="1"/>
  <c r="CY156" i="1"/>
  <c r="CZ202" i="1"/>
  <c r="CY190" i="1"/>
  <c r="CZ171" i="1"/>
  <c r="CZ26" i="1"/>
  <c r="DA172" i="1"/>
  <c r="DA249" i="1"/>
  <c r="CY257" i="1"/>
  <c r="CY51" i="1"/>
  <c r="CZ85" i="1"/>
  <c r="DA171" i="1"/>
  <c r="CY162" i="1"/>
  <c r="DA231" i="1"/>
  <c r="CY236" i="1"/>
  <c r="CY249" i="1"/>
  <c r="CZ174" i="1"/>
  <c r="CZ71" i="1"/>
  <c r="CY211" i="1"/>
  <c r="DA130" i="1"/>
  <c r="CZ199" i="1"/>
  <c r="DA54" i="1"/>
  <c r="DA255" i="1"/>
  <c r="CZ68" i="1"/>
  <c r="CY144" i="1"/>
  <c r="CY255" i="1"/>
  <c r="CY165" i="1"/>
  <c r="CY8" i="1"/>
  <c r="CY199" i="1"/>
  <c r="CY7" i="1"/>
  <c r="CY71" i="1"/>
  <c r="DA183" i="1"/>
  <c r="DA8" i="1"/>
  <c r="CZ255" i="1"/>
  <c r="DA107" i="1"/>
  <c r="CZ183" i="1"/>
  <c r="CZ144" i="1"/>
  <c r="CZ211" i="1"/>
  <c r="DA262" i="1"/>
  <c r="CZ170" i="1"/>
  <c r="CY81" i="1"/>
  <c r="DA263" i="1"/>
  <c r="CZ263" i="1"/>
  <c r="DA225" i="1"/>
  <c r="CZ225" i="1"/>
  <c r="DA228" i="1"/>
  <c r="CY204" i="1"/>
  <c r="CZ72" i="1"/>
  <c r="CY72" i="1"/>
  <c r="CY226" i="1"/>
  <c r="CY173" i="1"/>
  <c r="CZ150" i="1"/>
  <c r="CZ81" i="1"/>
  <c r="CY14" i="1"/>
  <c r="CY263" i="1"/>
  <c r="CY225" i="1"/>
  <c r="CZ226" i="1"/>
  <c r="DA226" i="1"/>
  <c r="CZ228" i="1"/>
  <c r="DA204" i="1"/>
  <c r="CZ204" i="1"/>
  <c r="DA72" i="1"/>
  <c r="DA173" i="1"/>
  <c r="CZ195" i="1"/>
  <c r="CY150" i="1"/>
  <c r="CZ83" i="1"/>
  <c r="CY202" i="1"/>
  <c r="CY77" i="1"/>
  <c r="CZ156" i="1"/>
  <c r="CY198" i="1"/>
  <c r="CZ190" i="1"/>
  <c r="CZ251" i="1"/>
  <c r="DA190" i="1"/>
  <c r="CY251" i="1"/>
  <c r="CY68" i="1"/>
  <c r="CZ177" i="1"/>
  <c r="CY49" i="1"/>
  <c r="CZ107" i="1"/>
  <c r="CY29" i="1"/>
  <c r="CZ165" i="1"/>
  <c r="CZ262" i="1"/>
  <c r="DA269" i="1"/>
  <c r="CZ269" i="1"/>
  <c r="DA156" i="1"/>
  <c r="DA251" i="1"/>
  <c r="CY177" i="1"/>
  <c r="DA202" i="1"/>
  <c r="DA199" i="1"/>
  <c r="CZ7" i="1"/>
  <c r="DA177" i="1"/>
  <c r="DA49" i="1"/>
  <c r="CZ49" i="1"/>
  <c r="CY107" i="1"/>
  <c r="DA165" i="1"/>
  <c r="DA211" i="1"/>
  <c r="CZ231" i="1"/>
  <c r="DA26" i="1"/>
  <c r="CZ236" i="1"/>
  <c r="CZ51" i="1"/>
  <c r="CZ64" i="1"/>
  <c r="CY64" i="1"/>
  <c r="DA85" i="1"/>
  <c r="CY130" i="1"/>
  <c r="CZ162" i="1"/>
  <c r="CY55" i="1"/>
  <c r="CZ77" i="1"/>
  <c r="DA264" i="1"/>
  <c r="CZ264" i="1"/>
  <c r="DA236" i="1"/>
  <c r="DA51" i="1"/>
  <c r="DA266" i="1"/>
  <c r="CZ266" i="1"/>
  <c r="CY101" i="1"/>
  <c r="DA162" i="1"/>
  <c r="CZ55" i="1"/>
  <c r="DA77" i="1"/>
  <c r="CZ249" i="1"/>
  <c r="DA257" i="1"/>
  <c r="CY26" i="1"/>
  <c r="CY85" i="1"/>
  <c r="DA55" i="1"/>
  <c r="DA151" i="1"/>
  <c r="DA247" i="1"/>
  <c r="DA56" i="1"/>
  <c r="DA198" i="1"/>
  <c r="CZ35" i="1"/>
  <c r="DA68" i="1"/>
  <c r="DA181" i="1"/>
  <c r="CZ29" i="1"/>
  <c r="DA144" i="1"/>
  <c r="CY54" i="1"/>
  <c r="CY262" i="1"/>
  <c r="CZ54" i="1"/>
  <c r="CZ247" i="1"/>
  <c r="CZ198" i="1"/>
  <c r="DA35" i="1"/>
  <c r="CZ234" i="1"/>
  <c r="DA234" i="1"/>
  <c r="CY47" i="1"/>
  <c r="CY56" i="1"/>
  <c r="CY234" i="1"/>
  <c r="CY181" i="1"/>
  <c r="CZ151" i="1"/>
  <c r="CZ47" i="1"/>
  <c r="CZ56" i="1"/>
  <c r="DA261" i="1"/>
  <c r="CZ261" i="1"/>
  <c r="DA47" i="1"/>
  <c r="DA195" i="1"/>
  <c r="DA170" i="1"/>
  <c r="CY83" i="1"/>
  <c r="CZ84" i="1"/>
  <c r="CY84" i="1"/>
  <c r="DA174" i="1"/>
  <c r="CY98" i="1"/>
  <c r="CZ98" i="1"/>
  <c r="CY270" i="1"/>
  <c r="CZ270" i="1"/>
  <c r="DA270" i="1"/>
  <c r="CY203" i="1"/>
  <c r="CZ203" i="1"/>
  <c r="DA203" i="1"/>
  <c r="CZ141" i="1"/>
  <c r="DA141" i="1"/>
  <c r="CY141" i="1"/>
  <c r="CY192" i="1"/>
  <c r="CZ192" i="1"/>
  <c r="DA192" i="1"/>
  <c r="CY224" i="1"/>
  <c r="CZ224" i="1"/>
  <c r="DA224" i="1"/>
  <c r="CZ137" i="1"/>
  <c r="DA137" i="1"/>
  <c r="CY137" i="1"/>
  <c r="DA105" i="1"/>
  <c r="CY105" i="1"/>
  <c r="CZ105" i="1"/>
  <c r="CY44" i="1"/>
  <c r="CZ44" i="1"/>
  <c r="DA44" i="1"/>
  <c r="DA108" i="1"/>
  <c r="CY108" i="1"/>
  <c r="CZ108" i="1"/>
  <c r="CZ259" i="1"/>
  <c r="DA259" i="1"/>
  <c r="CY259" i="1"/>
  <c r="DA163" i="1"/>
  <c r="CY163" i="1"/>
  <c r="CZ163" i="1"/>
  <c r="CZ115" i="1"/>
  <c r="DA115" i="1"/>
  <c r="CY115" i="1"/>
  <c r="CZ123" i="1"/>
  <c r="DA123" i="1"/>
  <c r="CY123" i="1"/>
  <c r="CY37" i="1"/>
  <c r="CZ37" i="1"/>
  <c r="DA37" i="1"/>
  <c r="CY243" i="1"/>
  <c r="DA243" i="1"/>
  <c r="CZ243" i="1"/>
  <c r="CY212" i="1"/>
  <c r="CZ212" i="1"/>
  <c r="DA212" i="1"/>
  <c r="CZ90" i="1"/>
  <c r="DA90" i="1"/>
  <c r="CY90" i="1"/>
  <c r="CZ271" i="1"/>
  <c r="CY271" i="1"/>
  <c r="DA271" i="1"/>
  <c r="CY222" i="1"/>
  <c r="CZ222" i="1"/>
  <c r="DA222" i="1"/>
  <c r="CZ67" i="1"/>
  <c r="DA67" i="1"/>
  <c r="CY67" i="1"/>
  <c r="CZ132" i="1"/>
  <c r="DA132" i="1"/>
  <c r="CY132" i="1"/>
  <c r="CZ118" i="1"/>
  <c r="DA118" i="1"/>
  <c r="CY118" i="1"/>
  <c r="CY232" i="1"/>
  <c r="CZ232" i="1"/>
  <c r="DA232" i="1"/>
  <c r="CZ20" i="1"/>
  <c r="DA20" i="1"/>
  <c r="CY20" i="1"/>
  <c r="CY155" i="1"/>
  <c r="CZ155" i="1"/>
  <c r="DA155" i="1"/>
  <c r="DA74" i="1"/>
  <c r="CY74" i="1"/>
  <c r="CZ74" i="1"/>
  <c r="CY219" i="1"/>
  <c r="CZ219" i="1"/>
  <c r="DA219" i="1"/>
  <c r="DA69" i="1"/>
  <c r="CY69" i="1"/>
  <c r="CZ69" i="1"/>
  <c r="CZ109" i="1"/>
  <c r="DA109" i="1"/>
  <c r="CY109" i="1"/>
  <c r="CY154" i="1"/>
  <c r="CZ154" i="1"/>
  <c r="DA154" i="1"/>
  <c r="DA87" i="1"/>
  <c r="CY87" i="1"/>
  <c r="CZ87" i="1"/>
  <c r="CY92" i="1"/>
  <c r="CZ92" i="1"/>
  <c r="DA92" i="1"/>
  <c r="CY166" i="1"/>
  <c r="CZ166" i="1"/>
  <c r="DA166" i="1"/>
  <c r="DA86" i="1"/>
  <c r="CY86" i="1"/>
  <c r="CZ86" i="1"/>
  <c r="CZ111" i="1"/>
  <c r="DA111" i="1"/>
  <c r="CY111" i="1"/>
  <c r="CY58" i="1"/>
  <c r="CZ58" i="1"/>
  <c r="DA58" i="1"/>
  <c r="CY53" i="1"/>
  <c r="CZ53" i="1"/>
  <c r="DA53" i="1"/>
  <c r="CY186" i="1"/>
  <c r="CZ136" i="1"/>
  <c r="DA136" i="1"/>
  <c r="CY136" i="1"/>
  <c r="CY208" i="1"/>
  <c r="CZ208" i="1"/>
  <c r="DA208" i="1"/>
  <c r="DA93" i="1"/>
  <c r="CY93" i="1"/>
  <c r="CZ93" i="1"/>
  <c r="CZ256" i="1"/>
  <c r="DA256" i="1"/>
  <c r="CY256" i="1"/>
  <c r="CY189" i="1"/>
  <c r="CZ189" i="1"/>
  <c r="DA189" i="1"/>
  <c r="CY45" i="1"/>
  <c r="CZ45" i="1"/>
  <c r="DA45" i="1"/>
  <c r="CZ148" i="1"/>
  <c r="DA148" i="1"/>
  <c r="CY148" i="1"/>
  <c r="CZ253" i="1"/>
  <c r="DA253" i="1"/>
  <c r="CY253" i="1"/>
  <c r="CY244" i="1"/>
  <c r="CZ244" i="1"/>
  <c r="DA244" i="1"/>
  <c r="CZ125" i="1"/>
  <c r="DA125" i="1"/>
  <c r="CY125" i="1"/>
  <c r="DA121" i="1"/>
  <c r="CY121" i="1"/>
  <c r="CZ121" i="1"/>
  <c r="CY185" i="1"/>
  <c r="CZ185" i="1"/>
  <c r="DA185" i="1"/>
  <c r="CZ70" i="1"/>
  <c r="DA70" i="1"/>
  <c r="CY70" i="1"/>
  <c r="CZ146" i="1"/>
  <c r="DA146" i="1"/>
  <c r="CY146" i="1"/>
  <c r="DA78" i="1"/>
  <c r="CY78" i="1"/>
  <c r="CZ78" i="1"/>
  <c r="CY205" i="1"/>
  <c r="CZ205" i="1"/>
  <c r="DA205" i="1"/>
  <c r="CY19" i="1"/>
  <c r="CZ19" i="1"/>
  <c r="DA19" i="1"/>
  <c r="CY187" i="1"/>
  <c r="CZ187" i="1"/>
  <c r="DA187" i="1"/>
  <c r="CZ17" i="1"/>
  <c r="DA17" i="1"/>
  <c r="CY17" i="1"/>
  <c r="DA94" i="1"/>
  <c r="CY94" i="1"/>
  <c r="CZ94" i="1"/>
  <c r="DA80" i="1"/>
  <c r="CY80" i="1"/>
  <c r="CZ80" i="1"/>
  <c r="CY39" i="1"/>
  <c r="CZ39" i="1"/>
  <c r="DA39" i="1"/>
  <c r="CY193" i="1"/>
  <c r="CZ193" i="1"/>
  <c r="DA193" i="1"/>
  <c r="CY220" i="1"/>
  <c r="CZ220" i="1"/>
  <c r="DA220" i="1"/>
  <c r="CZ89" i="1"/>
  <c r="DA89" i="1"/>
  <c r="CY89" i="1"/>
  <c r="CZ254" i="1"/>
  <c r="DA254" i="1"/>
  <c r="CY254" i="1"/>
  <c r="CY178" i="1"/>
  <c r="CZ178" i="1"/>
  <c r="DA178" i="1"/>
  <c r="CZ21" i="1"/>
  <c r="DA21" i="1"/>
  <c r="CY21" i="1"/>
  <c r="CZ260" i="1"/>
  <c r="CY260" i="1"/>
  <c r="DA260" i="1"/>
  <c r="CY159" i="1"/>
  <c r="CZ159" i="1"/>
  <c r="DA159" i="1"/>
  <c r="CY201" i="1"/>
  <c r="CZ201" i="1"/>
  <c r="DA201" i="1"/>
  <c r="CY43" i="1"/>
  <c r="CZ43" i="1"/>
  <c r="DA43" i="1"/>
  <c r="CY217" i="1"/>
  <c r="CZ217" i="1"/>
  <c r="DA217" i="1"/>
  <c r="CZ33" i="1"/>
  <c r="DA33" i="1"/>
  <c r="CY33" i="1"/>
  <c r="CY196" i="1"/>
  <c r="CZ196" i="1"/>
  <c r="DA196" i="1"/>
  <c r="CZ28" i="1"/>
  <c r="DA28" i="1"/>
  <c r="CY28" i="1"/>
  <c r="CZ147" i="1"/>
  <c r="DA147" i="1"/>
  <c r="CY147" i="1"/>
  <c r="DA91" i="1"/>
  <c r="CY91" i="1"/>
  <c r="CZ91" i="1"/>
  <c r="CY46" i="1"/>
  <c r="CZ46" i="1"/>
  <c r="DA46" i="1"/>
  <c r="CY241" i="1"/>
  <c r="CZ241" i="1"/>
  <c r="DA241" i="1"/>
  <c r="CY239" i="1"/>
  <c r="DA239" i="1"/>
  <c r="CZ239" i="1"/>
  <c r="CY221" i="1"/>
  <c r="CZ221" i="1"/>
  <c r="DA221" i="1"/>
  <c r="CY41" i="1"/>
  <c r="CZ41" i="1"/>
  <c r="DA41" i="1"/>
  <c r="CY169" i="1"/>
  <c r="CZ169" i="1"/>
  <c r="DA169" i="1"/>
  <c r="CY216" i="1"/>
  <c r="CZ216" i="1"/>
  <c r="DA216" i="1"/>
  <c r="CY223" i="1"/>
  <c r="DA223" i="1"/>
  <c r="CZ223" i="1"/>
  <c r="CY164" i="1"/>
  <c r="CZ164" i="1"/>
  <c r="DA164" i="1"/>
  <c r="CY168" i="1"/>
  <c r="CZ168" i="1"/>
  <c r="DA168" i="1"/>
  <c r="DA82" i="1"/>
  <c r="CY82" i="1"/>
  <c r="CZ82" i="1"/>
  <c r="CY50" i="1"/>
  <c r="CZ50" i="1"/>
  <c r="DA50" i="1"/>
  <c r="CZ143" i="1"/>
  <c r="DA143" i="1"/>
  <c r="CY143" i="1"/>
  <c r="CY233" i="1"/>
  <c r="CZ233" i="1"/>
  <c r="DA233" i="1"/>
  <c r="CZ133" i="1"/>
  <c r="DA133" i="1"/>
  <c r="CY133" i="1"/>
  <c r="DA97" i="1"/>
  <c r="CY97" i="1"/>
  <c r="CZ97" i="1"/>
  <c r="CY227" i="1"/>
  <c r="DA227" i="1"/>
  <c r="CZ227" i="1"/>
  <c r="CZ110" i="1"/>
  <c r="DA110" i="1"/>
  <c r="CY110" i="1"/>
  <c r="CZ134" i="1"/>
  <c r="DA134" i="1"/>
  <c r="CY134" i="1"/>
  <c r="CY42" i="1"/>
  <c r="CZ42" i="1"/>
  <c r="DA42" i="1"/>
  <c r="CZ11" i="1"/>
  <c r="DA11" i="1"/>
  <c r="CY11" i="1"/>
  <c r="CY38" i="1"/>
  <c r="CZ38" i="1"/>
  <c r="DA38" i="1"/>
  <c r="CZ116" i="1"/>
  <c r="DA116" i="1"/>
  <c r="CY116" i="1"/>
  <c r="CY218" i="1"/>
  <c r="CZ218" i="1"/>
  <c r="DA218" i="1"/>
  <c r="CZ12" i="1"/>
  <c r="DA12" i="1"/>
  <c r="CY12" i="1"/>
  <c r="CZ30" i="1"/>
  <c r="DA30" i="1"/>
  <c r="CY30" i="1"/>
  <c r="CY246" i="1"/>
  <c r="CZ246" i="1"/>
  <c r="DA246" i="1"/>
  <c r="CZ31" i="1"/>
  <c r="DA31" i="1"/>
  <c r="CY31" i="1"/>
  <c r="CZ15" i="1"/>
  <c r="DA15" i="1"/>
  <c r="CY15" i="1"/>
  <c r="DA102" i="1"/>
  <c r="CY102" i="1"/>
  <c r="CZ102" i="1"/>
  <c r="CY235" i="1"/>
  <c r="DA235" i="1"/>
  <c r="CZ235" i="1"/>
  <c r="CY157" i="1"/>
  <c r="CZ157" i="1"/>
  <c r="DA157" i="1"/>
  <c r="CZ32" i="1"/>
  <c r="DA32" i="1"/>
  <c r="CY32" i="1"/>
  <c r="CY238" i="1"/>
  <c r="DA238" i="1"/>
  <c r="CZ238" i="1"/>
  <c r="CY230" i="1"/>
  <c r="DA230" i="1"/>
  <c r="CZ230" i="1"/>
  <c r="DA88" i="1"/>
  <c r="CY88" i="1"/>
  <c r="CZ88" i="1"/>
  <c r="CY240" i="1"/>
  <c r="CZ240" i="1"/>
  <c r="DA240" i="1"/>
  <c r="CZ145" i="1"/>
  <c r="DA145" i="1"/>
  <c r="CY145" i="1"/>
  <c r="CY59" i="1"/>
  <c r="CZ59" i="1"/>
  <c r="DA59" i="1"/>
  <c r="CY152" i="1"/>
  <c r="CZ152" i="1"/>
  <c r="DA152" i="1"/>
  <c r="CZ122" i="1"/>
  <c r="DA122" i="1"/>
  <c r="CY122" i="1"/>
  <c r="DA99" i="1"/>
  <c r="CY99" i="1"/>
  <c r="CZ99" i="1"/>
  <c r="CY229" i="1"/>
  <c r="CZ229" i="1"/>
  <c r="DA229" i="1"/>
  <c r="CY215" i="1"/>
  <c r="CZ215" i="1"/>
  <c r="DA215" i="1"/>
  <c r="CZ16" i="1"/>
  <c r="DA16" i="1"/>
  <c r="CY16" i="1"/>
  <c r="CZ24" i="1"/>
  <c r="DA24" i="1"/>
  <c r="CY24" i="1"/>
  <c r="DA184" i="1"/>
  <c r="CY184" i="1"/>
  <c r="CZ184" i="1"/>
  <c r="CY237" i="1"/>
  <c r="CZ237" i="1"/>
  <c r="DA237" i="1"/>
  <c r="CZ268" i="1"/>
  <c r="CY268" i="1"/>
  <c r="DA268" i="1"/>
  <c r="CZ126" i="1"/>
  <c r="DA126" i="1"/>
  <c r="CY126" i="1"/>
  <c r="DA76" i="1"/>
  <c r="CY76" i="1"/>
  <c r="CZ76" i="1"/>
  <c r="CY179" i="1"/>
  <c r="CZ179" i="1"/>
  <c r="DA179" i="1"/>
  <c r="DA103" i="1"/>
  <c r="CY103" i="1"/>
  <c r="CZ103" i="1"/>
  <c r="CY248" i="1"/>
  <c r="CZ248" i="1"/>
  <c r="DA248" i="1"/>
  <c r="DA180" i="1"/>
  <c r="CY180" i="1"/>
  <c r="CZ180" i="1"/>
  <c r="CY213" i="1"/>
  <c r="CZ213" i="1"/>
  <c r="DA213" i="1"/>
  <c r="DA96" i="1"/>
  <c r="CY96" i="1"/>
  <c r="CZ96" i="1"/>
  <c r="CZ149" i="1"/>
  <c r="DA149" i="1"/>
  <c r="CY149" i="1"/>
  <c r="CY188" i="1"/>
  <c r="CZ188" i="1"/>
  <c r="DA188" i="1"/>
  <c r="CZ153" i="1"/>
  <c r="DA153" i="1"/>
  <c r="CY153" i="1"/>
  <c r="CZ117" i="1"/>
  <c r="DA117" i="1"/>
  <c r="CY117" i="1"/>
  <c r="DA106" i="1"/>
  <c r="CY106" i="1"/>
  <c r="CZ106" i="1"/>
  <c r="CZ18" i="1"/>
  <c r="DA18" i="1"/>
  <c r="CY18" i="1"/>
  <c r="DA73" i="1"/>
  <c r="CY73" i="1"/>
  <c r="CZ73" i="1"/>
  <c r="CY60" i="1"/>
  <c r="CZ60" i="1"/>
  <c r="DA60" i="1"/>
  <c r="CY36" i="1"/>
  <c r="CZ36" i="1"/>
  <c r="DA36" i="1"/>
  <c r="CY120" i="1"/>
  <c r="CZ120" i="1"/>
  <c r="DA120" i="1"/>
  <c r="CZ142" i="1"/>
  <c r="DA142" i="1"/>
  <c r="CY142" i="1"/>
  <c r="CY176" i="1"/>
  <c r="CZ176" i="1"/>
  <c r="DA176" i="1"/>
  <c r="CY191" i="1"/>
  <c r="CZ191" i="1"/>
  <c r="DA191" i="1"/>
  <c r="CZ27" i="1"/>
  <c r="DA27" i="1"/>
  <c r="CY27" i="1"/>
  <c r="CZ131" i="1"/>
  <c r="DA131" i="1"/>
  <c r="CY131" i="1"/>
  <c r="CY214" i="1"/>
  <c r="CZ214" i="1"/>
  <c r="DA214" i="1"/>
  <c r="CZ9" i="1"/>
  <c r="DA9" i="1"/>
  <c r="CY9" i="1"/>
  <c r="CZ265" i="1"/>
  <c r="CY265" i="1"/>
  <c r="DA265" i="1"/>
  <c r="CY61" i="1"/>
  <c r="CZ61" i="1"/>
  <c r="DA61" i="1"/>
  <c r="CY62" i="1"/>
  <c r="CZ62" i="1"/>
  <c r="DA62" i="1"/>
  <c r="CY65" i="1"/>
  <c r="CZ65" i="1"/>
  <c r="DA65" i="1"/>
  <c r="CY114" i="1"/>
  <c r="CZ114" i="1"/>
  <c r="DA114" i="1"/>
  <c r="CY245" i="1"/>
  <c r="CZ245" i="1"/>
  <c r="DA245" i="1"/>
  <c r="CZ119" i="1"/>
  <c r="DA119" i="1"/>
  <c r="CY119" i="1"/>
  <c r="CZ128" i="1"/>
  <c r="DA128" i="1"/>
  <c r="CY128" i="1"/>
  <c r="CZ23" i="1"/>
  <c r="DA23" i="1"/>
  <c r="CY23" i="1"/>
  <c r="CY207" i="1"/>
  <c r="CZ207" i="1"/>
  <c r="DA207" i="1"/>
  <c r="CZ22" i="1"/>
  <c r="DA22" i="1"/>
  <c r="CY22" i="1"/>
  <c r="CY57" i="1"/>
  <c r="CZ57" i="1"/>
  <c r="DA57" i="1"/>
  <c r="CY167" i="1"/>
  <c r="CZ167" i="1"/>
  <c r="DA167" i="1"/>
  <c r="CY200" i="1"/>
  <c r="CZ200" i="1"/>
  <c r="DA200" i="1"/>
  <c r="DA100" i="1"/>
  <c r="CY100" i="1"/>
  <c r="CZ100" i="1"/>
  <c r="DM258" i="1" l="1" a="1"/>
  <c r="DM258" i="1" s="1"/>
  <c r="DQ258" i="1" s="1"/>
  <c r="DN258" i="1" a="1"/>
  <c r="DN258" i="1" s="1"/>
  <c r="DR258" i="1" s="1"/>
  <c r="DN113" i="1" a="1"/>
  <c r="DN113" i="1" s="1"/>
  <c r="DR113" i="1" s="1"/>
  <c r="DM113" i="1" a="1"/>
  <c r="DM113" i="1" s="1"/>
  <c r="DQ113" i="1" s="1"/>
  <c r="DN127" i="1" a="1"/>
  <c r="DN127" i="1" s="1"/>
  <c r="DM127" i="1" a="1"/>
  <c r="DM127" i="1" s="1"/>
  <c r="DM210" i="1" a="1"/>
  <c r="DM210" i="1" s="1"/>
  <c r="DN210" i="1" a="1"/>
  <c r="DN210" i="1" s="1"/>
  <c r="DM95" i="1" a="1"/>
  <c r="DM95" i="1" s="1"/>
  <c r="DM13" i="1" a="1"/>
  <c r="DM13" i="1" s="1"/>
  <c r="DN13" i="1" a="1"/>
  <c r="DN13" i="1" s="1"/>
  <c r="DN95" i="1" a="1"/>
  <c r="DN95" i="1" s="1"/>
  <c r="DM124" i="1" a="1"/>
  <c r="DM124" i="1" s="1"/>
  <c r="DM209" i="1" a="1"/>
  <c r="DM209" i="1" s="1"/>
  <c r="DN209" i="1" a="1"/>
  <c r="DN209" i="1" s="1"/>
  <c r="DN124" i="1" a="1"/>
  <c r="DN124" i="1" s="1"/>
  <c r="DN79" i="1" a="1"/>
  <c r="DN79" i="1" s="1"/>
  <c r="DN250" i="1" a="1"/>
  <c r="DN250" i="1" s="1"/>
  <c r="DM79" i="1" a="1"/>
  <c r="DM79" i="1" s="1"/>
  <c r="DM250" i="1" a="1"/>
  <c r="DM250" i="1" s="1"/>
  <c r="DN112" i="1" a="1"/>
  <c r="DN112" i="1" s="1"/>
  <c r="DM112" i="1" a="1"/>
  <c r="DM112" i="1" s="1"/>
  <c r="DM270" i="1" a="1"/>
  <c r="DM270" i="1" s="1"/>
  <c r="DN270" i="1" a="1"/>
  <c r="DN270" i="1" s="1"/>
  <c r="DM267" i="1" a="1"/>
  <c r="DM267" i="1" s="1"/>
  <c r="DN267" i="1" a="1"/>
  <c r="DN267" i="1" s="1"/>
  <c r="DR267" i="1" s="1"/>
  <c r="DN160" i="1" a="1"/>
  <c r="DN160" i="1" s="1"/>
  <c r="DM160" i="1" a="1"/>
  <c r="DM160" i="1" s="1"/>
  <c r="DN206" i="1" a="1"/>
  <c r="DN206" i="1" s="1"/>
  <c r="DM206" i="1" a="1"/>
  <c r="DM206" i="1" s="1"/>
  <c r="DN172" i="1" a="1"/>
  <c r="DN172" i="1" s="1"/>
  <c r="DM172" i="1" a="1"/>
  <c r="DM172" i="1" s="1"/>
  <c r="DN202" i="1" a="1"/>
  <c r="DN202" i="1" s="1"/>
  <c r="DM202" i="1" a="1"/>
  <c r="DM202" i="1" s="1"/>
  <c r="DN49" i="1" a="1"/>
  <c r="DN49" i="1" s="1"/>
  <c r="DM49" i="1" a="1"/>
  <c r="DM49" i="1" s="1"/>
  <c r="DN156" i="1" a="1"/>
  <c r="DN156" i="1" s="1"/>
  <c r="DM156" i="1" a="1"/>
  <c r="DM156" i="1" s="1"/>
  <c r="DM181" i="1" a="1"/>
  <c r="DM181" i="1" s="1"/>
  <c r="DN181" i="1" a="1"/>
  <c r="DN181" i="1" s="1"/>
  <c r="DN198" i="1" a="1"/>
  <c r="DN198" i="1" s="1"/>
  <c r="DM198" i="1" a="1"/>
  <c r="DM198" i="1" s="1"/>
  <c r="DN56" i="1" a="1"/>
  <c r="DN56" i="1" s="1"/>
  <c r="DM56" i="1" a="1"/>
  <c r="DM56" i="1" s="1"/>
  <c r="DN47" i="1" a="1"/>
  <c r="DN47" i="1" s="1"/>
  <c r="DM47" i="1" a="1"/>
  <c r="DM47" i="1" s="1"/>
  <c r="DM221" i="1" a="1"/>
  <c r="DM221" i="1" s="1"/>
  <c r="DN221" i="1" a="1"/>
  <c r="DN221" i="1" s="1"/>
  <c r="DN24" i="1" a="1"/>
  <c r="DN24" i="1" s="1"/>
  <c r="DM24" i="1" a="1"/>
  <c r="DM24" i="1" s="1"/>
  <c r="DN239" i="1" a="1"/>
  <c r="DN239" i="1" s="1"/>
  <c r="DM239" i="1" a="1"/>
  <c r="DM239" i="1" s="1"/>
  <c r="DM229" i="1" a="1"/>
  <c r="DM229" i="1" s="1"/>
  <c r="DN229" i="1" a="1"/>
  <c r="DN229" i="1" s="1"/>
  <c r="DM99" i="1" a="1"/>
  <c r="DM99" i="1" s="1"/>
  <c r="DN99" i="1" a="1"/>
  <c r="DN99" i="1" s="1"/>
  <c r="DM46" i="1" a="1"/>
  <c r="DM46" i="1" s="1"/>
  <c r="DN46" i="1" a="1"/>
  <c r="DN46" i="1" s="1"/>
  <c r="DM59" i="1" a="1"/>
  <c r="DM59" i="1" s="1"/>
  <c r="DN59" i="1" a="1"/>
  <c r="DN59" i="1" s="1"/>
  <c r="DN145" i="1" a="1"/>
  <c r="DN145" i="1" s="1"/>
  <c r="DM145" i="1" a="1"/>
  <c r="DM145" i="1" s="1"/>
  <c r="DN88" i="1" a="1"/>
  <c r="DN88" i="1" s="1"/>
  <c r="DM88" i="1" a="1"/>
  <c r="DM88" i="1" s="1"/>
  <c r="DN230" i="1" a="1"/>
  <c r="DN230" i="1" s="1"/>
  <c r="DM230" i="1" a="1"/>
  <c r="DM230" i="1" s="1"/>
  <c r="DM238" i="1" a="1"/>
  <c r="DM238" i="1" s="1"/>
  <c r="DN238" i="1" a="1"/>
  <c r="DN238" i="1" s="1"/>
  <c r="DM256" i="1" a="1"/>
  <c r="DM256" i="1" s="1"/>
  <c r="DN256" i="1" a="1"/>
  <c r="DN256" i="1" s="1"/>
  <c r="DN208" i="1" a="1"/>
  <c r="DN208" i="1" s="1"/>
  <c r="DM208" i="1" a="1"/>
  <c r="DM208" i="1" s="1"/>
  <c r="DM186" i="1" a="1"/>
  <c r="DM186" i="1" s="1"/>
  <c r="DN186" i="1" a="1"/>
  <c r="DN186" i="1" s="1"/>
  <c r="DM111" i="1" a="1"/>
  <c r="DM111" i="1" s="1"/>
  <c r="DN111" i="1" a="1"/>
  <c r="DN111" i="1" s="1"/>
  <c r="DN166" i="1" a="1"/>
  <c r="DN166" i="1" s="1"/>
  <c r="DM166" i="1" a="1"/>
  <c r="DM166" i="1" s="1"/>
  <c r="DM87" i="1" a="1"/>
  <c r="DM87" i="1" s="1"/>
  <c r="DN87" i="1" a="1"/>
  <c r="DN87" i="1" s="1"/>
  <c r="DM109" i="1" a="1"/>
  <c r="DM109" i="1" s="1"/>
  <c r="DN109" i="1" a="1"/>
  <c r="DN109" i="1" s="1"/>
  <c r="DM219" i="1" a="1"/>
  <c r="DM219" i="1" s="1"/>
  <c r="DN219" i="1" a="1"/>
  <c r="DN219" i="1" s="1"/>
  <c r="DN155" i="1" a="1"/>
  <c r="DN155" i="1" s="1"/>
  <c r="DM155" i="1" a="1"/>
  <c r="DM155" i="1" s="1"/>
  <c r="DM115" i="1" a="1"/>
  <c r="DM115" i="1" s="1"/>
  <c r="DN115" i="1" a="1"/>
  <c r="DN115" i="1" s="1"/>
  <c r="DN259" i="1" a="1"/>
  <c r="DN259" i="1" s="1"/>
  <c r="DM259" i="1" a="1"/>
  <c r="DM259" i="1" s="1"/>
  <c r="DM44" i="1" a="1"/>
  <c r="DM44" i="1" s="1"/>
  <c r="DN44" i="1" a="1"/>
  <c r="DN44" i="1" s="1"/>
  <c r="DM223" i="1" a="1"/>
  <c r="DM223" i="1" s="1"/>
  <c r="DN223" i="1" a="1"/>
  <c r="DN223" i="1" s="1"/>
  <c r="DN224" i="1" a="1"/>
  <c r="DN224" i="1" s="1"/>
  <c r="DM224" i="1" a="1"/>
  <c r="DM224" i="1" s="1"/>
  <c r="DM41" i="1" a="1"/>
  <c r="DM41" i="1" s="1"/>
  <c r="DN41" i="1" a="1"/>
  <c r="DN41" i="1" s="1"/>
  <c r="DM203" i="1" a="1"/>
  <c r="DM203" i="1" s="1"/>
  <c r="DN203" i="1" a="1"/>
  <c r="DN203" i="1" s="1"/>
  <c r="DN129" i="1" a="1"/>
  <c r="DN129" i="1" s="1"/>
  <c r="DM129" i="1" a="1"/>
  <c r="DM129" i="1" s="1"/>
  <c r="DM183" i="1" a="1"/>
  <c r="DM183" i="1" s="1"/>
  <c r="DN183" i="1" a="1"/>
  <c r="DN183" i="1" s="1"/>
  <c r="DM107" i="1" a="1"/>
  <c r="DM107" i="1" s="1"/>
  <c r="DN107" i="1" a="1"/>
  <c r="DN107" i="1" s="1"/>
  <c r="DM68" i="1" a="1"/>
  <c r="DM68" i="1" s="1"/>
  <c r="DN68" i="1" a="1"/>
  <c r="DN68" i="1" s="1"/>
  <c r="DM57" i="1" a="1"/>
  <c r="DM57" i="1" s="1"/>
  <c r="DN57" i="1" a="1"/>
  <c r="DN57" i="1" s="1"/>
  <c r="DM119" i="1" a="1"/>
  <c r="DM119" i="1" s="1"/>
  <c r="DN119" i="1" a="1"/>
  <c r="DN119" i="1" s="1"/>
  <c r="DM9" i="1" a="1"/>
  <c r="DM9" i="1" s="1"/>
  <c r="DN9" i="1" a="1"/>
  <c r="DN9" i="1" s="1"/>
  <c r="DM32" i="1" a="1"/>
  <c r="DM32" i="1" s="1"/>
  <c r="DN32" i="1" a="1"/>
  <c r="DN32" i="1" s="1"/>
  <c r="DM102" i="1" a="1"/>
  <c r="DM102" i="1" s="1"/>
  <c r="DN102" i="1" a="1"/>
  <c r="DN102" i="1" s="1"/>
  <c r="DM246" i="1" a="1"/>
  <c r="DM246" i="1" s="1"/>
  <c r="DN246" i="1" a="1"/>
  <c r="DN246" i="1" s="1"/>
  <c r="DM12" i="1" a="1"/>
  <c r="DM12" i="1" s="1"/>
  <c r="DN12" i="1" a="1"/>
  <c r="DN12" i="1" s="1"/>
  <c r="DN178" i="1" a="1"/>
  <c r="DN178" i="1" s="1"/>
  <c r="DM178" i="1" a="1"/>
  <c r="DM178" i="1" s="1"/>
  <c r="DM48" i="1" a="1"/>
  <c r="DM48" i="1" s="1"/>
  <c r="DN48" i="1" a="1"/>
  <c r="DN48" i="1" s="1"/>
  <c r="DM249" i="1" a="1"/>
  <c r="DM249" i="1" s="1"/>
  <c r="DN249" i="1" a="1"/>
  <c r="DN249" i="1" s="1"/>
  <c r="DM231" i="1" a="1"/>
  <c r="DM231" i="1" s="1"/>
  <c r="DN231" i="1" a="1"/>
  <c r="DN231" i="1" s="1"/>
  <c r="DM55" i="1" a="1"/>
  <c r="DM55" i="1" s="1"/>
  <c r="DN55" i="1" a="1"/>
  <c r="DN55" i="1" s="1"/>
  <c r="DM264" i="1" a="1"/>
  <c r="DM264" i="1" s="1"/>
  <c r="DN264" i="1" a="1"/>
  <c r="DN264" i="1" s="1"/>
  <c r="DM257" i="1" a="1"/>
  <c r="DM257" i="1" s="1"/>
  <c r="DN257" i="1" a="1"/>
  <c r="DN257" i="1" s="1"/>
  <c r="DM64" i="1" a="1"/>
  <c r="DM64" i="1" s="1"/>
  <c r="DN64" i="1" a="1"/>
  <c r="DN64" i="1" s="1"/>
  <c r="DM130" i="1" a="1"/>
  <c r="DM130" i="1" s="1"/>
  <c r="DN130" i="1" a="1"/>
  <c r="DN130" i="1" s="1"/>
  <c r="DM51" i="1" a="1"/>
  <c r="DM51" i="1" s="1"/>
  <c r="DN51" i="1" a="1"/>
  <c r="DN51" i="1" s="1"/>
  <c r="DM89" i="1" a="1"/>
  <c r="DM89" i="1" s="1"/>
  <c r="DN89" i="1" a="1"/>
  <c r="DN89" i="1" s="1"/>
  <c r="DM193" i="1" a="1"/>
  <c r="DM193" i="1" s="1"/>
  <c r="DN193" i="1" a="1"/>
  <c r="DN193" i="1" s="1"/>
  <c r="DM80" i="1" a="1"/>
  <c r="DM80" i="1" s="1"/>
  <c r="DN80" i="1" a="1"/>
  <c r="DN80" i="1" s="1"/>
  <c r="DN17" i="1" a="1"/>
  <c r="DN17" i="1" s="1"/>
  <c r="DM17" i="1" a="1"/>
  <c r="DM17" i="1" s="1"/>
  <c r="DN19" i="1" a="1"/>
  <c r="DN19" i="1" s="1"/>
  <c r="DM19" i="1" a="1"/>
  <c r="DM19" i="1" s="1"/>
  <c r="DM78" i="1" a="1"/>
  <c r="DM78" i="1" s="1"/>
  <c r="DN78" i="1" a="1"/>
  <c r="DN78" i="1" s="1"/>
  <c r="DN70" i="1" a="1"/>
  <c r="DN70" i="1" s="1"/>
  <c r="DM70" i="1" a="1"/>
  <c r="DM70" i="1" s="1"/>
  <c r="DM121" i="1" a="1"/>
  <c r="DM121" i="1" s="1"/>
  <c r="DN121" i="1" a="1"/>
  <c r="DN121" i="1" s="1"/>
  <c r="DM244" i="1" a="1"/>
  <c r="DM244" i="1" s="1"/>
  <c r="DN244" i="1" a="1"/>
  <c r="DN244" i="1" s="1"/>
  <c r="DM148" i="1" a="1"/>
  <c r="DM148" i="1" s="1"/>
  <c r="DN148" i="1" a="1"/>
  <c r="DN148" i="1" s="1"/>
  <c r="DM123" i="1" a="1"/>
  <c r="DM123" i="1" s="1"/>
  <c r="DN123" i="1" a="1"/>
  <c r="DN123" i="1" s="1"/>
  <c r="DM82" i="1" a="1"/>
  <c r="DM82" i="1" s="1"/>
  <c r="DN82" i="1" a="1"/>
  <c r="DN82" i="1" s="1"/>
  <c r="DM105" i="1" a="1"/>
  <c r="DM105" i="1" s="1"/>
  <c r="DN105" i="1" a="1"/>
  <c r="DN105" i="1" s="1"/>
  <c r="DN192" i="1" a="1"/>
  <c r="DN192" i="1" s="1"/>
  <c r="DM192" i="1" a="1"/>
  <c r="DM192" i="1" s="1"/>
  <c r="DM25" i="1" a="1"/>
  <c r="DM25" i="1" s="1"/>
  <c r="DQ25" i="1" s="1"/>
  <c r="DN25" i="1" a="1"/>
  <c r="DN25" i="1" s="1"/>
  <c r="DN269" i="1" a="1"/>
  <c r="DN269" i="1" s="1"/>
  <c r="DM269" i="1" a="1"/>
  <c r="DM269" i="1" s="1"/>
  <c r="DM144" i="1" a="1"/>
  <c r="DM144" i="1" s="1"/>
  <c r="DN144" i="1" a="1"/>
  <c r="DN144" i="1" s="1"/>
  <c r="DM100" i="1" a="1"/>
  <c r="DM100" i="1" s="1"/>
  <c r="DN100" i="1" a="1"/>
  <c r="DN100" i="1" s="1"/>
  <c r="DM265" i="1" a="1"/>
  <c r="DM265" i="1" s="1"/>
  <c r="DN265" i="1" a="1"/>
  <c r="DN265" i="1" s="1"/>
  <c r="DN196" i="1" a="1"/>
  <c r="DN196" i="1" s="1"/>
  <c r="DM196" i="1" a="1"/>
  <c r="DM196" i="1" s="1"/>
  <c r="DM43" i="1" a="1"/>
  <c r="DM43" i="1" s="1"/>
  <c r="DN43" i="1" a="1"/>
  <c r="DN43" i="1" s="1"/>
  <c r="DM252" i="1" a="1"/>
  <c r="DM252" i="1" s="1"/>
  <c r="DN252" i="1" a="1"/>
  <c r="DN252" i="1" s="1"/>
  <c r="DM66" i="1" a="1"/>
  <c r="DM66" i="1" s="1"/>
  <c r="DN66" i="1" a="1"/>
  <c r="DN66" i="1" s="1"/>
  <c r="DM175" i="1" a="1"/>
  <c r="DM175" i="1" s="1"/>
  <c r="DN175" i="1" a="1"/>
  <c r="DN175" i="1" s="1"/>
  <c r="DM138" i="1" a="1"/>
  <c r="DM138" i="1" s="1"/>
  <c r="DN138" i="1" a="1"/>
  <c r="DN138" i="1" s="1"/>
  <c r="DM173" i="1" a="1"/>
  <c r="DM173" i="1" s="1"/>
  <c r="DN173" i="1" a="1"/>
  <c r="DN173" i="1" s="1"/>
  <c r="DN204" i="1" a="1"/>
  <c r="DN204" i="1" s="1"/>
  <c r="DM204" i="1" a="1"/>
  <c r="DM204" i="1" s="1"/>
  <c r="DN81" i="1" a="1"/>
  <c r="DN81" i="1" s="1"/>
  <c r="DM81" i="1" a="1"/>
  <c r="DM81" i="1" s="1"/>
  <c r="DN263" i="1" a="1"/>
  <c r="DN263" i="1" s="1"/>
  <c r="DM263" i="1" a="1"/>
  <c r="DM263" i="1" s="1"/>
  <c r="DM195" i="1" a="1"/>
  <c r="DM195" i="1" s="1"/>
  <c r="DN195" i="1" a="1"/>
  <c r="DN195" i="1" s="1"/>
  <c r="DN170" i="1" a="1"/>
  <c r="DN170" i="1" s="1"/>
  <c r="DM170" i="1" a="1"/>
  <c r="DM170" i="1" s="1"/>
  <c r="DN228" i="1" a="1"/>
  <c r="DN228" i="1" s="1"/>
  <c r="DM228" i="1" a="1"/>
  <c r="DM228" i="1" s="1"/>
  <c r="DM83" i="1" a="1"/>
  <c r="DM83" i="1" s="1"/>
  <c r="DN83" i="1" a="1"/>
  <c r="DN83" i="1" s="1"/>
  <c r="DM38" i="1" a="1"/>
  <c r="DM38" i="1" s="1"/>
  <c r="DN38" i="1" a="1"/>
  <c r="DN38" i="1" s="1"/>
  <c r="DM11" i="1" a="1"/>
  <c r="DM11" i="1" s="1"/>
  <c r="DN11" i="1" a="1"/>
  <c r="DN11" i="1" s="1"/>
  <c r="DN42" i="1" a="1"/>
  <c r="DN42" i="1" s="1"/>
  <c r="DM42" i="1" a="1"/>
  <c r="DM42" i="1" s="1"/>
  <c r="DM67" i="1" a="1"/>
  <c r="DM67" i="1" s="1"/>
  <c r="DN67" i="1" a="1"/>
  <c r="DN67" i="1" s="1"/>
  <c r="DM110" i="1" a="1"/>
  <c r="DM110" i="1" s="1"/>
  <c r="DN110" i="1" a="1"/>
  <c r="DN110" i="1" s="1"/>
  <c r="DM227" i="1" a="1"/>
  <c r="DM227" i="1" s="1"/>
  <c r="DN227" i="1" a="1"/>
  <c r="DN227" i="1" s="1"/>
  <c r="DM90" i="1" a="1"/>
  <c r="DM90" i="1" s="1"/>
  <c r="DN90" i="1" a="1"/>
  <c r="DN90" i="1" s="1"/>
  <c r="DN212" i="1" a="1"/>
  <c r="DN212" i="1" s="1"/>
  <c r="DM212" i="1" a="1"/>
  <c r="DM212" i="1" s="1"/>
  <c r="DN243" i="1" a="1"/>
  <c r="DN243" i="1" s="1"/>
  <c r="DM243" i="1" a="1"/>
  <c r="DM243" i="1" s="1"/>
  <c r="DM37" i="1" a="1"/>
  <c r="DM37" i="1" s="1"/>
  <c r="DN37" i="1" a="1"/>
  <c r="DN37" i="1" s="1"/>
  <c r="DN142" i="1" a="1"/>
  <c r="DN142" i="1" s="1"/>
  <c r="DM142" i="1" a="1"/>
  <c r="DM142" i="1" s="1"/>
  <c r="DM36" i="1" a="1"/>
  <c r="DM36" i="1" s="1"/>
  <c r="DN36" i="1" a="1"/>
  <c r="DN36" i="1" s="1"/>
  <c r="DM73" i="1" a="1"/>
  <c r="DM73" i="1" s="1"/>
  <c r="DN73" i="1" a="1"/>
  <c r="DN73" i="1" s="1"/>
  <c r="DM106" i="1" a="1"/>
  <c r="DM106" i="1" s="1"/>
  <c r="DN106" i="1" a="1"/>
  <c r="DN106" i="1" s="1"/>
  <c r="DM153" i="1" a="1"/>
  <c r="DM153" i="1" s="1"/>
  <c r="DN153" i="1" a="1"/>
  <c r="DN153" i="1" s="1"/>
  <c r="DM149" i="1" a="1"/>
  <c r="DM149" i="1" s="1"/>
  <c r="DN149" i="1" a="1"/>
  <c r="DN149" i="1" s="1"/>
  <c r="DM213" i="1" a="1"/>
  <c r="DM213" i="1" s="1"/>
  <c r="DN213" i="1" a="1"/>
  <c r="DN213" i="1" s="1"/>
  <c r="DM248" i="1" a="1"/>
  <c r="DM248" i="1" s="1"/>
  <c r="DN248" i="1" a="1"/>
  <c r="DN248" i="1" s="1"/>
  <c r="DM179" i="1" a="1"/>
  <c r="DM179" i="1" s="1"/>
  <c r="DN179" i="1" a="1"/>
  <c r="DN179" i="1" s="1"/>
  <c r="DN126" i="1" a="1"/>
  <c r="DN126" i="1" s="1"/>
  <c r="DM126" i="1" a="1"/>
  <c r="DM126" i="1" s="1"/>
  <c r="DM237" i="1" a="1"/>
  <c r="DM237" i="1" s="1"/>
  <c r="DN237" i="1" a="1"/>
  <c r="DN237" i="1" s="1"/>
  <c r="DM161" i="1" a="1"/>
  <c r="DM161" i="1" s="1"/>
  <c r="DN161" i="1" a="1"/>
  <c r="DN161" i="1" s="1"/>
  <c r="DM211" i="1" a="1"/>
  <c r="DM211" i="1" s="1"/>
  <c r="DN211" i="1" a="1"/>
  <c r="DN211" i="1" s="1"/>
  <c r="DM7" i="1" a="1"/>
  <c r="DM7" i="1" s="1"/>
  <c r="DN7" i="1" a="1"/>
  <c r="DN7" i="1" s="1"/>
  <c r="DM54" i="1" a="1"/>
  <c r="DM54" i="1" s="1"/>
  <c r="DN54" i="1" a="1"/>
  <c r="DN54" i="1" s="1"/>
  <c r="DM207" i="1" a="1"/>
  <c r="DM207" i="1" s="1"/>
  <c r="DN207" i="1" a="1"/>
  <c r="DN207" i="1" s="1"/>
  <c r="DM245" i="1" a="1"/>
  <c r="DM245" i="1" s="1"/>
  <c r="DN245" i="1" a="1"/>
  <c r="DN245" i="1" s="1"/>
  <c r="DM61" i="1" a="1"/>
  <c r="DM61" i="1" s="1"/>
  <c r="DN61" i="1" a="1"/>
  <c r="DN61" i="1" s="1"/>
  <c r="DN191" i="1" a="1"/>
  <c r="DN191" i="1" s="1"/>
  <c r="DM191" i="1" a="1"/>
  <c r="DM191" i="1" s="1"/>
  <c r="DM217" i="1" a="1"/>
  <c r="DM217" i="1" s="1"/>
  <c r="DN217" i="1" a="1"/>
  <c r="DN217" i="1" s="1"/>
  <c r="DM201" i="1" a="1"/>
  <c r="DM201" i="1" s="1"/>
  <c r="DN201" i="1" a="1"/>
  <c r="DN201" i="1" s="1"/>
  <c r="DM260" i="1" a="1"/>
  <c r="DM260" i="1" s="1"/>
  <c r="DN260" i="1" a="1"/>
  <c r="DN260" i="1" s="1"/>
  <c r="DM116" i="1" a="1"/>
  <c r="DM116" i="1" s="1"/>
  <c r="DN116" i="1" a="1"/>
  <c r="DN116" i="1" s="1"/>
  <c r="DM34" i="1" a="1"/>
  <c r="DM34" i="1" s="1"/>
  <c r="DN34" i="1" a="1"/>
  <c r="DN34" i="1" s="1"/>
  <c r="DN63" i="1" a="1"/>
  <c r="DN63" i="1" s="1"/>
  <c r="DM63" i="1" a="1"/>
  <c r="DM63" i="1" s="1"/>
  <c r="DN40" i="1" a="1"/>
  <c r="DN40" i="1" s="1"/>
  <c r="DM40" i="1" a="1"/>
  <c r="DM40" i="1" s="1"/>
  <c r="DN182" i="1" a="1"/>
  <c r="DN182" i="1" s="1"/>
  <c r="DM182" i="1" a="1"/>
  <c r="DM182" i="1" s="1"/>
  <c r="DM104" i="1" a="1"/>
  <c r="DM104" i="1" s="1"/>
  <c r="DN104" i="1" a="1"/>
  <c r="DN104" i="1" s="1"/>
  <c r="DN190" i="1" a="1"/>
  <c r="DN190" i="1" s="1"/>
  <c r="DM190" i="1" a="1"/>
  <c r="DM190" i="1" s="1"/>
  <c r="DN251" i="1" a="1"/>
  <c r="DN251" i="1" s="1"/>
  <c r="DM251" i="1" a="1"/>
  <c r="DM251" i="1" s="1"/>
  <c r="DM177" i="1" a="1"/>
  <c r="DM177" i="1" s="1"/>
  <c r="DN177" i="1" a="1"/>
  <c r="DN177" i="1" s="1"/>
  <c r="DM151" i="1" a="1"/>
  <c r="DM151" i="1" s="1"/>
  <c r="DN151" i="1" a="1"/>
  <c r="DN151" i="1" s="1"/>
  <c r="DM35" i="1" a="1"/>
  <c r="DM35" i="1" s="1"/>
  <c r="DN35" i="1" a="1"/>
  <c r="DN35" i="1" s="1"/>
  <c r="DM234" i="1" a="1"/>
  <c r="DM234" i="1" s="1"/>
  <c r="DN234" i="1" a="1"/>
  <c r="DN234" i="1" s="1"/>
  <c r="DN247" i="1" a="1"/>
  <c r="DN247" i="1" s="1"/>
  <c r="DM247" i="1" a="1"/>
  <c r="DM247" i="1" s="1"/>
  <c r="DM261" i="1" a="1"/>
  <c r="DM261" i="1" s="1"/>
  <c r="DN261" i="1" a="1"/>
  <c r="DN261" i="1" s="1"/>
  <c r="DM184" i="1" a="1"/>
  <c r="DM184" i="1" s="1"/>
  <c r="DN184" i="1" a="1"/>
  <c r="DN184" i="1" s="1"/>
  <c r="DM16" i="1" a="1"/>
  <c r="DM16" i="1" s="1"/>
  <c r="DN16" i="1" a="1"/>
  <c r="DN16" i="1" s="1"/>
  <c r="DM215" i="1" a="1"/>
  <c r="DM215" i="1" s="1"/>
  <c r="DN215" i="1" a="1"/>
  <c r="DN215" i="1" s="1"/>
  <c r="DM241" i="1" a="1"/>
  <c r="DM241" i="1" s="1"/>
  <c r="DN241" i="1" a="1"/>
  <c r="DN241" i="1" s="1"/>
  <c r="DM122" i="1" a="1"/>
  <c r="DM122" i="1" s="1"/>
  <c r="DN122" i="1" a="1"/>
  <c r="DN122" i="1" s="1"/>
  <c r="DN152" i="1" a="1"/>
  <c r="DN152" i="1" s="1"/>
  <c r="DM152" i="1" a="1"/>
  <c r="DM152" i="1" s="1"/>
  <c r="DM91" i="1" a="1"/>
  <c r="DM91" i="1" s="1"/>
  <c r="DN91" i="1" a="1"/>
  <c r="DN91" i="1" s="1"/>
  <c r="DM240" i="1" a="1"/>
  <c r="DM240" i="1" s="1"/>
  <c r="DN240" i="1" a="1"/>
  <c r="DN240" i="1" s="1"/>
  <c r="DM147" i="1" a="1"/>
  <c r="DM147" i="1" s="1"/>
  <c r="DN147" i="1" a="1"/>
  <c r="DN147" i="1" s="1"/>
  <c r="DM28" i="1" a="1"/>
  <c r="DM28" i="1" s="1"/>
  <c r="DN28" i="1" a="1"/>
  <c r="DN28" i="1" s="1"/>
  <c r="DM189" i="1" a="1"/>
  <c r="DM189" i="1" s="1"/>
  <c r="DN189" i="1" a="1"/>
  <c r="DN189" i="1" s="1"/>
  <c r="DM93" i="1" a="1"/>
  <c r="DM93" i="1" s="1"/>
  <c r="DN93" i="1" a="1"/>
  <c r="DN93" i="1" s="1"/>
  <c r="DM136" i="1" a="1"/>
  <c r="DM136" i="1" s="1"/>
  <c r="DN136" i="1" a="1"/>
  <c r="DN136" i="1" s="1"/>
  <c r="DM53" i="1" a="1"/>
  <c r="DM53" i="1" s="1"/>
  <c r="DN53" i="1" a="1"/>
  <c r="DN53" i="1" s="1"/>
  <c r="DN58" i="1" a="1"/>
  <c r="DN58" i="1" s="1"/>
  <c r="DM58" i="1" a="1"/>
  <c r="DM58" i="1" s="1"/>
  <c r="DM86" i="1" a="1"/>
  <c r="DM86" i="1" s="1"/>
  <c r="DN86" i="1" a="1"/>
  <c r="DN86" i="1" s="1"/>
  <c r="DM92" i="1" a="1"/>
  <c r="DM92" i="1" s="1"/>
  <c r="DN92" i="1" a="1"/>
  <c r="DN92" i="1" s="1"/>
  <c r="DM154" i="1" a="1"/>
  <c r="DM154" i="1" s="1"/>
  <c r="DN154" i="1" a="1"/>
  <c r="DN154" i="1" s="1"/>
  <c r="DM69" i="1" a="1"/>
  <c r="DM69" i="1" s="1"/>
  <c r="DN69" i="1" a="1"/>
  <c r="DN69" i="1" s="1"/>
  <c r="DN74" i="1" a="1"/>
  <c r="DN74" i="1" s="1"/>
  <c r="DM74" i="1" a="1"/>
  <c r="DM74" i="1" s="1"/>
  <c r="DM20" i="1" a="1"/>
  <c r="DM20" i="1" s="1"/>
  <c r="DN20" i="1" a="1"/>
  <c r="DN20" i="1" s="1"/>
  <c r="DN163" i="1" a="1"/>
  <c r="DN163" i="1" s="1"/>
  <c r="DM163" i="1" a="1"/>
  <c r="DM163" i="1" s="1"/>
  <c r="DN168" i="1" a="1"/>
  <c r="DN168" i="1" s="1"/>
  <c r="DM168" i="1" a="1"/>
  <c r="DM168" i="1" s="1"/>
  <c r="DN164" i="1" a="1"/>
  <c r="DN164" i="1" s="1"/>
  <c r="DM164" i="1" a="1"/>
  <c r="DM164" i="1" s="1"/>
  <c r="DN137" i="1" a="1"/>
  <c r="DN137" i="1" s="1"/>
  <c r="DM137" i="1" a="1"/>
  <c r="DM137" i="1" s="1"/>
  <c r="DM169" i="1" a="1"/>
  <c r="DM169" i="1" s="1"/>
  <c r="DN169" i="1" a="1"/>
  <c r="DN169" i="1" s="1"/>
  <c r="DM141" i="1" a="1"/>
  <c r="DM141" i="1" s="1"/>
  <c r="DN141" i="1" a="1"/>
  <c r="DN141" i="1" s="1"/>
  <c r="DN158" i="1" a="1"/>
  <c r="DN158" i="1" s="1"/>
  <c r="DM158" i="1" a="1"/>
  <c r="DM158" i="1" s="1"/>
  <c r="DM197" i="1" a="1"/>
  <c r="DM197" i="1" s="1"/>
  <c r="DN197" i="1" a="1"/>
  <c r="DN197" i="1" s="1"/>
  <c r="DM165" i="1" a="1"/>
  <c r="DM165" i="1" s="1"/>
  <c r="DN165" i="1" a="1"/>
  <c r="DN165" i="1" s="1"/>
  <c r="DM199" i="1" a="1"/>
  <c r="DM199" i="1" s="1"/>
  <c r="DN199" i="1" a="1"/>
  <c r="DN199" i="1" s="1"/>
  <c r="DN200" i="1" a="1"/>
  <c r="DN200" i="1" s="1"/>
  <c r="DM200" i="1" a="1"/>
  <c r="DM200" i="1" s="1"/>
  <c r="DM23" i="1" a="1"/>
  <c r="DM23" i="1" s="1"/>
  <c r="DN23" i="1" a="1"/>
  <c r="DN23" i="1" s="1"/>
  <c r="DM62" i="1" a="1"/>
  <c r="DM62" i="1" s="1"/>
  <c r="DN62" i="1" a="1"/>
  <c r="DN62" i="1" s="1"/>
  <c r="DM131" i="1" a="1"/>
  <c r="DM131" i="1" s="1"/>
  <c r="DN131" i="1" a="1"/>
  <c r="DN131" i="1" s="1"/>
  <c r="DN33" i="1" a="1"/>
  <c r="DN33" i="1" s="1"/>
  <c r="DM33" i="1" a="1"/>
  <c r="DM33" i="1" s="1"/>
  <c r="DN31" i="1" a="1"/>
  <c r="DN31" i="1" s="1"/>
  <c r="DM31" i="1" a="1"/>
  <c r="DM31" i="1" s="1"/>
  <c r="DM30" i="1" a="1"/>
  <c r="DM30" i="1" s="1"/>
  <c r="DN30" i="1" a="1"/>
  <c r="DN30" i="1" s="1"/>
  <c r="DM21" i="1" a="1"/>
  <c r="DM21" i="1" s="1"/>
  <c r="DN21" i="1" a="1"/>
  <c r="DN21" i="1" s="1"/>
  <c r="DM242" i="1" a="1"/>
  <c r="DM242" i="1" s="1"/>
  <c r="DN242" i="1" a="1"/>
  <c r="DN242" i="1" s="1"/>
  <c r="DN10" i="1" a="1"/>
  <c r="DN10" i="1" s="1"/>
  <c r="DM10" i="1" a="1"/>
  <c r="DM10" i="1" s="1"/>
  <c r="DM139" i="1" a="1"/>
  <c r="DM139" i="1" s="1"/>
  <c r="DN139" i="1" a="1"/>
  <c r="DN139" i="1" s="1"/>
  <c r="DM171" i="1" a="1"/>
  <c r="DM171" i="1" s="1"/>
  <c r="DN171" i="1" a="1"/>
  <c r="DN171" i="1" s="1"/>
  <c r="DN162" i="1" a="1"/>
  <c r="DN162" i="1" s="1"/>
  <c r="DM162" i="1" a="1"/>
  <c r="DM162" i="1" s="1"/>
  <c r="DM77" i="1" a="1"/>
  <c r="DM77" i="1" s="1"/>
  <c r="DN77" i="1" a="1"/>
  <c r="DN77" i="1" s="1"/>
  <c r="DM236" i="1" a="1"/>
  <c r="DM236" i="1" s="1"/>
  <c r="DN236" i="1" a="1"/>
  <c r="DN236" i="1" s="1"/>
  <c r="DN26" i="1" a="1"/>
  <c r="DN26" i="1" s="1"/>
  <c r="DM26" i="1" a="1"/>
  <c r="DM26" i="1" s="1"/>
  <c r="DM85" i="1" a="1"/>
  <c r="DM85" i="1" s="1"/>
  <c r="DN85" i="1" a="1"/>
  <c r="DN85" i="1" s="1"/>
  <c r="DM101" i="1" a="1"/>
  <c r="DM101" i="1" s="1"/>
  <c r="DN101" i="1" a="1"/>
  <c r="DN101" i="1" s="1"/>
  <c r="DN266" i="1" a="1"/>
  <c r="DN266" i="1" s="1"/>
  <c r="DM266" i="1" a="1"/>
  <c r="DM266" i="1" s="1"/>
  <c r="DM254" i="1" a="1"/>
  <c r="DM254" i="1" s="1"/>
  <c r="DN254" i="1" a="1"/>
  <c r="DN254" i="1" s="1"/>
  <c r="DN220" i="1" a="1"/>
  <c r="DN220" i="1" s="1"/>
  <c r="DM220" i="1" a="1"/>
  <c r="DM220" i="1" s="1"/>
  <c r="DM39" i="1" a="1"/>
  <c r="DM39" i="1" s="1"/>
  <c r="DN39" i="1" a="1"/>
  <c r="DN39" i="1" s="1"/>
  <c r="DM94" i="1" a="1"/>
  <c r="DM94" i="1" s="1"/>
  <c r="DN94" i="1" a="1"/>
  <c r="DN94" i="1" s="1"/>
  <c r="DM187" i="1" a="1"/>
  <c r="DM187" i="1" s="1"/>
  <c r="DN187" i="1" a="1"/>
  <c r="DN187" i="1" s="1"/>
  <c r="DM205" i="1" a="1"/>
  <c r="DM205" i="1" s="1"/>
  <c r="DN205" i="1" a="1"/>
  <c r="DN205" i="1" s="1"/>
  <c r="DM146" i="1" a="1"/>
  <c r="DM146" i="1" s="1"/>
  <c r="DN146" i="1" a="1"/>
  <c r="DN146" i="1" s="1"/>
  <c r="DM185" i="1" a="1"/>
  <c r="DM185" i="1" s="1"/>
  <c r="DN185" i="1" a="1"/>
  <c r="DN185" i="1" s="1"/>
  <c r="DM125" i="1" a="1"/>
  <c r="DM125" i="1" s="1"/>
  <c r="DN125" i="1" a="1"/>
  <c r="DN125" i="1" s="1"/>
  <c r="DM253" i="1" a="1"/>
  <c r="DM253" i="1" s="1"/>
  <c r="DN253" i="1" a="1"/>
  <c r="DN253" i="1" s="1"/>
  <c r="DM45" i="1" a="1"/>
  <c r="DM45" i="1" s="1"/>
  <c r="DN45" i="1" a="1"/>
  <c r="DN45" i="1" s="1"/>
  <c r="DM50" i="1" a="1"/>
  <c r="DM50" i="1" s="1"/>
  <c r="DN50" i="1" a="1"/>
  <c r="DN50" i="1" s="1"/>
  <c r="DM108" i="1" a="1"/>
  <c r="DM108" i="1" s="1"/>
  <c r="DN108" i="1" a="1"/>
  <c r="DN108" i="1" s="1"/>
  <c r="DN216" i="1" a="1"/>
  <c r="DN216" i="1" s="1"/>
  <c r="DM216" i="1" a="1"/>
  <c r="DM216" i="1" s="1"/>
  <c r="DN255" i="1" a="1"/>
  <c r="DN255" i="1" s="1"/>
  <c r="DM255" i="1" a="1"/>
  <c r="DM255" i="1" s="1"/>
  <c r="DM71" i="1" a="1"/>
  <c r="DM71" i="1" s="1"/>
  <c r="DN71" i="1" a="1"/>
  <c r="DN71" i="1" s="1"/>
  <c r="DN8" i="1" a="1"/>
  <c r="DN8" i="1" s="1"/>
  <c r="DM8" i="1" a="1"/>
  <c r="DM8" i="1" s="1"/>
  <c r="DM22" i="1" a="1"/>
  <c r="DM22" i="1" s="1"/>
  <c r="DN22" i="1" a="1"/>
  <c r="DN22" i="1" s="1"/>
  <c r="DM114" i="1" a="1"/>
  <c r="DM114" i="1" s="1"/>
  <c r="DN114" i="1" a="1"/>
  <c r="DN114" i="1" s="1"/>
  <c r="DM27" i="1" a="1"/>
  <c r="DM27" i="1" s="1"/>
  <c r="DN27" i="1" a="1"/>
  <c r="DN27" i="1" s="1"/>
  <c r="DM235" i="1" a="1"/>
  <c r="DM235" i="1" s="1"/>
  <c r="DN235" i="1" a="1"/>
  <c r="DN235" i="1" s="1"/>
  <c r="DN194" i="1" a="1"/>
  <c r="DN194" i="1" s="1"/>
  <c r="DM194" i="1" a="1"/>
  <c r="DM194" i="1" s="1"/>
  <c r="DM140" i="1" a="1"/>
  <c r="DM140" i="1" s="1"/>
  <c r="DN140" i="1" a="1"/>
  <c r="DN140" i="1" s="1"/>
  <c r="DM52" i="1" a="1"/>
  <c r="DM52" i="1" s="1"/>
  <c r="DN52" i="1" a="1"/>
  <c r="DN52" i="1" s="1"/>
  <c r="DN226" i="1" a="1"/>
  <c r="DN226" i="1" s="1"/>
  <c r="DM226" i="1" a="1"/>
  <c r="DM226" i="1" s="1"/>
  <c r="DN150" i="1" a="1"/>
  <c r="DN150" i="1" s="1"/>
  <c r="DM150" i="1" a="1"/>
  <c r="DM150" i="1" s="1"/>
  <c r="DN72" i="1" a="1"/>
  <c r="DN72" i="1" s="1"/>
  <c r="DM72" i="1" a="1"/>
  <c r="DM72" i="1" s="1"/>
  <c r="DM225" i="1" a="1"/>
  <c r="DM225" i="1" s="1"/>
  <c r="DN225" i="1" a="1"/>
  <c r="DN225" i="1" s="1"/>
  <c r="DM14" i="1" a="1"/>
  <c r="DM14" i="1" s="1"/>
  <c r="DN14" i="1" a="1"/>
  <c r="DN14" i="1" s="1"/>
  <c r="DM98" i="1" a="1"/>
  <c r="DM98" i="1" s="1"/>
  <c r="DN98" i="1" a="1"/>
  <c r="DN98" i="1" s="1"/>
  <c r="DN174" i="1" a="1"/>
  <c r="DN174" i="1" s="1"/>
  <c r="DM174" i="1" a="1"/>
  <c r="DM174" i="1" s="1"/>
  <c r="DM84" i="1" a="1"/>
  <c r="DM84" i="1" s="1"/>
  <c r="DN84" i="1" a="1"/>
  <c r="DN84" i="1" s="1"/>
  <c r="DM232" i="1" a="1"/>
  <c r="DM232" i="1" s="1"/>
  <c r="DN232" i="1" a="1"/>
  <c r="DN232" i="1" s="1"/>
  <c r="DN118" i="1" a="1"/>
  <c r="DN118" i="1" s="1"/>
  <c r="DM118" i="1" a="1"/>
  <c r="DM118" i="1" s="1"/>
  <c r="DM132" i="1" a="1"/>
  <c r="DM132" i="1" s="1"/>
  <c r="DN132" i="1" a="1"/>
  <c r="DN132" i="1" s="1"/>
  <c r="DN134" i="1" a="1"/>
  <c r="DN134" i="1" s="1"/>
  <c r="DM134" i="1" a="1"/>
  <c r="DM134" i="1" s="1"/>
  <c r="DN222" i="1" a="1"/>
  <c r="DN222" i="1" s="1"/>
  <c r="DM222" i="1" a="1"/>
  <c r="DM222" i="1" s="1"/>
  <c r="DM271" i="1" a="1"/>
  <c r="DM271" i="1" s="1"/>
  <c r="DN271" i="1" a="1"/>
  <c r="DN271" i="1" s="1"/>
  <c r="DM97" i="1" a="1"/>
  <c r="DM97" i="1" s="1"/>
  <c r="DN97" i="1" a="1"/>
  <c r="DN97" i="1" s="1"/>
  <c r="DM133" i="1" a="1"/>
  <c r="DM133" i="1" s="1"/>
  <c r="DN133" i="1" a="1"/>
  <c r="DN133" i="1" s="1"/>
  <c r="DN233" i="1" a="1"/>
  <c r="DN233" i="1" s="1"/>
  <c r="DM233" i="1" a="1"/>
  <c r="DM233" i="1" s="1"/>
  <c r="DM143" i="1" a="1"/>
  <c r="DM143" i="1" s="1"/>
  <c r="DN143" i="1" a="1"/>
  <c r="DN143" i="1" s="1"/>
  <c r="DN176" i="1" a="1"/>
  <c r="DN176" i="1" s="1"/>
  <c r="DM176" i="1" a="1"/>
  <c r="DM176" i="1" s="1"/>
  <c r="DM120" i="1" a="1"/>
  <c r="DM120" i="1" s="1"/>
  <c r="DN120" i="1" a="1"/>
  <c r="DN120" i="1" s="1"/>
  <c r="DM60" i="1" a="1"/>
  <c r="DM60" i="1" s="1"/>
  <c r="DN60" i="1" a="1"/>
  <c r="DN60" i="1" s="1"/>
  <c r="DM18" i="1" a="1"/>
  <c r="DM18" i="1" s="1"/>
  <c r="DN18" i="1" a="1"/>
  <c r="DN18" i="1" s="1"/>
  <c r="DM117" i="1" a="1"/>
  <c r="DM117" i="1" s="1"/>
  <c r="DN117" i="1" a="1"/>
  <c r="DN117" i="1" s="1"/>
  <c r="DN188" i="1" a="1"/>
  <c r="DN188" i="1" s="1"/>
  <c r="DM188" i="1" a="1"/>
  <c r="DM188" i="1" s="1"/>
  <c r="DM96" i="1" a="1"/>
  <c r="DM96" i="1" s="1"/>
  <c r="DN96" i="1" a="1"/>
  <c r="DN96" i="1" s="1"/>
  <c r="DM180" i="1" a="1"/>
  <c r="DM180" i="1" s="1"/>
  <c r="DN180" i="1" a="1"/>
  <c r="DN180" i="1" s="1"/>
  <c r="DM103" i="1" a="1"/>
  <c r="DM103" i="1" s="1"/>
  <c r="DN103" i="1" a="1"/>
  <c r="DN103" i="1" s="1"/>
  <c r="DM76" i="1" a="1"/>
  <c r="DM76" i="1" s="1"/>
  <c r="DN76" i="1" a="1"/>
  <c r="DN76" i="1" s="1"/>
  <c r="DM268" i="1" a="1"/>
  <c r="DM268" i="1" s="1"/>
  <c r="DN268" i="1" a="1"/>
  <c r="DN268" i="1" s="1"/>
  <c r="DM75" i="1" a="1"/>
  <c r="DM75" i="1" s="1"/>
  <c r="DN75" i="1" a="1"/>
  <c r="DN75" i="1" s="1"/>
  <c r="DM135" i="1" a="1"/>
  <c r="DM135" i="1" s="1"/>
  <c r="DN135" i="1" a="1"/>
  <c r="DN135" i="1" s="1"/>
  <c r="DM29" i="1" a="1"/>
  <c r="DM29" i="1" s="1"/>
  <c r="DN29" i="1" a="1"/>
  <c r="DN29" i="1" s="1"/>
  <c r="DM262" i="1" a="1"/>
  <c r="DM262" i="1" s="1"/>
  <c r="DN262" i="1" a="1"/>
  <c r="DN262" i="1" s="1"/>
  <c r="DM167" i="1" a="1"/>
  <c r="DM167" i="1" s="1"/>
  <c r="DN167" i="1" a="1"/>
  <c r="DN167" i="1" s="1"/>
  <c r="DM128" i="1" a="1"/>
  <c r="DM128" i="1" s="1"/>
  <c r="DN128" i="1" a="1"/>
  <c r="DN128" i="1" s="1"/>
  <c r="DM65" i="1" a="1"/>
  <c r="DM65" i="1" s="1"/>
  <c r="DN65" i="1" a="1"/>
  <c r="DN65" i="1" s="1"/>
  <c r="DN214" i="1" a="1"/>
  <c r="DN214" i="1" s="1"/>
  <c r="DM214" i="1" a="1"/>
  <c r="DM214" i="1" s="1"/>
  <c r="DM157" i="1" a="1"/>
  <c r="DM157" i="1" s="1"/>
  <c r="DN157" i="1" a="1"/>
  <c r="DN157" i="1" s="1"/>
  <c r="DN15" i="1" a="1"/>
  <c r="DN15" i="1" s="1"/>
  <c r="DM15" i="1" a="1"/>
  <c r="DM15" i="1" s="1"/>
  <c r="DM159" i="1" a="1"/>
  <c r="DM159" i="1" s="1"/>
  <c r="DN159" i="1" a="1"/>
  <c r="DN159" i="1" s="1"/>
  <c r="DN218" i="1" a="1"/>
  <c r="DN218" i="1" s="1"/>
  <c r="DM218" i="1" a="1"/>
  <c r="DM218" i="1" s="1"/>
  <c r="DW180" i="1" l="1"/>
  <c r="DW90" i="1"/>
  <c r="DW7" i="1"/>
  <c r="DP113" i="1"/>
  <c r="DP258" i="1"/>
  <c r="DW258" i="1"/>
  <c r="DW113" i="1"/>
  <c r="DQ14" i="1"/>
  <c r="DQ127" i="1"/>
  <c r="DQ124" i="1"/>
  <c r="DW127" i="1"/>
  <c r="DR127" i="1"/>
  <c r="DR210" i="1"/>
  <c r="DR112" i="1"/>
  <c r="DQ95" i="1"/>
  <c r="DW210" i="1"/>
  <c r="DR13" i="1"/>
  <c r="DR209" i="1"/>
  <c r="DW13" i="1"/>
  <c r="DQ210" i="1"/>
  <c r="DQ13" i="1"/>
  <c r="DR95" i="1"/>
  <c r="DW95" i="1"/>
  <c r="DW209" i="1"/>
  <c r="DR79" i="1"/>
  <c r="DW124" i="1"/>
  <c r="DR250" i="1"/>
  <c r="DR124" i="1"/>
  <c r="DW79" i="1"/>
  <c r="DQ209" i="1"/>
  <c r="DW250" i="1"/>
  <c r="DQ55" i="1"/>
  <c r="DQ115" i="1"/>
  <c r="DQ256" i="1"/>
  <c r="DQ78" i="1"/>
  <c r="DQ68" i="1"/>
  <c r="DQ186" i="1"/>
  <c r="DQ175" i="1"/>
  <c r="DQ153" i="1"/>
  <c r="DQ116" i="1"/>
  <c r="DQ79" i="1"/>
  <c r="DQ46" i="1"/>
  <c r="DQ92" i="1"/>
  <c r="DQ219" i="1"/>
  <c r="DQ173" i="1"/>
  <c r="DQ90" i="1"/>
  <c r="DQ89" i="1"/>
  <c r="DQ250" i="1"/>
  <c r="DQ231" i="1"/>
  <c r="DQ11" i="1"/>
  <c r="DQ148" i="1"/>
  <c r="DQ270" i="1"/>
  <c r="DQ161" i="1"/>
  <c r="DQ102" i="1"/>
  <c r="DQ9" i="1"/>
  <c r="DQ7" i="1"/>
  <c r="DQ121" i="1"/>
  <c r="DQ109" i="1"/>
  <c r="DW112" i="1"/>
  <c r="DQ238" i="1"/>
  <c r="DQ99" i="1"/>
  <c r="DQ41" i="1"/>
  <c r="DQ82" i="1"/>
  <c r="DQ37" i="1"/>
  <c r="DQ44" i="1"/>
  <c r="DQ130" i="1"/>
  <c r="DQ119" i="1"/>
  <c r="DQ252" i="1"/>
  <c r="DQ237" i="1"/>
  <c r="DQ73" i="1"/>
  <c r="DQ38" i="1"/>
  <c r="DQ201" i="1"/>
  <c r="DQ244" i="1"/>
  <c r="DQ195" i="1"/>
  <c r="DQ177" i="1"/>
  <c r="DQ267" i="1"/>
  <c r="DP267" i="1" s="1"/>
  <c r="DQ112" i="1"/>
  <c r="DQ183" i="1"/>
  <c r="DQ179" i="1"/>
  <c r="DQ203" i="1"/>
  <c r="DQ54" i="1"/>
  <c r="DQ32" i="1"/>
  <c r="DQ211" i="1"/>
  <c r="DQ246" i="1"/>
  <c r="DQ105" i="1"/>
  <c r="DQ249" i="1"/>
  <c r="DQ111" i="1"/>
  <c r="DQ87" i="1"/>
  <c r="DQ35" i="1"/>
  <c r="DQ257" i="1"/>
  <c r="DQ213" i="1"/>
  <c r="DQ245" i="1"/>
  <c r="DQ110" i="1"/>
  <c r="DQ144" i="1"/>
  <c r="DQ80" i="1"/>
  <c r="DQ229" i="1"/>
  <c r="DQ123" i="1"/>
  <c r="DQ154" i="1"/>
  <c r="DQ236" i="1"/>
  <c r="DQ193" i="1"/>
  <c r="DQ165" i="1"/>
  <c r="DQ43" i="1"/>
  <c r="DQ234" i="1"/>
  <c r="DQ241" i="1"/>
  <c r="DQ93" i="1"/>
  <c r="DQ16" i="1"/>
  <c r="DQ106" i="1"/>
  <c r="DQ217" i="1"/>
  <c r="DQ227" i="1"/>
  <c r="DQ53" i="1"/>
  <c r="DQ260" i="1"/>
  <c r="DQ248" i="1"/>
  <c r="DQ114" i="1"/>
  <c r="DQ34" i="1"/>
  <c r="DQ131" i="1"/>
  <c r="DQ108" i="1"/>
  <c r="DQ23" i="1"/>
  <c r="DQ22" i="1"/>
  <c r="DQ125" i="1"/>
  <c r="DQ101" i="1"/>
  <c r="DQ199" i="1"/>
  <c r="DQ197" i="1"/>
  <c r="DQ21" i="1"/>
  <c r="DQ253" i="1"/>
  <c r="DQ132" i="1"/>
  <c r="DQ96" i="1"/>
  <c r="DQ77" i="1"/>
  <c r="DQ45" i="1"/>
  <c r="DQ254" i="1"/>
  <c r="DQ71" i="1"/>
  <c r="DQ147" i="1"/>
  <c r="DQ122" i="1"/>
  <c r="DQ20" i="1"/>
  <c r="DQ136" i="1"/>
  <c r="DQ141" i="1"/>
  <c r="DQ146" i="1"/>
  <c r="DQ171" i="1"/>
  <c r="DQ52" i="1"/>
  <c r="DQ187" i="1"/>
  <c r="DQ65" i="1"/>
  <c r="DQ215" i="1"/>
  <c r="DQ69" i="1"/>
  <c r="DQ189" i="1"/>
  <c r="DQ91" i="1"/>
  <c r="DQ27" i="1"/>
  <c r="DQ184" i="1"/>
  <c r="DQ39" i="1"/>
  <c r="DQ242" i="1"/>
  <c r="DQ261" i="1"/>
  <c r="DQ85" i="1"/>
  <c r="DQ117" i="1"/>
  <c r="DQ235" i="1"/>
  <c r="DQ62" i="1"/>
  <c r="DQ98" i="1"/>
  <c r="DQ225" i="1"/>
  <c r="DQ143" i="1"/>
  <c r="DQ126" i="1"/>
  <c r="DQ15" i="1"/>
  <c r="DQ233" i="1"/>
  <c r="DQ222" i="1"/>
  <c r="DQ226" i="1"/>
  <c r="DQ8" i="1"/>
  <c r="DQ216" i="1"/>
  <c r="DQ220" i="1"/>
  <c r="DQ162" i="1"/>
  <c r="DQ33" i="1"/>
  <c r="DQ200" i="1"/>
  <c r="DQ164" i="1"/>
  <c r="DQ74" i="1"/>
  <c r="DQ263" i="1"/>
  <c r="DQ269" i="1"/>
  <c r="DQ17" i="1"/>
  <c r="DQ166" i="1"/>
  <c r="DQ208" i="1"/>
  <c r="DQ88" i="1"/>
  <c r="DQ172" i="1"/>
  <c r="DQ128" i="1"/>
  <c r="DQ135" i="1"/>
  <c r="DQ103" i="1"/>
  <c r="DQ60" i="1"/>
  <c r="DQ232" i="1"/>
  <c r="DQ48" i="1"/>
  <c r="DQ104" i="1"/>
  <c r="DQ100" i="1"/>
  <c r="DQ221" i="1"/>
  <c r="DQ169" i="1"/>
  <c r="DQ223" i="1"/>
  <c r="DQ140" i="1"/>
  <c r="DQ151" i="1"/>
  <c r="DQ264" i="1"/>
  <c r="DQ107" i="1"/>
  <c r="DQ188" i="1"/>
  <c r="DQ134" i="1"/>
  <c r="DQ118" i="1"/>
  <c r="DQ150" i="1"/>
  <c r="DQ194" i="1"/>
  <c r="DQ26" i="1"/>
  <c r="DQ10" i="1"/>
  <c r="DQ31" i="1"/>
  <c r="DQ137" i="1"/>
  <c r="DQ168" i="1"/>
  <c r="DQ58" i="1"/>
  <c r="DQ247" i="1"/>
  <c r="DQ190" i="1"/>
  <c r="DQ182" i="1"/>
  <c r="DQ63" i="1"/>
  <c r="DQ191" i="1"/>
  <c r="DQ142" i="1"/>
  <c r="DQ243" i="1"/>
  <c r="DQ42" i="1"/>
  <c r="DQ228" i="1"/>
  <c r="DQ81" i="1"/>
  <c r="DQ196" i="1"/>
  <c r="DQ70" i="1"/>
  <c r="DQ19" i="1"/>
  <c r="DQ178" i="1"/>
  <c r="DQ224" i="1"/>
  <c r="DQ230" i="1"/>
  <c r="DQ145" i="1"/>
  <c r="DQ24" i="1"/>
  <c r="DQ47" i="1"/>
  <c r="DQ198" i="1"/>
  <c r="DQ156" i="1"/>
  <c r="DQ202" i="1"/>
  <c r="DQ206" i="1"/>
  <c r="DQ218" i="1"/>
  <c r="DQ214" i="1"/>
  <c r="DQ176" i="1"/>
  <c r="DQ174" i="1"/>
  <c r="DQ72" i="1"/>
  <c r="DQ255" i="1"/>
  <c r="DQ266" i="1"/>
  <c r="DQ152" i="1"/>
  <c r="DQ251" i="1"/>
  <c r="DQ40" i="1"/>
  <c r="DQ212" i="1"/>
  <c r="DQ170" i="1"/>
  <c r="DQ204" i="1"/>
  <c r="DQ192" i="1"/>
  <c r="DQ129" i="1"/>
  <c r="DQ259" i="1"/>
  <c r="DQ239" i="1"/>
  <c r="DQ56" i="1"/>
  <c r="DQ49" i="1"/>
  <c r="DQ160" i="1"/>
  <c r="DQ158" i="1"/>
  <c r="DQ262" i="1"/>
  <c r="DQ185" i="1"/>
  <c r="DQ51" i="1"/>
  <c r="DQ97" i="1"/>
  <c r="DQ94" i="1"/>
  <c r="DQ59" i="1"/>
  <c r="DQ66" i="1"/>
  <c r="DQ240" i="1"/>
  <c r="DQ61" i="1"/>
  <c r="DQ155" i="1"/>
  <c r="DQ205" i="1"/>
  <c r="DQ207" i="1"/>
  <c r="DQ86" i="1"/>
  <c r="DQ268" i="1"/>
  <c r="DQ138" i="1"/>
  <c r="DQ139" i="1"/>
  <c r="DQ30" i="1"/>
  <c r="DQ149" i="1"/>
  <c r="DQ36" i="1"/>
  <c r="DQ181" i="1"/>
  <c r="DQ64" i="1"/>
  <c r="DQ163" i="1"/>
  <c r="DQ67" i="1"/>
  <c r="DQ28" i="1"/>
  <c r="DQ50" i="1"/>
  <c r="DQ83" i="1"/>
  <c r="DQ12" i="1"/>
  <c r="DQ265" i="1"/>
  <c r="DQ57" i="1"/>
  <c r="DQ159" i="1"/>
  <c r="DQ157" i="1"/>
  <c r="DQ167" i="1"/>
  <c r="DQ29" i="1"/>
  <c r="DQ75" i="1"/>
  <c r="DQ76" i="1"/>
  <c r="DQ180" i="1"/>
  <c r="DQ18" i="1"/>
  <c r="DQ120" i="1"/>
  <c r="DQ133" i="1"/>
  <c r="DQ271" i="1"/>
  <c r="DQ84" i="1"/>
  <c r="DW267" i="1"/>
  <c r="DR270" i="1"/>
  <c r="DW270" i="1"/>
  <c r="DR190" i="1"/>
  <c r="DW190" i="1"/>
  <c r="DR68" i="1"/>
  <c r="DW68" i="1"/>
  <c r="DR101" i="1"/>
  <c r="DW101" i="1"/>
  <c r="DR108" i="1"/>
  <c r="DW108" i="1"/>
  <c r="DR70" i="1"/>
  <c r="DW70" i="1"/>
  <c r="DR218" i="1"/>
  <c r="DW218" i="1"/>
  <c r="DR152" i="1"/>
  <c r="DW152" i="1"/>
  <c r="DR76" i="1"/>
  <c r="DW76" i="1"/>
  <c r="DR213" i="1"/>
  <c r="DW213" i="1"/>
  <c r="DR191" i="1"/>
  <c r="DW191" i="1"/>
  <c r="DR65" i="1"/>
  <c r="DW65" i="1"/>
  <c r="DR167" i="1"/>
  <c r="DW167" i="1"/>
  <c r="DR176" i="1"/>
  <c r="DW176" i="1"/>
  <c r="DR204" i="1"/>
  <c r="DW204" i="1"/>
  <c r="DR151" i="1"/>
  <c r="DW151" i="1"/>
  <c r="DR199" i="1"/>
  <c r="DW199" i="1"/>
  <c r="DR181" i="1"/>
  <c r="DW181" i="1"/>
  <c r="DR222" i="1"/>
  <c r="DW222" i="1"/>
  <c r="DR219" i="1"/>
  <c r="DW219" i="1"/>
  <c r="DR111" i="1"/>
  <c r="DW111" i="1"/>
  <c r="DR93" i="1"/>
  <c r="DW93" i="1"/>
  <c r="DR78" i="1"/>
  <c r="DW78" i="1"/>
  <c r="DR220" i="1"/>
  <c r="DW220" i="1"/>
  <c r="DR221" i="1"/>
  <c r="DW221" i="1"/>
  <c r="DR38" i="1"/>
  <c r="DW38" i="1"/>
  <c r="DR36" i="1"/>
  <c r="DW36" i="1"/>
  <c r="DR116" i="1"/>
  <c r="DW116" i="1"/>
  <c r="DR120" i="1"/>
  <c r="DW120" i="1"/>
  <c r="DR100" i="1"/>
  <c r="DW100" i="1"/>
  <c r="DR212" i="1"/>
  <c r="DW212" i="1"/>
  <c r="DR195" i="1"/>
  <c r="DW195" i="1"/>
  <c r="DR198" i="1"/>
  <c r="DW198" i="1"/>
  <c r="DR56" i="1"/>
  <c r="DW56" i="1"/>
  <c r="DR45" i="1"/>
  <c r="DW45" i="1"/>
  <c r="DR28" i="1"/>
  <c r="DW28" i="1"/>
  <c r="DR88" i="1"/>
  <c r="DW88" i="1"/>
  <c r="DR214" i="1"/>
  <c r="DW214" i="1"/>
  <c r="DR255" i="1"/>
  <c r="DW255" i="1"/>
  <c r="DR148" i="1"/>
  <c r="DW148" i="1"/>
  <c r="DR147" i="1"/>
  <c r="DW147" i="1"/>
  <c r="DR138" i="1"/>
  <c r="DW138" i="1"/>
  <c r="DR177" i="1"/>
  <c r="DW177" i="1"/>
  <c r="DR203" i="1"/>
  <c r="DW203" i="1"/>
  <c r="DR67" i="1"/>
  <c r="DW67" i="1"/>
  <c r="DR58" i="1"/>
  <c r="DW58" i="1"/>
  <c r="DR89" i="1"/>
  <c r="DW89" i="1"/>
  <c r="DR133" i="1"/>
  <c r="DW133" i="1"/>
  <c r="DR266" i="1"/>
  <c r="DW266" i="1"/>
  <c r="DR202" i="1"/>
  <c r="DW202" i="1"/>
  <c r="DR232" i="1"/>
  <c r="DW232" i="1"/>
  <c r="DR249" i="1"/>
  <c r="DW249" i="1"/>
  <c r="DR235" i="1"/>
  <c r="DW235" i="1"/>
  <c r="DR261" i="1"/>
  <c r="DW261" i="1"/>
  <c r="DR239" i="1"/>
  <c r="DW239" i="1"/>
  <c r="DR259" i="1"/>
  <c r="DW259" i="1"/>
  <c r="DR237" i="1"/>
  <c r="DW237" i="1"/>
  <c r="DR129" i="1"/>
  <c r="DW129" i="1"/>
  <c r="DR10" i="1"/>
  <c r="DW10" i="1"/>
  <c r="DR139" i="1"/>
  <c r="DW139" i="1"/>
  <c r="DR175" i="1"/>
  <c r="DW175" i="1"/>
  <c r="DR211" i="1"/>
  <c r="DW211" i="1"/>
  <c r="DR49" i="1"/>
  <c r="DW49" i="1"/>
  <c r="DR83" i="1"/>
  <c r="DW83" i="1"/>
  <c r="DR37" i="1"/>
  <c r="DW37" i="1"/>
  <c r="DR46" i="1"/>
  <c r="DW46" i="1"/>
  <c r="DR30" i="1"/>
  <c r="DW30" i="1"/>
  <c r="DR215" i="1"/>
  <c r="DW215" i="1"/>
  <c r="DR179" i="1"/>
  <c r="DW179" i="1"/>
  <c r="DR96" i="1"/>
  <c r="DW96" i="1"/>
  <c r="DR131" i="1"/>
  <c r="DW131" i="1"/>
  <c r="DR128" i="1"/>
  <c r="DW128" i="1"/>
  <c r="DR122" i="1"/>
  <c r="DW122" i="1"/>
  <c r="DR119" i="1"/>
  <c r="DW119" i="1"/>
  <c r="DR189" i="1"/>
  <c r="DW189" i="1"/>
  <c r="DR162" i="1"/>
  <c r="DW162" i="1"/>
  <c r="DR71" i="1"/>
  <c r="DW71" i="1"/>
  <c r="DR98" i="1"/>
  <c r="DW98" i="1"/>
  <c r="DR132" i="1"/>
  <c r="DW132" i="1"/>
  <c r="DR69" i="1"/>
  <c r="DW69" i="1"/>
  <c r="DR121" i="1"/>
  <c r="DW121" i="1"/>
  <c r="DR205" i="1"/>
  <c r="DW205" i="1"/>
  <c r="DR21" i="1"/>
  <c r="DW21" i="1"/>
  <c r="DR216" i="1"/>
  <c r="DW216" i="1"/>
  <c r="DR145" i="1"/>
  <c r="DW145" i="1"/>
  <c r="DR41" i="1"/>
  <c r="DW41" i="1"/>
  <c r="DR102" i="1"/>
  <c r="DW102" i="1"/>
  <c r="DR27" i="1"/>
  <c r="DW27" i="1"/>
  <c r="DR174" i="1"/>
  <c r="DW174" i="1"/>
  <c r="DR92" i="1"/>
  <c r="DW92" i="1"/>
  <c r="DR156" i="1"/>
  <c r="DW156" i="1"/>
  <c r="DR130" i="1"/>
  <c r="DW130" i="1"/>
  <c r="DR84" i="1"/>
  <c r="DW84" i="1"/>
  <c r="DR125" i="1"/>
  <c r="DW125" i="1"/>
  <c r="DR97" i="1"/>
  <c r="DW97" i="1"/>
  <c r="DR99" i="1"/>
  <c r="DW99" i="1"/>
  <c r="DR62" i="1"/>
  <c r="DW62" i="1"/>
  <c r="DR7" i="1"/>
  <c r="DR17" i="1"/>
  <c r="DW17" i="1"/>
  <c r="DR82" i="1"/>
  <c r="DW82" i="1"/>
  <c r="DR172" i="1"/>
  <c r="DW172" i="1"/>
  <c r="DR107" i="1"/>
  <c r="DW107" i="1"/>
  <c r="DR105" i="1"/>
  <c r="DW105" i="1"/>
  <c r="DR118" i="1"/>
  <c r="DW118" i="1"/>
  <c r="DR136" i="1"/>
  <c r="DW136" i="1"/>
  <c r="DR196" i="1"/>
  <c r="DW196" i="1"/>
  <c r="DR12" i="1"/>
  <c r="DW12" i="1"/>
  <c r="DR231" i="1"/>
  <c r="DW231" i="1"/>
  <c r="DR224" i="1"/>
  <c r="DW224" i="1"/>
  <c r="DR253" i="1"/>
  <c r="DW253" i="1"/>
  <c r="DR247" i="1"/>
  <c r="DW247" i="1"/>
  <c r="DR226" i="1"/>
  <c r="DW226" i="1"/>
  <c r="DR256" i="1"/>
  <c r="DW256" i="1"/>
  <c r="DR230" i="1"/>
  <c r="DW230" i="1"/>
  <c r="DR262" i="1"/>
  <c r="DW262" i="1"/>
  <c r="DR248" i="1"/>
  <c r="DW248" i="1"/>
  <c r="DR254" i="1"/>
  <c r="DW254" i="1"/>
  <c r="DR268" i="1"/>
  <c r="DW268" i="1"/>
  <c r="DR161" i="1"/>
  <c r="DW161" i="1"/>
  <c r="DR197" i="1"/>
  <c r="DW197" i="1"/>
  <c r="DR206" i="1"/>
  <c r="DW206" i="1"/>
  <c r="DR194" i="1"/>
  <c r="DW194" i="1"/>
  <c r="DR170" i="1"/>
  <c r="DW170" i="1"/>
  <c r="DR81" i="1"/>
  <c r="DW81" i="1"/>
  <c r="DR29" i="1"/>
  <c r="DW29" i="1"/>
  <c r="DR137" i="1"/>
  <c r="DW137" i="1"/>
  <c r="DR20" i="1"/>
  <c r="DW20" i="1"/>
  <c r="DR50" i="1"/>
  <c r="DW50" i="1"/>
  <c r="DR31" i="1"/>
  <c r="DW31" i="1"/>
  <c r="DR184" i="1"/>
  <c r="DW184" i="1"/>
  <c r="DR103" i="1"/>
  <c r="DW103" i="1"/>
  <c r="DR153" i="1"/>
  <c r="DW153" i="1"/>
  <c r="DR9" i="1"/>
  <c r="DW9" i="1"/>
  <c r="DR23" i="1"/>
  <c r="DW23" i="1"/>
  <c r="DR188" i="1"/>
  <c r="DW188" i="1"/>
  <c r="DR200" i="1"/>
  <c r="DW200" i="1"/>
  <c r="DR168" i="1"/>
  <c r="DW168" i="1"/>
  <c r="DR144" i="1"/>
  <c r="DW144" i="1"/>
  <c r="DR72" i="1"/>
  <c r="DW72" i="1"/>
  <c r="DR123" i="1"/>
  <c r="DW123" i="1"/>
  <c r="DR155" i="1"/>
  <c r="DW155" i="1"/>
  <c r="DR166" i="1"/>
  <c r="DW166" i="1"/>
  <c r="DR186" i="1"/>
  <c r="DW186" i="1"/>
  <c r="DR185" i="1"/>
  <c r="DW185" i="1"/>
  <c r="DR187" i="1"/>
  <c r="DW187" i="1"/>
  <c r="DR159" i="1"/>
  <c r="DW159" i="1"/>
  <c r="DR164" i="1"/>
  <c r="DW164" i="1"/>
  <c r="DR24" i="1"/>
  <c r="DW24" i="1"/>
  <c r="DR143" i="1"/>
  <c r="DW143" i="1"/>
  <c r="DR59" i="1"/>
  <c r="DW59" i="1"/>
  <c r="DR114" i="1"/>
  <c r="DW114" i="1"/>
  <c r="DR8" i="1"/>
  <c r="DW8" i="1"/>
  <c r="DR223" i="1"/>
  <c r="DW223" i="1"/>
  <c r="DR51" i="1"/>
  <c r="DW51" i="1"/>
  <c r="DR85" i="1"/>
  <c r="DW85" i="1"/>
  <c r="DR141" i="1"/>
  <c r="DW141" i="1"/>
  <c r="DR39" i="1"/>
  <c r="DW39" i="1"/>
  <c r="DR11" i="1"/>
  <c r="DW11" i="1"/>
  <c r="DR106" i="1"/>
  <c r="DW106" i="1"/>
  <c r="DR57" i="1"/>
  <c r="DW57" i="1"/>
  <c r="DR193" i="1"/>
  <c r="DW193" i="1"/>
  <c r="DR178" i="1"/>
  <c r="DW178" i="1"/>
  <c r="DR32" i="1"/>
  <c r="DW32" i="1"/>
  <c r="DR14" i="1"/>
  <c r="DW14" i="1"/>
  <c r="DR64" i="1"/>
  <c r="DW64" i="1"/>
  <c r="DR163" i="1"/>
  <c r="DW163" i="1"/>
  <c r="DR154" i="1"/>
  <c r="DW154" i="1"/>
  <c r="DR19" i="1"/>
  <c r="DW19" i="1"/>
  <c r="DR91" i="1"/>
  <c r="DW91" i="1"/>
  <c r="DR117" i="1"/>
  <c r="DW117" i="1"/>
  <c r="DR257" i="1"/>
  <c r="DW257" i="1"/>
  <c r="DR243" i="1"/>
  <c r="DW243" i="1"/>
  <c r="DR260" i="1"/>
  <c r="DW260" i="1"/>
  <c r="DR228" i="1"/>
  <c r="DW228" i="1"/>
  <c r="DR263" i="1"/>
  <c r="DW263" i="1"/>
  <c r="DR227" i="1"/>
  <c r="DW227" i="1"/>
  <c r="DR240" i="1"/>
  <c r="DW240" i="1"/>
  <c r="DR234" i="1"/>
  <c r="DW234" i="1"/>
  <c r="DR225" i="1"/>
  <c r="DW225" i="1"/>
  <c r="DR233" i="1"/>
  <c r="DW233" i="1"/>
  <c r="DR265" i="1"/>
  <c r="DW265" i="1"/>
  <c r="DR160" i="1"/>
  <c r="DW160" i="1"/>
  <c r="DR63" i="1"/>
  <c r="DW63" i="1"/>
  <c r="DR40" i="1"/>
  <c r="DW40" i="1"/>
  <c r="DR104" i="1"/>
  <c r="DW104" i="1"/>
  <c r="DR25" i="1"/>
  <c r="DP25" i="1" s="1"/>
  <c r="DW25" i="1"/>
  <c r="DR242" i="1"/>
  <c r="DW242" i="1"/>
  <c r="DR252" i="1"/>
  <c r="DW252" i="1"/>
  <c r="DR171" i="1"/>
  <c r="DW171" i="1"/>
  <c r="DR173" i="1"/>
  <c r="DW173" i="1"/>
  <c r="DR55" i="1"/>
  <c r="DW55" i="1"/>
  <c r="DR44" i="1"/>
  <c r="DW44" i="1"/>
  <c r="DR53" i="1"/>
  <c r="DW53" i="1"/>
  <c r="DR110" i="1"/>
  <c r="DW110" i="1"/>
  <c r="DR157" i="1"/>
  <c r="DW157" i="1"/>
  <c r="DR126" i="1"/>
  <c r="DW126" i="1"/>
  <c r="DR180" i="1"/>
  <c r="DR142" i="1"/>
  <c r="DW142" i="1"/>
  <c r="DR61" i="1"/>
  <c r="DW61" i="1"/>
  <c r="DR22" i="1"/>
  <c r="DW22" i="1"/>
  <c r="DR73" i="1"/>
  <c r="DW73" i="1"/>
  <c r="DR35" i="1"/>
  <c r="DW35" i="1"/>
  <c r="DR165" i="1"/>
  <c r="DW165" i="1"/>
  <c r="DR26" i="1"/>
  <c r="DW26" i="1"/>
  <c r="DR90" i="1"/>
  <c r="DR74" i="1"/>
  <c r="DW74" i="1"/>
  <c r="DR86" i="1"/>
  <c r="DW86" i="1"/>
  <c r="DR208" i="1"/>
  <c r="DW208" i="1"/>
  <c r="DR146" i="1"/>
  <c r="DW146" i="1"/>
  <c r="DR80" i="1"/>
  <c r="DW80" i="1"/>
  <c r="DR33" i="1"/>
  <c r="DW33" i="1"/>
  <c r="DR42" i="1"/>
  <c r="DW42" i="1"/>
  <c r="DR149" i="1"/>
  <c r="DW149" i="1"/>
  <c r="DR134" i="1"/>
  <c r="DW134" i="1"/>
  <c r="DR18" i="1"/>
  <c r="DW18" i="1"/>
  <c r="DR207" i="1"/>
  <c r="DW207" i="1"/>
  <c r="DR192" i="1"/>
  <c r="DW192" i="1"/>
  <c r="DR135" i="1"/>
  <c r="DW135" i="1"/>
  <c r="DR77" i="1"/>
  <c r="DW77" i="1"/>
  <c r="DR54" i="1"/>
  <c r="DW54" i="1"/>
  <c r="DR109" i="1"/>
  <c r="DW109" i="1"/>
  <c r="DR43" i="1"/>
  <c r="DW43" i="1"/>
  <c r="DR15" i="1"/>
  <c r="DW15" i="1"/>
  <c r="DR60" i="1"/>
  <c r="DW60" i="1"/>
  <c r="DR183" i="1"/>
  <c r="DW183" i="1"/>
  <c r="DR201" i="1"/>
  <c r="DW201" i="1"/>
  <c r="DR217" i="1"/>
  <c r="DW217" i="1"/>
  <c r="DR16" i="1"/>
  <c r="DW16" i="1"/>
  <c r="DR150" i="1"/>
  <c r="DW150" i="1"/>
  <c r="DR47" i="1"/>
  <c r="DW47" i="1"/>
  <c r="DR115" i="1"/>
  <c r="DW115" i="1"/>
  <c r="DR87" i="1"/>
  <c r="DW87" i="1"/>
  <c r="DR94" i="1"/>
  <c r="DW94" i="1"/>
  <c r="DR169" i="1"/>
  <c r="DW169" i="1"/>
  <c r="DR269" i="1"/>
  <c r="DW269" i="1"/>
  <c r="DR236" i="1"/>
  <c r="DW236" i="1"/>
  <c r="DR271" i="1"/>
  <c r="DW271" i="1"/>
  <c r="DR241" i="1"/>
  <c r="DW241" i="1"/>
  <c r="DR264" i="1"/>
  <c r="DW264" i="1"/>
  <c r="DR246" i="1"/>
  <c r="DW246" i="1"/>
  <c r="DR229" i="1"/>
  <c r="DW229" i="1"/>
  <c r="DR244" i="1"/>
  <c r="DW244" i="1"/>
  <c r="DR251" i="1"/>
  <c r="DW251" i="1"/>
  <c r="DR238" i="1"/>
  <c r="DW238" i="1"/>
  <c r="DR245" i="1"/>
  <c r="DW245" i="1"/>
  <c r="DR75" i="1"/>
  <c r="DW75" i="1"/>
  <c r="DR48" i="1"/>
  <c r="DW48" i="1"/>
  <c r="DR182" i="1"/>
  <c r="DW182" i="1"/>
  <c r="DR34" i="1"/>
  <c r="DW34" i="1"/>
  <c r="DR158" i="1"/>
  <c r="DW158" i="1"/>
  <c r="DR52" i="1"/>
  <c r="DW52" i="1"/>
  <c r="DR66" i="1"/>
  <c r="DW66" i="1"/>
  <c r="DR140" i="1"/>
  <c r="DW140" i="1"/>
  <c r="DP209" i="1" l="1"/>
  <c r="DP13" i="1"/>
  <c r="DP79" i="1"/>
  <c r="DP112" i="1"/>
  <c r="DP250" i="1"/>
  <c r="DP127" i="1"/>
  <c r="DP133" i="1"/>
  <c r="DP138" i="1"/>
  <c r="DP152" i="1"/>
  <c r="DP205" i="1"/>
  <c r="DP66" i="1"/>
  <c r="DP51" i="1"/>
  <c r="DP160" i="1"/>
  <c r="DP259" i="1"/>
  <c r="DP47" i="1"/>
  <c r="DP196" i="1"/>
  <c r="DP243" i="1"/>
  <c r="DP182" i="1"/>
  <c r="DP26" i="1"/>
  <c r="DP134" i="1"/>
  <c r="DP151" i="1"/>
  <c r="DP128" i="1"/>
  <c r="DP166" i="1"/>
  <c r="DP74" i="1"/>
  <c r="DP162" i="1"/>
  <c r="DP226" i="1"/>
  <c r="DP126" i="1"/>
  <c r="DP261" i="1"/>
  <c r="DP27" i="1"/>
  <c r="DP215" i="1"/>
  <c r="DP23" i="1"/>
  <c r="DP227" i="1"/>
  <c r="DP93" i="1"/>
  <c r="DP123" i="1"/>
  <c r="DP110" i="1"/>
  <c r="DP35" i="1"/>
  <c r="DP54" i="1"/>
  <c r="DP244" i="1"/>
  <c r="DP44" i="1"/>
  <c r="DP99" i="1"/>
  <c r="DP231" i="1"/>
  <c r="DP173" i="1"/>
  <c r="DP14" i="1"/>
  <c r="DP76" i="1"/>
  <c r="DP67" i="1"/>
  <c r="DP224" i="1"/>
  <c r="DP120" i="1"/>
  <c r="DP75" i="1"/>
  <c r="DP159" i="1"/>
  <c r="DP83" i="1"/>
  <c r="DP163" i="1"/>
  <c r="DP149" i="1"/>
  <c r="DP268" i="1"/>
  <c r="DP155" i="1"/>
  <c r="DP59" i="1"/>
  <c r="DP185" i="1"/>
  <c r="DP49" i="1"/>
  <c r="DP129" i="1"/>
  <c r="DP212" i="1"/>
  <c r="DP266" i="1"/>
  <c r="DP176" i="1"/>
  <c r="DP202" i="1"/>
  <c r="DP24" i="1"/>
  <c r="DP178" i="1"/>
  <c r="DP81" i="1"/>
  <c r="DP142" i="1"/>
  <c r="DP190" i="1"/>
  <c r="DP137" i="1"/>
  <c r="DP194" i="1"/>
  <c r="DP188" i="1"/>
  <c r="DP140" i="1"/>
  <c r="DP100" i="1"/>
  <c r="DP60" i="1"/>
  <c r="DP172" i="1"/>
  <c r="DP17" i="1"/>
  <c r="DP164" i="1"/>
  <c r="DP220" i="1"/>
  <c r="DP222" i="1"/>
  <c r="DP143" i="1"/>
  <c r="DP235" i="1"/>
  <c r="DP242" i="1"/>
  <c r="DP91" i="1"/>
  <c r="DP65" i="1"/>
  <c r="DP146" i="1"/>
  <c r="DP122" i="1"/>
  <c r="DP45" i="1"/>
  <c r="DP253" i="1"/>
  <c r="DP101" i="1"/>
  <c r="DP108" i="1"/>
  <c r="DP248" i="1"/>
  <c r="DP217" i="1"/>
  <c r="DP241" i="1"/>
  <c r="DP193" i="1"/>
  <c r="DP229" i="1"/>
  <c r="DP245" i="1"/>
  <c r="DP87" i="1"/>
  <c r="DP246" i="1"/>
  <c r="DP203" i="1"/>
  <c r="DP201" i="1"/>
  <c r="DP252" i="1"/>
  <c r="DP37" i="1"/>
  <c r="DP238" i="1"/>
  <c r="DP7" i="1"/>
  <c r="DP270" i="1"/>
  <c r="DP219" i="1"/>
  <c r="DP116" i="1"/>
  <c r="DP68" i="1"/>
  <c r="DP55" i="1"/>
  <c r="DP210" i="1"/>
  <c r="DP12" i="1"/>
  <c r="DP174" i="1"/>
  <c r="DP168" i="1"/>
  <c r="DP232" i="1"/>
  <c r="DP20" i="1"/>
  <c r="DP254" i="1"/>
  <c r="DP199" i="1"/>
  <c r="DP114" i="1"/>
  <c r="DP237" i="1"/>
  <c r="DP161" i="1"/>
  <c r="DP115" i="1"/>
  <c r="DP84" i="1"/>
  <c r="DP18" i="1"/>
  <c r="DP29" i="1"/>
  <c r="DP57" i="1"/>
  <c r="DP50" i="1"/>
  <c r="DP64" i="1"/>
  <c r="DP30" i="1"/>
  <c r="DP86" i="1"/>
  <c r="DP61" i="1"/>
  <c r="DP94" i="1"/>
  <c r="DP262" i="1"/>
  <c r="DP56" i="1"/>
  <c r="DP192" i="1"/>
  <c r="DP40" i="1"/>
  <c r="DP255" i="1"/>
  <c r="DP214" i="1"/>
  <c r="DP156" i="1"/>
  <c r="DP145" i="1"/>
  <c r="DP19" i="1"/>
  <c r="DP228" i="1"/>
  <c r="DP191" i="1"/>
  <c r="DP247" i="1"/>
  <c r="DP31" i="1"/>
  <c r="DP150" i="1"/>
  <c r="DP107" i="1"/>
  <c r="DP223" i="1"/>
  <c r="DP104" i="1"/>
  <c r="DP103" i="1"/>
  <c r="DP88" i="1"/>
  <c r="DP269" i="1"/>
  <c r="DP200" i="1"/>
  <c r="DP216" i="1"/>
  <c r="DP233" i="1"/>
  <c r="DP225" i="1"/>
  <c r="DP117" i="1"/>
  <c r="DP39" i="1"/>
  <c r="DP189" i="1"/>
  <c r="DP187" i="1"/>
  <c r="DP141" i="1"/>
  <c r="DP147" i="1"/>
  <c r="DP77" i="1"/>
  <c r="DP21" i="1"/>
  <c r="DP125" i="1"/>
  <c r="DP131" i="1"/>
  <c r="DP260" i="1"/>
  <c r="DP106" i="1"/>
  <c r="DP234" i="1"/>
  <c r="DP236" i="1"/>
  <c r="DP80" i="1"/>
  <c r="DP213" i="1"/>
  <c r="DP111" i="1"/>
  <c r="DP211" i="1"/>
  <c r="DP179" i="1"/>
  <c r="DP177" i="1"/>
  <c r="DP38" i="1"/>
  <c r="DP119" i="1"/>
  <c r="DP82" i="1"/>
  <c r="DP9" i="1"/>
  <c r="DP148" i="1"/>
  <c r="DP89" i="1"/>
  <c r="DP92" i="1"/>
  <c r="DP153" i="1"/>
  <c r="DP78" i="1"/>
  <c r="DP95" i="1"/>
  <c r="DP157" i="1"/>
  <c r="DP36" i="1"/>
  <c r="DP170" i="1"/>
  <c r="DP206" i="1"/>
  <c r="DP221" i="1"/>
  <c r="DP62" i="1"/>
  <c r="DP171" i="1"/>
  <c r="DP132" i="1"/>
  <c r="DP165" i="1"/>
  <c r="DP105" i="1"/>
  <c r="DP121" i="1"/>
  <c r="DP186" i="1"/>
  <c r="DP271" i="1"/>
  <c r="DP180" i="1"/>
  <c r="DP167" i="1"/>
  <c r="DP265" i="1"/>
  <c r="DP28" i="1"/>
  <c r="DP181" i="1"/>
  <c r="DP139" i="1"/>
  <c r="DP207" i="1"/>
  <c r="DP240" i="1"/>
  <c r="DP97" i="1"/>
  <c r="DP158" i="1"/>
  <c r="DP239" i="1"/>
  <c r="DP204" i="1"/>
  <c r="DP251" i="1"/>
  <c r="DP72" i="1"/>
  <c r="DP218" i="1"/>
  <c r="DP198" i="1"/>
  <c r="DP230" i="1"/>
  <c r="DP70" i="1"/>
  <c r="DP42" i="1"/>
  <c r="DP63" i="1"/>
  <c r="DP58" i="1"/>
  <c r="DP10" i="1"/>
  <c r="DP118" i="1"/>
  <c r="DP264" i="1"/>
  <c r="DP169" i="1"/>
  <c r="DP48" i="1"/>
  <c r="DP135" i="1"/>
  <c r="DP208" i="1"/>
  <c r="DP263" i="1"/>
  <c r="DP33" i="1"/>
  <c r="DP8" i="1"/>
  <c r="DP15" i="1"/>
  <c r="DP98" i="1"/>
  <c r="DP85" i="1"/>
  <c r="DP184" i="1"/>
  <c r="DP69" i="1"/>
  <c r="DP52" i="1"/>
  <c r="DP136" i="1"/>
  <c r="DP71" i="1"/>
  <c r="DP96" i="1"/>
  <c r="DP197" i="1"/>
  <c r="DP22" i="1"/>
  <c r="DP34" i="1"/>
  <c r="DP53" i="1"/>
  <c r="DP16" i="1"/>
  <c r="DP43" i="1"/>
  <c r="DP154" i="1"/>
  <c r="DP144" i="1"/>
  <c r="DP257" i="1"/>
  <c r="DP249" i="1"/>
  <c r="DP32" i="1"/>
  <c r="DP183" i="1"/>
  <c r="DP195" i="1"/>
  <c r="DP73" i="1"/>
  <c r="DP130" i="1"/>
  <c r="DP41" i="1"/>
  <c r="DP109" i="1"/>
  <c r="DP102" i="1"/>
  <c r="DP11" i="1"/>
  <c r="DP90" i="1"/>
  <c r="DP46" i="1"/>
  <c r="DP175" i="1"/>
  <c r="DP256" i="1"/>
  <c r="DP124"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78">
    <bk>
      <extLst>
        <ext uri="{3e2802c4-a4d2-4d8b-9148-e3be6c30e623}">
          <xlrd:rvb i="2"/>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5"/>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5"/>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297"/>
        </ext>
      </extLst>
    </bk>
    <bk>
      <extLst>
        <ext uri="{3e2802c4-a4d2-4d8b-9148-e3be6c30e623}">
          <xlrd:rvb i="300"/>
        </ext>
      </extLst>
    </bk>
    <bk>
      <extLst>
        <ext uri="{3e2802c4-a4d2-4d8b-9148-e3be6c30e623}">
          <xlrd:rvb i="303"/>
        </ext>
      </extLst>
    </bk>
    <bk>
      <extLst>
        <ext uri="{3e2802c4-a4d2-4d8b-9148-e3be6c30e623}">
          <xlrd:rvb i="306"/>
        </ext>
      </extLst>
    </bk>
    <bk>
      <extLst>
        <ext uri="{3e2802c4-a4d2-4d8b-9148-e3be6c30e623}">
          <xlrd:rvb i="309"/>
        </ext>
      </extLst>
    </bk>
    <bk>
      <extLst>
        <ext uri="{3e2802c4-a4d2-4d8b-9148-e3be6c30e623}">
          <xlrd:rvb i="312"/>
        </ext>
      </extLst>
    </bk>
    <bk>
      <extLst>
        <ext uri="{3e2802c4-a4d2-4d8b-9148-e3be6c30e623}">
          <xlrd:rvb i="315"/>
        </ext>
      </extLst>
    </bk>
    <bk>
      <extLst>
        <ext uri="{3e2802c4-a4d2-4d8b-9148-e3be6c30e623}">
          <xlrd:rvb i="318"/>
        </ext>
      </extLst>
    </bk>
    <bk>
      <extLst>
        <ext uri="{3e2802c4-a4d2-4d8b-9148-e3be6c30e623}">
          <xlrd:rvb i="321"/>
        </ext>
      </extLst>
    </bk>
    <bk>
      <extLst>
        <ext uri="{3e2802c4-a4d2-4d8b-9148-e3be6c30e623}">
          <xlrd:rvb i="324"/>
        </ext>
      </extLst>
    </bk>
    <bk>
      <extLst>
        <ext uri="{3e2802c4-a4d2-4d8b-9148-e3be6c30e623}">
          <xlrd:rvb i="327"/>
        </ext>
      </extLst>
    </bk>
    <bk>
      <extLst>
        <ext uri="{3e2802c4-a4d2-4d8b-9148-e3be6c30e623}">
          <xlrd:rvb i="330"/>
        </ext>
      </extLst>
    </bk>
    <bk>
      <extLst>
        <ext uri="{3e2802c4-a4d2-4d8b-9148-e3be6c30e623}">
          <xlrd:rvb i="333"/>
        </ext>
      </extLst>
    </bk>
    <bk>
      <extLst>
        <ext uri="{3e2802c4-a4d2-4d8b-9148-e3be6c30e623}">
          <xlrd:rvb i="336"/>
        </ext>
      </extLst>
    </bk>
    <bk>
      <extLst>
        <ext uri="{3e2802c4-a4d2-4d8b-9148-e3be6c30e623}">
          <xlrd:rvb i="339"/>
        </ext>
      </extLst>
    </bk>
    <bk>
      <extLst>
        <ext uri="{3e2802c4-a4d2-4d8b-9148-e3be6c30e623}">
          <xlrd:rvb i="342"/>
        </ext>
      </extLst>
    </bk>
    <bk>
      <extLst>
        <ext uri="{3e2802c4-a4d2-4d8b-9148-e3be6c30e623}">
          <xlrd:rvb i="345"/>
        </ext>
      </extLst>
    </bk>
    <bk>
      <extLst>
        <ext uri="{3e2802c4-a4d2-4d8b-9148-e3be6c30e623}">
          <xlrd:rvb i="348"/>
        </ext>
      </extLst>
    </bk>
    <bk>
      <extLst>
        <ext uri="{3e2802c4-a4d2-4d8b-9148-e3be6c30e623}">
          <xlrd:rvb i="351"/>
        </ext>
      </extLst>
    </bk>
    <bk>
      <extLst>
        <ext uri="{3e2802c4-a4d2-4d8b-9148-e3be6c30e623}">
          <xlrd:rvb i="354"/>
        </ext>
      </extLst>
    </bk>
    <bk>
      <extLst>
        <ext uri="{3e2802c4-a4d2-4d8b-9148-e3be6c30e623}">
          <xlrd:rvb i="357"/>
        </ext>
      </extLst>
    </bk>
    <bk>
      <extLst>
        <ext uri="{3e2802c4-a4d2-4d8b-9148-e3be6c30e623}">
          <xlrd:rvb i="364"/>
        </ext>
      </extLst>
    </bk>
    <bk>
      <extLst>
        <ext uri="{3e2802c4-a4d2-4d8b-9148-e3be6c30e623}">
          <xlrd:rvb i="367"/>
        </ext>
      </extLst>
    </bk>
    <bk>
      <extLst>
        <ext uri="{3e2802c4-a4d2-4d8b-9148-e3be6c30e623}">
          <xlrd:rvb i="370"/>
        </ext>
      </extLst>
    </bk>
    <bk>
      <extLst>
        <ext uri="{3e2802c4-a4d2-4d8b-9148-e3be6c30e623}">
          <xlrd:rvb i="373"/>
        </ext>
      </extLst>
    </bk>
    <bk>
      <extLst>
        <ext uri="{3e2802c4-a4d2-4d8b-9148-e3be6c30e623}">
          <xlrd:rvb i="376"/>
        </ext>
      </extLst>
    </bk>
    <bk>
      <extLst>
        <ext uri="{3e2802c4-a4d2-4d8b-9148-e3be6c30e623}">
          <xlrd:rvb i="379"/>
        </ext>
      </extLst>
    </bk>
    <bk>
      <extLst>
        <ext uri="{3e2802c4-a4d2-4d8b-9148-e3be6c30e623}">
          <xlrd:rvb i="382"/>
        </ext>
      </extLst>
    </bk>
    <bk>
      <extLst>
        <ext uri="{3e2802c4-a4d2-4d8b-9148-e3be6c30e623}">
          <xlrd:rvb i="385"/>
        </ext>
      </extLst>
    </bk>
    <bk>
      <extLst>
        <ext uri="{3e2802c4-a4d2-4d8b-9148-e3be6c30e623}">
          <xlrd:rvb i="388"/>
        </ext>
      </extLst>
    </bk>
    <bk>
      <extLst>
        <ext uri="{3e2802c4-a4d2-4d8b-9148-e3be6c30e623}">
          <xlrd:rvb i="391"/>
        </ext>
      </extLst>
    </bk>
    <bk>
      <extLst>
        <ext uri="{3e2802c4-a4d2-4d8b-9148-e3be6c30e623}">
          <xlrd:rvb i="394"/>
        </ext>
      </extLst>
    </bk>
    <bk>
      <extLst>
        <ext uri="{3e2802c4-a4d2-4d8b-9148-e3be6c30e623}">
          <xlrd:rvb i="397"/>
        </ext>
      </extLst>
    </bk>
    <bk>
      <extLst>
        <ext uri="{3e2802c4-a4d2-4d8b-9148-e3be6c30e623}">
          <xlrd:rvb i="400"/>
        </ext>
      </extLst>
    </bk>
    <bk>
      <extLst>
        <ext uri="{3e2802c4-a4d2-4d8b-9148-e3be6c30e623}">
          <xlrd:rvb i="403"/>
        </ext>
      </extLst>
    </bk>
    <bk>
      <extLst>
        <ext uri="{3e2802c4-a4d2-4d8b-9148-e3be6c30e623}">
          <xlrd:rvb i="406"/>
        </ext>
      </extLst>
    </bk>
    <bk>
      <extLst>
        <ext uri="{3e2802c4-a4d2-4d8b-9148-e3be6c30e623}">
          <xlrd:rvb i="409"/>
        </ext>
      </extLst>
    </bk>
    <bk>
      <extLst>
        <ext uri="{3e2802c4-a4d2-4d8b-9148-e3be6c30e623}">
          <xlrd:rvb i="410"/>
        </ext>
      </extLst>
    </bk>
    <bk>
      <extLst>
        <ext uri="{3e2802c4-a4d2-4d8b-9148-e3be6c30e623}">
          <xlrd:rvb i="413"/>
        </ext>
      </extLst>
    </bk>
    <bk>
      <extLst>
        <ext uri="{3e2802c4-a4d2-4d8b-9148-e3be6c30e623}">
          <xlrd:rvb i="416"/>
        </ext>
      </extLst>
    </bk>
    <bk>
      <extLst>
        <ext uri="{3e2802c4-a4d2-4d8b-9148-e3be6c30e623}">
          <xlrd:rvb i="419"/>
        </ext>
      </extLst>
    </bk>
    <bk>
      <extLst>
        <ext uri="{3e2802c4-a4d2-4d8b-9148-e3be6c30e623}">
          <xlrd:rvb i="422"/>
        </ext>
      </extLst>
    </bk>
    <bk>
      <extLst>
        <ext uri="{3e2802c4-a4d2-4d8b-9148-e3be6c30e623}">
          <xlrd:rvb i="425"/>
        </ext>
      </extLst>
    </bk>
    <bk>
      <extLst>
        <ext uri="{3e2802c4-a4d2-4d8b-9148-e3be6c30e623}">
          <xlrd:rvb i="428"/>
        </ext>
      </extLst>
    </bk>
    <bk>
      <extLst>
        <ext uri="{3e2802c4-a4d2-4d8b-9148-e3be6c30e623}">
          <xlrd:rvb i="431"/>
        </ext>
      </extLst>
    </bk>
    <bk>
      <extLst>
        <ext uri="{3e2802c4-a4d2-4d8b-9148-e3be6c30e623}">
          <xlrd:rvb i="434"/>
        </ext>
      </extLst>
    </bk>
    <bk>
      <extLst>
        <ext uri="{3e2802c4-a4d2-4d8b-9148-e3be6c30e623}">
          <xlrd:rvb i="437"/>
        </ext>
      </extLst>
    </bk>
    <bk>
      <extLst>
        <ext uri="{3e2802c4-a4d2-4d8b-9148-e3be6c30e623}">
          <xlrd:rvb i="440"/>
        </ext>
      </extLst>
    </bk>
    <bk>
      <extLst>
        <ext uri="{3e2802c4-a4d2-4d8b-9148-e3be6c30e623}">
          <xlrd:rvb i="443"/>
        </ext>
      </extLst>
    </bk>
    <bk>
      <extLst>
        <ext uri="{3e2802c4-a4d2-4d8b-9148-e3be6c30e623}">
          <xlrd:rvb i="446"/>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3"/>
        </ext>
      </extLst>
    </bk>
    <bk>
      <extLst>
        <ext uri="{3e2802c4-a4d2-4d8b-9148-e3be6c30e623}">
          <xlrd:rvb i="456"/>
        </ext>
      </extLst>
    </bk>
    <bk>
      <extLst>
        <ext uri="{3e2802c4-a4d2-4d8b-9148-e3be6c30e623}">
          <xlrd:rvb i="459"/>
        </ext>
      </extLst>
    </bk>
    <bk>
      <extLst>
        <ext uri="{3e2802c4-a4d2-4d8b-9148-e3be6c30e623}">
          <xlrd:rvb i="462"/>
        </ext>
      </extLst>
    </bk>
    <bk>
      <extLst>
        <ext uri="{3e2802c4-a4d2-4d8b-9148-e3be6c30e623}">
          <xlrd:rvb i="465"/>
        </ext>
      </extLst>
    </bk>
    <bk>
      <extLst>
        <ext uri="{3e2802c4-a4d2-4d8b-9148-e3be6c30e623}">
          <xlrd:rvb i="468"/>
        </ext>
      </extLst>
    </bk>
    <bk>
      <extLst>
        <ext uri="{3e2802c4-a4d2-4d8b-9148-e3be6c30e623}">
          <xlrd:rvb i="471"/>
        </ext>
      </extLst>
    </bk>
    <bk>
      <extLst>
        <ext uri="{3e2802c4-a4d2-4d8b-9148-e3be6c30e623}">
          <xlrd:rvb i="474"/>
        </ext>
      </extLst>
    </bk>
    <bk>
      <extLst>
        <ext uri="{3e2802c4-a4d2-4d8b-9148-e3be6c30e623}">
          <xlrd:rvb i="477"/>
        </ext>
      </extLst>
    </bk>
    <bk>
      <extLst>
        <ext uri="{3e2802c4-a4d2-4d8b-9148-e3be6c30e623}">
          <xlrd:rvb i="480"/>
        </ext>
      </extLst>
    </bk>
    <bk>
      <extLst>
        <ext uri="{3e2802c4-a4d2-4d8b-9148-e3be6c30e623}">
          <xlrd:rvb i="483"/>
        </ext>
      </extLst>
    </bk>
    <bk>
      <extLst>
        <ext uri="{3e2802c4-a4d2-4d8b-9148-e3be6c30e623}">
          <xlrd:rvb i="486"/>
        </ext>
      </extLst>
    </bk>
    <bk>
      <extLst>
        <ext uri="{3e2802c4-a4d2-4d8b-9148-e3be6c30e623}">
          <xlrd:rvb i="489"/>
        </ext>
      </extLst>
    </bk>
    <bk>
      <extLst>
        <ext uri="{3e2802c4-a4d2-4d8b-9148-e3be6c30e623}">
          <xlrd:rvb i="492"/>
        </ext>
      </extLst>
    </bk>
    <bk>
      <extLst>
        <ext uri="{3e2802c4-a4d2-4d8b-9148-e3be6c30e623}">
          <xlrd:rvb i="495"/>
        </ext>
      </extLst>
    </bk>
    <bk>
      <extLst>
        <ext uri="{3e2802c4-a4d2-4d8b-9148-e3be6c30e623}">
          <xlrd:rvb i="498"/>
        </ext>
      </extLst>
    </bk>
    <bk>
      <extLst>
        <ext uri="{3e2802c4-a4d2-4d8b-9148-e3be6c30e623}">
          <xlrd:rvb i="501"/>
        </ext>
      </extLst>
    </bk>
    <bk>
      <extLst>
        <ext uri="{3e2802c4-a4d2-4d8b-9148-e3be6c30e623}">
          <xlrd:rvb i="504"/>
        </ext>
      </extLst>
    </bk>
    <bk>
      <extLst>
        <ext uri="{3e2802c4-a4d2-4d8b-9148-e3be6c30e623}">
          <xlrd:rvb i="510"/>
        </ext>
      </extLst>
    </bk>
    <bk>
      <extLst>
        <ext uri="{3e2802c4-a4d2-4d8b-9148-e3be6c30e623}">
          <xlrd:rvb i="513"/>
        </ext>
      </extLst>
    </bk>
    <bk>
      <extLst>
        <ext uri="{3e2802c4-a4d2-4d8b-9148-e3be6c30e623}">
          <xlrd:rvb i="516"/>
        </ext>
      </extLst>
    </bk>
    <bk>
      <extLst>
        <ext uri="{3e2802c4-a4d2-4d8b-9148-e3be6c30e623}">
          <xlrd:rvb i="519"/>
        </ext>
      </extLst>
    </bk>
    <bk>
      <extLst>
        <ext uri="{3e2802c4-a4d2-4d8b-9148-e3be6c30e623}">
          <xlrd:rvb i="522"/>
        </ext>
      </extLst>
    </bk>
    <bk>
      <extLst>
        <ext uri="{3e2802c4-a4d2-4d8b-9148-e3be6c30e623}">
          <xlrd:rvb i="525"/>
        </ext>
      </extLst>
    </bk>
    <bk>
      <extLst>
        <ext uri="{3e2802c4-a4d2-4d8b-9148-e3be6c30e623}">
          <xlrd:rvb i="528"/>
        </ext>
      </extLst>
    </bk>
    <bk>
      <extLst>
        <ext uri="{3e2802c4-a4d2-4d8b-9148-e3be6c30e623}">
          <xlrd:rvb i="531"/>
        </ext>
      </extLst>
    </bk>
    <bk>
      <extLst>
        <ext uri="{3e2802c4-a4d2-4d8b-9148-e3be6c30e623}">
          <xlrd:rvb i="534"/>
        </ext>
      </extLst>
    </bk>
    <bk>
      <extLst>
        <ext uri="{3e2802c4-a4d2-4d8b-9148-e3be6c30e623}">
          <xlrd:rvb i="537"/>
        </ext>
      </extLst>
    </bk>
    <bk>
      <extLst>
        <ext uri="{3e2802c4-a4d2-4d8b-9148-e3be6c30e623}">
          <xlrd:rvb i="540"/>
        </ext>
      </extLst>
    </bk>
    <bk>
      <extLst>
        <ext uri="{3e2802c4-a4d2-4d8b-9148-e3be6c30e623}">
          <xlrd:rvb i="543"/>
        </ext>
      </extLst>
    </bk>
    <bk>
      <extLst>
        <ext uri="{3e2802c4-a4d2-4d8b-9148-e3be6c30e623}">
          <xlrd:rvb i="546"/>
        </ext>
      </extLst>
    </bk>
    <bk>
      <extLst>
        <ext uri="{3e2802c4-a4d2-4d8b-9148-e3be6c30e623}">
          <xlrd:rvb i="549"/>
        </ext>
      </extLst>
    </bk>
    <bk>
      <extLst>
        <ext uri="{3e2802c4-a4d2-4d8b-9148-e3be6c30e623}">
          <xlrd:rvb i="552"/>
        </ext>
      </extLst>
    </bk>
    <bk>
      <extLst>
        <ext uri="{3e2802c4-a4d2-4d8b-9148-e3be6c30e623}">
          <xlrd:rvb i="555"/>
        </ext>
      </extLst>
    </bk>
    <bk>
      <extLst>
        <ext uri="{3e2802c4-a4d2-4d8b-9148-e3be6c30e623}">
          <xlrd:rvb i="558"/>
        </ext>
      </extLst>
    </bk>
    <bk>
      <extLst>
        <ext uri="{3e2802c4-a4d2-4d8b-9148-e3be6c30e623}">
          <xlrd:rvb i="561"/>
        </ext>
      </extLst>
    </bk>
    <bk>
      <extLst>
        <ext uri="{3e2802c4-a4d2-4d8b-9148-e3be6c30e623}">
          <xlrd:rvb i="564"/>
        </ext>
      </extLst>
    </bk>
    <bk>
      <extLst>
        <ext uri="{3e2802c4-a4d2-4d8b-9148-e3be6c30e623}">
          <xlrd:rvb i="567"/>
        </ext>
      </extLst>
    </bk>
    <bk>
      <extLst>
        <ext uri="{3e2802c4-a4d2-4d8b-9148-e3be6c30e623}">
          <xlrd:rvb i="570"/>
        </ext>
      </extLst>
    </bk>
    <bk>
      <extLst>
        <ext uri="{3e2802c4-a4d2-4d8b-9148-e3be6c30e623}">
          <xlrd:rvb i="573"/>
        </ext>
      </extLst>
    </bk>
    <bk>
      <extLst>
        <ext uri="{3e2802c4-a4d2-4d8b-9148-e3be6c30e623}">
          <xlrd:rvb i="576"/>
        </ext>
      </extLst>
    </bk>
    <bk>
      <extLst>
        <ext uri="{3e2802c4-a4d2-4d8b-9148-e3be6c30e623}">
          <xlrd:rvb i="579"/>
        </ext>
      </extLst>
    </bk>
    <bk>
      <extLst>
        <ext uri="{3e2802c4-a4d2-4d8b-9148-e3be6c30e623}">
          <xlrd:rvb i="582"/>
        </ext>
      </extLst>
    </bk>
    <bk>
      <extLst>
        <ext uri="{3e2802c4-a4d2-4d8b-9148-e3be6c30e623}">
          <xlrd:rvb i="585"/>
        </ext>
      </extLst>
    </bk>
    <bk>
      <extLst>
        <ext uri="{3e2802c4-a4d2-4d8b-9148-e3be6c30e623}">
          <xlrd:rvb i="588"/>
        </ext>
      </extLst>
    </bk>
    <bk>
      <extLst>
        <ext uri="{3e2802c4-a4d2-4d8b-9148-e3be6c30e623}">
          <xlrd:rvb i="591"/>
        </ext>
      </extLst>
    </bk>
    <bk>
      <extLst>
        <ext uri="{3e2802c4-a4d2-4d8b-9148-e3be6c30e623}">
          <xlrd:rvb i="594"/>
        </ext>
      </extLst>
    </bk>
    <bk>
      <extLst>
        <ext uri="{3e2802c4-a4d2-4d8b-9148-e3be6c30e623}">
          <xlrd:rvb i="597"/>
        </ext>
      </extLst>
    </bk>
    <bk>
      <extLst>
        <ext uri="{3e2802c4-a4d2-4d8b-9148-e3be6c30e623}">
          <xlrd:rvb i="600"/>
        </ext>
      </extLst>
    </bk>
    <bk>
      <extLst>
        <ext uri="{3e2802c4-a4d2-4d8b-9148-e3be6c30e623}">
          <xlrd:rvb i="603"/>
        </ext>
      </extLst>
    </bk>
    <bk>
      <extLst>
        <ext uri="{3e2802c4-a4d2-4d8b-9148-e3be6c30e623}">
          <xlrd:rvb i="606"/>
        </ext>
      </extLst>
    </bk>
    <bk>
      <extLst>
        <ext uri="{3e2802c4-a4d2-4d8b-9148-e3be6c30e623}">
          <xlrd:rvb i="609"/>
        </ext>
      </extLst>
    </bk>
    <bk>
      <extLst>
        <ext uri="{3e2802c4-a4d2-4d8b-9148-e3be6c30e623}">
          <xlrd:rvb i="612"/>
        </ext>
      </extLst>
    </bk>
    <bk>
      <extLst>
        <ext uri="{3e2802c4-a4d2-4d8b-9148-e3be6c30e623}">
          <xlrd:rvb i="615"/>
        </ext>
      </extLst>
    </bk>
    <bk>
      <extLst>
        <ext uri="{3e2802c4-a4d2-4d8b-9148-e3be6c30e623}">
          <xlrd:rvb i="618"/>
        </ext>
      </extLst>
    </bk>
    <bk>
      <extLst>
        <ext uri="{3e2802c4-a4d2-4d8b-9148-e3be6c30e623}">
          <xlrd:rvb i="621"/>
        </ext>
      </extLst>
    </bk>
    <bk>
      <extLst>
        <ext uri="{3e2802c4-a4d2-4d8b-9148-e3be6c30e623}">
          <xlrd:rvb i="624"/>
        </ext>
      </extLst>
    </bk>
    <bk>
      <extLst>
        <ext uri="{3e2802c4-a4d2-4d8b-9148-e3be6c30e623}">
          <xlrd:rvb i="627"/>
        </ext>
      </extLst>
    </bk>
    <bk>
      <extLst>
        <ext uri="{3e2802c4-a4d2-4d8b-9148-e3be6c30e623}">
          <xlrd:rvb i="630"/>
        </ext>
      </extLst>
    </bk>
    <bk>
      <extLst>
        <ext uri="{3e2802c4-a4d2-4d8b-9148-e3be6c30e623}">
          <xlrd:rvb i="633"/>
        </ext>
      </extLst>
    </bk>
    <bk>
      <extLst>
        <ext uri="{3e2802c4-a4d2-4d8b-9148-e3be6c30e623}">
          <xlrd:rvb i="636"/>
        </ext>
      </extLst>
    </bk>
    <bk>
      <extLst>
        <ext uri="{3e2802c4-a4d2-4d8b-9148-e3be6c30e623}">
          <xlrd:rvb i="639"/>
        </ext>
      </extLst>
    </bk>
    <bk>
      <extLst>
        <ext uri="{3e2802c4-a4d2-4d8b-9148-e3be6c30e623}">
          <xlrd:rvb i="642"/>
        </ext>
      </extLst>
    </bk>
    <bk>
      <extLst>
        <ext uri="{3e2802c4-a4d2-4d8b-9148-e3be6c30e623}">
          <xlrd:rvb i="645"/>
        </ext>
      </extLst>
    </bk>
    <bk>
      <extLst>
        <ext uri="{3e2802c4-a4d2-4d8b-9148-e3be6c30e623}">
          <xlrd:rvb i="648"/>
        </ext>
      </extLst>
    </bk>
    <bk>
      <extLst>
        <ext uri="{3e2802c4-a4d2-4d8b-9148-e3be6c30e623}">
          <xlrd:rvb i="651"/>
        </ext>
      </extLst>
    </bk>
    <bk>
      <extLst>
        <ext uri="{3e2802c4-a4d2-4d8b-9148-e3be6c30e623}">
          <xlrd:rvb i="654"/>
        </ext>
      </extLst>
    </bk>
    <bk>
      <extLst>
        <ext uri="{3e2802c4-a4d2-4d8b-9148-e3be6c30e623}">
          <xlrd:rvb i="657"/>
        </ext>
      </extLst>
    </bk>
    <bk>
      <extLst>
        <ext uri="{3e2802c4-a4d2-4d8b-9148-e3be6c30e623}">
          <xlrd:rvb i="660"/>
        </ext>
      </extLst>
    </bk>
    <bk>
      <extLst>
        <ext uri="{3e2802c4-a4d2-4d8b-9148-e3be6c30e623}">
          <xlrd:rvb i="663"/>
        </ext>
      </extLst>
    </bk>
    <bk>
      <extLst>
        <ext uri="{3e2802c4-a4d2-4d8b-9148-e3be6c30e623}">
          <xlrd:rvb i="666"/>
        </ext>
      </extLst>
    </bk>
    <bk>
      <extLst>
        <ext uri="{3e2802c4-a4d2-4d8b-9148-e3be6c30e623}">
          <xlrd:rvb i="669"/>
        </ext>
      </extLst>
    </bk>
    <bk>
      <extLst>
        <ext uri="{3e2802c4-a4d2-4d8b-9148-e3be6c30e623}">
          <xlrd:rvb i="672"/>
        </ext>
      </extLst>
    </bk>
    <bk>
      <extLst>
        <ext uri="{3e2802c4-a4d2-4d8b-9148-e3be6c30e623}">
          <xlrd:rvb i="675"/>
        </ext>
      </extLst>
    </bk>
    <bk>
      <extLst>
        <ext uri="{3e2802c4-a4d2-4d8b-9148-e3be6c30e623}">
          <xlrd:rvb i="678"/>
        </ext>
      </extLst>
    </bk>
    <bk>
      <extLst>
        <ext uri="{3e2802c4-a4d2-4d8b-9148-e3be6c30e623}">
          <xlrd:rvb i="681"/>
        </ext>
      </extLst>
    </bk>
    <bk>
      <extLst>
        <ext uri="{3e2802c4-a4d2-4d8b-9148-e3be6c30e623}">
          <xlrd:rvb i="684"/>
        </ext>
      </extLst>
    </bk>
    <bk>
      <extLst>
        <ext uri="{3e2802c4-a4d2-4d8b-9148-e3be6c30e623}">
          <xlrd:rvb i="687"/>
        </ext>
      </extLst>
    </bk>
    <bk>
      <extLst>
        <ext uri="{3e2802c4-a4d2-4d8b-9148-e3be6c30e623}">
          <xlrd:rvb i="690"/>
        </ext>
      </extLst>
    </bk>
    <bk>
      <extLst>
        <ext uri="{3e2802c4-a4d2-4d8b-9148-e3be6c30e623}">
          <xlrd:rvb i="693"/>
        </ext>
      </extLst>
    </bk>
    <bk>
      <extLst>
        <ext uri="{3e2802c4-a4d2-4d8b-9148-e3be6c30e623}">
          <xlrd:rvb i="696"/>
        </ext>
      </extLst>
    </bk>
    <bk>
      <extLst>
        <ext uri="{3e2802c4-a4d2-4d8b-9148-e3be6c30e623}">
          <xlrd:rvb i="699"/>
        </ext>
      </extLst>
    </bk>
    <bk>
      <extLst>
        <ext uri="{3e2802c4-a4d2-4d8b-9148-e3be6c30e623}">
          <xlrd:rvb i="702"/>
        </ext>
      </extLst>
    </bk>
    <bk>
      <extLst>
        <ext uri="{3e2802c4-a4d2-4d8b-9148-e3be6c30e623}">
          <xlrd:rvb i="705"/>
        </ext>
      </extLst>
    </bk>
    <bk>
      <extLst>
        <ext uri="{3e2802c4-a4d2-4d8b-9148-e3be6c30e623}">
          <xlrd:rvb i="708"/>
        </ext>
      </extLst>
    </bk>
    <bk>
      <extLst>
        <ext uri="{3e2802c4-a4d2-4d8b-9148-e3be6c30e623}">
          <xlrd:rvb i="711"/>
        </ext>
      </extLst>
    </bk>
    <bk>
      <extLst>
        <ext uri="{3e2802c4-a4d2-4d8b-9148-e3be6c30e623}">
          <xlrd:rvb i="714"/>
        </ext>
      </extLst>
    </bk>
    <bk>
      <extLst>
        <ext uri="{3e2802c4-a4d2-4d8b-9148-e3be6c30e623}">
          <xlrd:rvb i="717"/>
        </ext>
      </extLst>
    </bk>
    <bk>
      <extLst>
        <ext uri="{3e2802c4-a4d2-4d8b-9148-e3be6c30e623}">
          <xlrd:rvb i="720"/>
        </ext>
      </extLst>
    </bk>
    <bk>
      <extLst>
        <ext uri="{3e2802c4-a4d2-4d8b-9148-e3be6c30e623}">
          <xlrd:rvb i="723"/>
        </ext>
      </extLst>
    </bk>
    <bk>
      <extLst>
        <ext uri="{3e2802c4-a4d2-4d8b-9148-e3be6c30e623}">
          <xlrd:rvb i="726"/>
        </ext>
      </extLst>
    </bk>
    <bk>
      <extLst>
        <ext uri="{3e2802c4-a4d2-4d8b-9148-e3be6c30e623}">
          <xlrd:rvb i="732"/>
        </ext>
      </extLst>
    </bk>
    <bk>
      <extLst>
        <ext uri="{3e2802c4-a4d2-4d8b-9148-e3be6c30e623}">
          <xlrd:rvb i="735"/>
        </ext>
      </extLst>
    </bk>
    <bk>
      <extLst>
        <ext uri="{3e2802c4-a4d2-4d8b-9148-e3be6c30e623}">
          <xlrd:rvb i="738"/>
        </ext>
      </extLst>
    </bk>
    <bk>
      <extLst>
        <ext uri="{3e2802c4-a4d2-4d8b-9148-e3be6c30e623}">
          <xlrd:rvb i="741"/>
        </ext>
      </extLst>
    </bk>
    <bk>
      <extLst>
        <ext uri="{3e2802c4-a4d2-4d8b-9148-e3be6c30e623}">
          <xlrd:rvb i="744"/>
        </ext>
      </extLst>
    </bk>
    <bk>
      <extLst>
        <ext uri="{3e2802c4-a4d2-4d8b-9148-e3be6c30e623}">
          <xlrd:rvb i="747"/>
        </ext>
      </extLst>
    </bk>
    <bk>
      <extLst>
        <ext uri="{3e2802c4-a4d2-4d8b-9148-e3be6c30e623}">
          <xlrd:rvb i="750"/>
        </ext>
      </extLst>
    </bk>
    <bk>
      <extLst>
        <ext uri="{3e2802c4-a4d2-4d8b-9148-e3be6c30e623}">
          <xlrd:rvb i="753"/>
        </ext>
      </extLst>
    </bk>
    <bk>
      <extLst>
        <ext uri="{3e2802c4-a4d2-4d8b-9148-e3be6c30e623}">
          <xlrd:rvb i="756"/>
        </ext>
      </extLst>
    </bk>
    <bk>
      <extLst>
        <ext uri="{3e2802c4-a4d2-4d8b-9148-e3be6c30e623}">
          <xlrd:rvb i="759"/>
        </ext>
      </extLst>
    </bk>
    <bk>
      <extLst>
        <ext uri="{3e2802c4-a4d2-4d8b-9148-e3be6c30e623}">
          <xlrd:rvb i="762"/>
        </ext>
      </extLst>
    </bk>
    <bk>
      <extLst>
        <ext uri="{3e2802c4-a4d2-4d8b-9148-e3be6c30e623}">
          <xlrd:rvb i="765"/>
        </ext>
      </extLst>
    </bk>
    <bk>
      <extLst>
        <ext uri="{3e2802c4-a4d2-4d8b-9148-e3be6c30e623}">
          <xlrd:rvb i="768"/>
        </ext>
      </extLst>
    </bk>
    <bk>
      <extLst>
        <ext uri="{3e2802c4-a4d2-4d8b-9148-e3be6c30e623}">
          <xlrd:rvb i="771"/>
        </ext>
      </extLst>
    </bk>
    <bk>
      <extLst>
        <ext uri="{3e2802c4-a4d2-4d8b-9148-e3be6c30e623}">
          <xlrd:rvb i="774"/>
        </ext>
      </extLst>
    </bk>
    <bk>
      <extLst>
        <ext uri="{3e2802c4-a4d2-4d8b-9148-e3be6c30e623}">
          <xlrd:rvb i="777"/>
        </ext>
      </extLst>
    </bk>
    <bk>
      <extLst>
        <ext uri="{3e2802c4-a4d2-4d8b-9148-e3be6c30e623}">
          <xlrd:rvb i="780"/>
        </ext>
      </extLst>
    </bk>
    <bk>
      <extLst>
        <ext uri="{3e2802c4-a4d2-4d8b-9148-e3be6c30e623}">
          <xlrd:rvb i="783"/>
        </ext>
      </extLst>
    </bk>
    <bk>
      <extLst>
        <ext uri="{3e2802c4-a4d2-4d8b-9148-e3be6c30e623}">
          <xlrd:rvb i="786"/>
        </ext>
      </extLst>
    </bk>
    <bk>
      <extLst>
        <ext uri="{3e2802c4-a4d2-4d8b-9148-e3be6c30e623}">
          <xlrd:rvb i="789"/>
        </ext>
      </extLst>
    </bk>
    <bk>
      <extLst>
        <ext uri="{3e2802c4-a4d2-4d8b-9148-e3be6c30e623}">
          <xlrd:rvb i="792"/>
        </ext>
      </extLst>
    </bk>
    <bk>
      <extLst>
        <ext uri="{3e2802c4-a4d2-4d8b-9148-e3be6c30e623}">
          <xlrd:rvb i="795"/>
        </ext>
      </extLst>
    </bk>
    <bk>
      <extLst>
        <ext uri="{3e2802c4-a4d2-4d8b-9148-e3be6c30e623}">
          <xlrd:rvb i="798"/>
        </ext>
      </extLst>
    </bk>
    <bk>
      <extLst>
        <ext uri="{3e2802c4-a4d2-4d8b-9148-e3be6c30e623}">
          <xlrd:rvb i="801"/>
        </ext>
      </extLst>
    </bk>
    <bk>
      <extLst>
        <ext uri="{3e2802c4-a4d2-4d8b-9148-e3be6c30e623}">
          <xlrd:rvb i="804"/>
        </ext>
      </extLst>
    </bk>
    <bk>
      <extLst>
        <ext uri="{3e2802c4-a4d2-4d8b-9148-e3be6c30e623}">
          <xlrd:rvb i="807"/>
        </ext>
      </extLst>
    </bk>
    <bk>
      <extLst>
        <ext uri="{3e2802c4-a4d2-4d8b-9148-e3be6c30e623}">
          <xlrd:rvb i="810"/>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2"/>
        </ext>
      </extLst>
    </bk>
  </futureMetadata>
  <cellMetadata count="1">
    <bk>
      <rc t="1" v="0"/>
    </bk>
  </cellMetadata>
  <valueMetadata count="27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valueMetadata>
</metadata>
</file>

<file path=xl/sharedStrings.xml><?xml version="1.0" encoding="utf-8"?>
<sst xmlns="http://schemas.openxmlformats.org/spreadsheetml/2006/main" count="1696" uniqueCount="1287">
  <si>
    <t>02/0/2024</t>
  </si>
  <si>
    <t>16/0/2024</t>
  </si>
  <si>
    <t>06/092024</t>
  </si>
  <si>
    <t>EQPA7</t>
  </si>
  <si>
    <t>CGRA4</t>
  </si>
  <si>
    <t>ISAE4</t>
  </si>
  <si>
    <t>BEES3</t>
  </si>
  <si>
    <t>ABEV3</t>
  </si>
  <si>
    <t>RPMG3</t>
  </si>
  <si>
    <t>DMVF3</t>
  </si>
  <si>
    <t>SLCE3</t>
  </si>
  <si>
    <t>EUCA4</t>
  </si>
  <si>
    <t>SANB4</t>
  </si>
  <si>
    <t>WHRL4</t>
  </si>
  <si>
    <t>TELB4</t>
  </si>
  <si>
    <t>PETR4</t>
  </si>
  <si>
    <t>PSSA3</t>
  </si>
  <si>
    <t>SHUL4</t>
  </si>
  <si>
    <t>LEVE3</t>
  </si>
  <si>
    <t>CPLE6</t>
  </si>
  <si>
    <t>CEBR6</t>
  </si>
  <si>
    <t>PRNR3</t>
  </si>
  <si>
    <t>CMIG4</t>
  </si>
  <si>
    <t>BEES4</t>
  </si>
  <si>
    <t>POMO3</t>
  </si>
  <si>
    <t>BMOB3</t>
  </si>
  <si>
    <t>MTSA4</t>
  </si>
  <si>
    <t>CAMB3</t>
  </si>
  <si>
    <t>BRAP3</t>
  </si>
  <si>
    <t>HAGA4</t>
  </si>
  <si>
    <t>SANB3</t>
  </si>
  <si>
    <t>CSUD3</t>
  </si>
  <si>
    <t>TOTS3</t>
  </si>
  <si>
    <t>GGBR3</t>
  </si>
  <si>
    <t>CRFB3</t>
  </si>
  <si>
    <t>SAPR3</t>
  </si>
  <si>
    <t>ABCB4</t>
  </si>
  <si>
    <t>BRSR6</t>
  </si>
  <si>
    <t>PORT3</t>
  </si>
  <si>
    <t>PINE4</t>
  </si>
  <si>
    <t>ITSA3</t>
  </si>
  <si>
    <t>MEAL3</t>
  </si>
  <si>
    <t>BBSE3</t>
  </si>
  <si>
    <t>GOAU3</t>
  </si>
  <si>
    <t>ITUB4</t>
  </si>
  <si>
    <t>AGRO3</t>
  </si>
  <si>
    <t>BMGB4</t>
  </si>
  <si>
    <t>LAND3</t>
  </si>
  <si>
    <t>GGBR4</t>
  </si>
  <si>
    <t>ITSA4</t>
  </si>
  <si>
    <t>SMFT3</t>
  </si>
  <si>
    <t>FLRY3</t>
  </si>
  <si>
    <t>ROMI3</t>
  </si>
  <si>
    <t>TAEE4</t>
  </si>
  <si>
    <t>RAIL3</t>
  </si>
  <si>
    <t>CYRE3</t>
  </si>
  <si>
    <t>CXSE3</t>
  </si>
  <si>
    <t>ALLD3</t>
  </si>
  <si>
    <t>DEXP3</t>
  </si>
  <si>
    <t>VLID3</t>
  </si>
  <si>
    <t>HAGA3</t>
  </si>
  <si>
    <t>BRAV3</t>
  </si>
  <si>
    <t>ITUB3</t>
  </si>
  <si>
    <t>STBP3</t>
  </si>
  <si>
    <t>TEND3</t>
  </si>
  <si>
    <t>FRAS3</t>
  </si>
  <si>
    <t>ALUP4</t>
  </si>
  <si>
    <t>ALPA4</t>
  </si>
  <si>
    <t>TGMA3</t>
  </si>
  <si>
    <t>REDE3</t>
  </si>
  <si>
    <t>RNEW3</t>
  </si>
  <si>
    <t>CVCB3</t>
  </si>
  <si>
    <t>ORVR3</t>
  </si>
  <si>
    <t>IRBR3</t>
  </si>
  <si>
    <t>EALT4</t>
  </si>
  <si>
    <t>GRND3</t>
  </si>
  <si>
    <t>BPAN4</t>
  </si>
  <si>
    <t>WEGE3</t>
  </si>
  <si>
    <t>EGIE3</t>
  </si>
  <si>
    <t>JBSS3</t>
  </si>
  <si>
    <t>PFRM3</t>
  </si>
  <si>
    <t>EQTL3</t>
  </si>
  <si>
    <t>NEOE3</t>
  </si>
  <si>
    <t>POSI3</t>
  </si>
  <si>
    <t>WEST3</t>
  </si>
  <si>
    <t>MDIA3</t>
  </si>
  <si>
    <t>SAPR4</t>
  </si>
  <si>
    <t>AURE3</t>
  </si>
  <si>
    <t>RNEW4</t>
  </si>
  <si>
    <t>LAVV3</t>
  </si>
  <si>
    <t>EZTC3</t>
  </si>
  <si>
    <t>SUZB3</t>
  </si>
  <si>
    <t>BMEB4</t>
  </si>
  <si>
    <t>CPLE3</t>
  </si>
  <si>
    <t>PETR3</t>
  </si>
  <si>
    <t>BBDC3</t>
  </si>
  <si>
    <t>POMO4</t>
  </si>
  <si>
    <t>VALE3</t>
  </si>
  <si>
    <t>RADL3</t>
  </si>
  <si>
    <t>GGPS3</t>
  </si>
  <si>
    <t>HBSA3</t>
  </si>
  <si>
    <t>CCRO3</t>
  </si>
  <si>
    <t>MELK3</t>
  </si>
  <si>
    <t>CPFE3</t>
  </si>
  <si>
    <t>SBSP3</t>
  </si>
  <si>
    <t>SOJA3</t>
  </si>
  <si>
    <t>PTNT4</t>
  </si>
  <si>
    <t>DESK3</t>
  </si>
  <si>
    <t>IGTI3</t>
  </si>
  <si>
    <t>KEPL3</t>
  </si>
  <si>
    <t>BBDC4</t>
  </si>
  <si>
    <t>MRFG3</t>
  </si>
  <si>
    <t>JFEN3</t>
  </si>
  <si>
    <t>USIM3</t>
  </si>
  <si>
    <t>CURY3</t>
  </si>
  <si>
    <t>UGPA3</t>
  </si>
  <si>
    <t>VBBR3</t>
  </si>
  <si>
    <t>TRIS3</t>
  </si>
  <si>
    <t>ELET3</t>
  </si>
  <si>
    <t>WIZC3</t>
  </si>
  <si>
    <t>DIRR3</t>
  </si>
  <si>
    <t>NTCO3</t>
  </si>
  <si>
    <t>EVEN3</t>
  </si>
  <si>
    <t>OPCT3</t>
  </si>
  <si>
    <t>UCAS3</t>
  </si>
  <si>
    <t>USIM5</t>
  </si>
  <si>
    <t>JALL3</t>
  </si>
  <si>
    <t>BRAP4</t>
  </si>
  <si>
    <t>CSMG3</t>
  </si>
  <si>
    <t>RENT3</t>
  </si>
  <si>
    <t>RAPT4</t>
  </si>
  <si>
    <t>RAPT3</t>
  </si>
  <si>
    <t>MBLY3</t>
  </si>
  <si>
    <t>GOAU4</t>
  </si>
  <si>
    <t>DOHL4</t>
  </si>
  <si>
    <t>BRFS3</t>
  </si>
  <si>
    <t>INTB3</t>
  </si>
  <si>
    <t>CBAV3</t>
  </si>
  <si>
    <t>KLBN3</t>
  </si>
  <si>
    <t>GMAT3</t>
  </si>
  <si>
    <t>TIMS3</t>
  </si>
  <si>
    <t>BPAC3</t>
  </si>
  <si>
    <t>VIVA3</t>
  </si>
  <si>
    <t>LOGG3</t>
  </si>
  <si>
    <t>QUAL3</t>
  </si>
  <si>
    <t>PNVL3</t>
  </si>
  <si>
    <t>CLSA3</t>
  </si>
  <si>
    <t>KLBN4</t>
  </si>
  <si>
    <t>BPAC5</t>
  </si>
  <si>
    <t>DXCO3</t>
  </si>
  <si>
    <t>MYPK3</t>
  </si>
  <si>
    <t>UNIP6</t>
  </si>
  <si>
    <t>VIVT3</t>
  </si>
  <si>
    <t>PGMN3</t>
  </si>
  <si>
    <t>TFCO4</t>
  </si>
  <si>
    <t>ENEV3</t>
  </si>
  <si>
    <t>LIGT3</t>
  </si>
  <si>
    <t>CSED3</t>
  </si>
  <si>
    <t>MULT3</t>
  </si>
  <si>
    <t>MILS3</t>
  </si>
  <si>
    <t>TUPY3</t>
  </si>
  <si>
    <t>SCAR3</t>
  </si>
  <si>
    <t>LWSA3</t>
  </si>
  <si>
    <t>LPSB3</t>
  </si>
  <si>
    <t>MTRE3</t>
  </si>
  <si>
    <t>EMBR3</t>
  </si>
  <si>
    <t>ENGI4</t>
  </si>
  <si>
    <t>ANIM3</t>
  </si>
  <si>
    <t>PRIO3</t>
  </si>
  <si>
    <t>ODPV3</t>
  </si>
  <si>
    <t>RECV3</t>
  </si>
  <si>
    <t>MDNE3</t>
  </si>
  <si>
    <t>RCSL4</t>
  </si>
  <si>
    <t>TPIS3</t>
  </si>
  <si>
    <t>TASA4</t>
  </si>
  <si>
    <t>SNSY5</t>
  </si>
  <si>
    <t>RDOR3</t>
  </si>
  <si>
    <t>ALPA3</t>
  </si>
  <si>
    <t>LVTC3</t>
  </si>
  <si>
    <t>BEEF3</t>
  </si>
  <si>
    <t>ESPA3</t>
  </si>
  <si>
    <t>MLAS3</t>
  </si>
  <si>
    <t>ASAI3</t>
  </si>
  <si>
    <t>B3SA3</t>
  </si>
  <si>
    <t>KRSA3</t>
  </si>
  <si>
    <t>BOBR4</t>
  </si>
  <si>
    <t>ETER3</t>
  </si>
  <si>
    <t>BLAU3</t>
  </si>
  <si>
    <t>MATD3</t>
  </si>
  <si>
    <t>TRAD3</t>
  </si>
  <si>
    <t>VULC3</t>
  </si>
  <si>
    <t>LUPA3</t>
  </si>
  <si>
    <t>ECOR3</t>
  </si>
  <si>
    <t>PDGR3</t>
  </si>
  <si>
    <t>COCE5</t>
  </si>
  <si>
    <t>CEAB3</t>
  </si>
  <si>
    <t>AMBP3</t>
  </si>
  <si>
    <t>NGRD3</t>
  </si>
  <si>
    <t>SEER3</t>
  </si>
  <si>
    <t>TASA3</t>
  </si>
  <si>
    <t>SBFG3</t>
  </si>
  <si>
    <t>TECN3</t>
  </si>
  <si>
    <t>SMTO3</t>
  </si>
  <si>
    <t>RANI3</t>
  </si>
  <si>
    <t>PETZ3</t>
  </si>
  <si>
    <t>LREN3</t>
  </si>
  <si>
    <t>YDUQ3</t>
  </si>
  <si>
    <t>JSLG3</t>
  </si>
  <si>
    <t>ONCO3</t>
  </si>
  <si>
    <t>AALR3</t>
  </si>
  <si>
    <t>HBOR3</t>
  </si>
  <si>
    <t>CRPG5</t>
  </si>
  <si>
    <t>LOGN3</t>
  </si>
  <si>
    <t>VAMO3</t>
  </si>
  <si>
    <t>JHSF3</t>
  </si>
  <si>
    <t>SIMH3</t>
  </si>
  <si>
    <t>GUAR3</t>
  </si>
  <si>
    <t>SGPS3</t>
  </si>
  <si>
    <t>COGN3</t>
  </si>
  <si>
    <t>OIBR4</t>
  </si>
  <si>
    <t>VITT3</t>
  </si>
  <si>
    <t>PTBL3</t>
  </si>
  <si>
    <t>VVEO3</t>
  </si>
  <si>
    <t>HBRE3</t>
  </si>
  <si>
    <t>RDNI3</t>
  </si>
  <si>
    <t>PCAR3</t>
  </si>
  <si>
    <t>CASH3</t>
  </si>
  <si>
    <t>FHER3</t>
  </si>
  <si>
    <t>GFSA3</t>
  </si>
  <si>
    <t>HYPE3</t>
  </si>
  <si>
    <t>ENJU3</t>
  </si>
  <si>
    <t>RAIZ4</t>
  </si>
  <si>
    <t>BBAS3</t>
  </si>
  <si>
    <t>EPAR3</t>
  </si>
  <si>
    <t>SYNE3</t>
  </si>
  <si>
    <t>MRVE3</t>
  </si>
  <si>
    <t>MOVI3</t>
  </si>
  <si>
    <t>AZEV4</t>
  </si>
  <si>
    <t>CSNA3</t>
  </si>
  <si>
    <t>CTNM4</t>
  </si>
  <si>
    <t>IFCM3</t>
  </si>
  <si>
    <t>HAPV3</t>
  </si>
  <si>
    <t>SEQL3</t>
  </si>
  <si>
    <t>ZAMP3</t>
  </si>
  <si>
    <t>INEP4</t>
  </si>
  <si>
    <t>OIBR3</t>
  </si>
  <si>
    <t>CSAN3</t>
  </si>
  <si>
    <t>BRKM3</t>
  </si>
  <si>
    <t>SHOW3</t>
  </si>
  <si>
    <t>AZEV3</t>
  </si>
  <si>
    <t>GOLL4</t>
  </si>
  <si>
    <t>CAML3</t>
  </si>
  <si>
    <t>FESA4</t>
  </si>
  <si>
    <t>LJQQ3</t>
  </si>
  <si>
    <t>VIVR3</t>
  </si>
  <si>
    <t>DASA3</t>
  </si>
  <si>
    <t>RSID3</t>
  </si>
  <si>
    <t>TCSA3</t>
  </si>
  <si>
    <t>AZUL4</t>
  </si>
  <si>
    <t>DOTZ3</t>
  </si>
  <si>
    <t>PMAM3</t>
  </si>
  <si>
    <t>VSTE3</t>
  </si>
  <si>
    <t>MGEL4</t>
  </si>
  <si>
    <t>RCSL3</t>
  </si>
  <si>
    <t>ARML3</t>
  </si>
  <si>
    <t>ATMP3</t>
  </si>
  <si>
    <t>CIEL3</t>
  </si>
  <si>
    <t>TAEE3</t>
  </si>
  <si>
    <t>Amplitude</t>
  </si>
  <si>
    <t>K (3)</t>
  </si>
  <si>
    <t>K (9)</t>
  </si>
  <si>
    <t>K (5)</t>
  </si>
  <si>
    <t>Cotação</t>
  </si>
  <si>
    <t>Menor</t>
  </si>
  <si>
    <t>Fechamento</t>
  </si>
  <si>
    <t>K(2)</t>
  </si>
  <si>
    <t>Delta</t>
  </si>
  <si>
    <t>DesvP</t>
  </si>
  <si>
    <t>Maior</t>
  </si>
  <si>
    <t>k(17)</t>
  </si>
  <si>
    <t>k (33)</t>
  </si>
  <si>
    <t>k (65)</t>
  </si>
  <si>
    <t>k (17)</t>
  </si>
  <si>
    <t>k (65</t>
  </si>
  <si>
    <t>Volume</t>
  </si>
  <si>
    <t>B</t>
  </si>
  <si>
    <t>Papel</t>
  </si>
  <si>
    <t>P/L</t>
  </si>
  <si>
    <t>P/VP</t>
  </si>
  <si>
    <t>PSR</t>
  </si>
  <si>
    <t>Div.Yield</t>
  </si>
  <si>
    <t>P/Ativo</t>
  </si>
  <si>
    <t>P/Cap.Giro</t>
  </si>
  <si>
    <t>P/EBIT</t>
  </si>
  <si>
    <t>P/Ativ Circ.Liq</t>
  </si>
  <si>
    <t>EV/EBIT</t>
  </si>
  <si>
    <t>EV/EBITDA</t>
  </si>
  <si>
    <t>Mrg Ebit</t>
  </si>
  <si>
    <t>Mrg. Líq.</t>
  </si>
  <si>
    <t>Liq. Corr.</t>
  </si>
  <si>
    <t>ROIC</t>
  </si>
  <si>
    <t>ROE</t>
  </si>
  <si>
    <t>Liq.2meses</t>
  </si>
  <si>
    <t>Patrim. Líq</t>
  </si>
  <si>
    <t>Dív.Brut/ Patrim.</t>
  </si>
  <si>
    <t>Cresc. Rec.5a</t>
  </si>
  <si>
    <t>ADHM3</t>
  </si>
  <si>
    <t>AERI3</t>
  </si>
  <si>
    <t>AFLT3</t>
  </si>
  <si>
    <t>AGXY3</t>
  </si>
  <si>
    <t>AHEB3</t>
  </si>
  <si>
    <t>AHEB5</t>
  </si>
  <si>
    <t>ALOS3</t>
  </si>
  <si>
    <t>ALPK3</t>
  </si>
  <si>
    <t>ALUP11</t>
  </si>
  <si>
    <t>ALUP3</t>
  </si>
  <si>
    <t>AMAR3</t>
  </si>
  <si>
    <t>AMER3</t>
  </si>
  <si>
    <t>AMOB3</t>
  </si>
  <si>
    <t>ATED3</t>
  </si>
  <si>
    <t>AURA33</t>
  </si>
  <si>
    <t>AVLL3</t>
  </si>
  <si>
    <t>AZTE3</t>
  </si>
  <si>
    <t>AZZA3</t>
  </si>
  <si>
    <t>BALM3</t>
  </si>
  <si>
    <t>BALM4</t>
  </si>
  <si>
    <t>BAUH4</t>
  </si>
  <si>
    <t>BAZA3</t>
  </si>
  <si>
    <t>BDLL3</t>
  </si>
  <si>
    <t>BDLL4</t>
  </si>
  <si>
    <t>BGIP3</t>
  </si>
  <si>
    <t>BGIP4</t>
  </si>
  <si>
    <t>BHIA3</t>
  </si>
  <si>
    <t>BIED3</t>
  </si>
  <si>
    <t>BIOM3</t>
  </si>
  <si>
    <t>BLUT3</t>
  </si>
  <si>
    <t>BLUT4</t>
  </si>
  <si>
    <t>BMEB3</t>
  </si>
  <si>
    <t>BMIN3</t>
  </si>
  <si>
    <t>BMIN4</t>
  </si>
  <si>
    <t>BMKS3</t>
  </si>
  <si>
    <t>BNBR3</t>
  </si>
  <si>
    <t>BPAC11</t>
  </si>
  <si>
    <t>BRBI11</t>
  </si>
  <si>
    <t>BRKM5</t>
  </si>
  <si>
    <t>BRKM6</t>
  </si>
  <si>
    <t>BRSR3</t>
  </si>
  <si>
    <t>BRSR5</t>
  </si>
  <si>
    <t>BRST3</t>
  </si>
  <si>
    <t>BSLI3</t>
  </si>
  <si>
    <t>BSLI4</t>
  </si>
  <si>
    <t>CBEE3</t>
  </si>
  <si>
    <t>CEBR3</t>
  </si>
  <si>
    <t>CEBR5</t>
  </si>
  <si>
    <t>CEDO3</t>
  </si>
  <si>
    <t>CEDO4</t>
  </si>
  <si>
    <t>CEEB3</t>
  </si>
  <si>
    <t>CEEB5</t>
  </si>
  <si>
    <t>CEED3</t>
  </si>
  <si>
    <t>CGAS3</t>
  </si>
  <si>
    <t>CGAS5</t>
  </si>
  <si>
    <t>CGRA3</t>
  </si>
  <si>
    <t>CLSC3</t>
  </si>
  <si>
    <t>CLSC4</t>
  </si>
  <si>
    <t>CMIG3</t>
  </si>
  <si>
    <t>CMIN3</t>
  </si>
  <si>
    <t>COCE3</t>
  </si>
  <si>
    <t>CPLE5</t>
  </si>
  <si>
    <t>CRPG3</t>
  </si>
  <si>
    <t>CRPG6</t>
  </si>
  <si>
    <t>CTKA3</t>
  </si>
  <si>
    <t>CTKA4</t>
  </si>
  <si>
    <t>CTSA3</t>
  </si>
  <si>
    <t>CTSA4</t>
  </si>
  <si>
    <t>DEXP4</t>
  </si>
  <si>
    <t>DOHL3</t>
  </si>
  <si>
    <t>DTCY3</t>
  </si>
  <si>
    <t>EALT3</t>
  </si>
  <si>
    <t>EKTR3</t>
  </si>
  <si>
    <t>EKTR4</t>
  </si>
  <si>
    <t>ELET6</t>
  </si>
  <si>
    <t>ELMD3</t>
  </si>
  <si>
    <t>EMAE4</t>
  </si>
  <si>
    <t>ENGI11</t>
  </si>
  <si>
    <t>ENGI3</t>
  </si>
  <si>
    <t>ENMT3</t>
  </si>
  <si>
    <t>ENMT4</t>
  </si>
  <si>
    <t>EQMA3B</t>
  </si>
  <si>
    <t>EQPA3</t>
  </si>
  <si>
    <t>EQPA5</t>
  </si>
  <si>
    <t>ESTR4</t>
  </si>
  <si>
    <t>EUCA3</t>
  </si>
  <si>
    <t>FESA3</t>
  </si>
  <si>
    <t>FICT3</t>
  </si>
  <si>
    <t>FIEI3</t>
  </si>
  <si>
    <t>FIQE3</t>
  </si>
  <si>
    <t>FRIO3</t>
  </si>
  <si>
    <t>GEPA3</t>
  </si>
  <si>
    <t>GEPA4</t>
  </si>
  <si>
    <t>GPAR3</t>
  </si>
  <si>
    <t>GPIV33</t>
  </si>
  <si>
    <t>GSHP3</t>
  </si>
  <si>
    <t>HBTS5</t>
  </si>
  <si>
    <t>HETA4</t>
  </si>
  <si>
    <t>HOOT4</t>
  </si>
  <si>
    <t>IGBR3</t>
  </si>
  <si>
    <t>IGTI11</t>
  </si>
  <si>
    <t>INEP3</t>
  </si>
  <si>
    <t>ISAE3</t>
  </si>
  <si>
    <t>JOPA3</t>
  </si>
  <si>
    <t>JPSA3</t>
  </si>
  <si>
    <t>KLBN11</t>
  </si>
  <si>
    <t>LIPR3</t>
  </si>
  <si>
    <t>LUXM4</t>
  </si>
  <si>
    <t>MAPT3</t>
  </si>
  <si>
    <t>MAPT4</t>
  </si>
  <si>
    <t>MGLU3</t>
  </si>
  <si>
    <t>MNDL3</t>
  </si>
  <si>
    <t>MNPR3</t>
  </si>
  <si>
    <t>MOAR3</t>
  </si>
  <si>
    <t>MOTV3</t>
  </si>
  <si>
    <t>MRSA3B</t>
  </si>
  <si>
    <t>MRSA5B</t>
  </si>
  <si>
    <t>MRSA6B</t>
  </si>
  <si>
    <t>MWET4</t>
  </si>
  <si>
    <t>NEXP3</t>
  </si>
  <si>
    <t>NORD3</t>
  </si>
  <si>
    <t>NUTR3</t>
  </si>
  <si>
    <t>OFSA3</t>
  </si>
  <si>
    <t>OSXB3</t>
  </si>
  <si>
    <t>PATI3</t>
  </si>
  <si>
    <t>PATI4</t>
  </si>
  <si>
    <t>PDTC3</t>
  </si>
  <si>
    <t>PEAB3</t>
  </si>
  <si>
    <t>PEAB4</t>
  </si>
  <si>
    <t>PINE3</t>
  </si>
  <si>
    <t>PLAS3</t>
  </si>
  <si>
    <t>PLPL3</t>
  </si>
  <si>
    <t>PTNT3</t>
  </si>
  <si>
    <t>REAG3</t>
  </si>
  <si>
    <t>RNEW11</t>
  </si>
  <si>
    <t>RPAD3</t>
  </si>
  <si>
    <t>RPAD5</t>
  </si>
  <si>
    <t>RPAD6</t>
  </si>
  <si>
    <t>RSUL4</t>
  </si>
  <si>
    <t>SANB11</t>
  </si>
  <si>
    <t>SAPR11</t>
  </si>
  <si>
    <t>SOND5</t>
  </si>
  <si>
    <t>SOND6</t>
  </si>
  <si>
    <t>SRNA3</t>
  </si>
  <si>
    <t>TAEE11</t>
  </si>
  <si>
    <t>TELB3</t>
  </si>
  <si>
    <t>TKNO4</t>
  </si>
  <si>
    <t>TTEN3</t>
  </si>
  <si>
    <t>TXRX3</t>
  </si>
  <si>
    <t>TXRX4</t>
  </si>
  <si>
    <t>UNIP3</t>
  </si>
  <si>
    <t>UNIP5</t>
  </si>
  <si>
    <t>USIM6</t>
  </si>
  <si>
    <t>VTRU3</t>
  </si>
  <si>
    <t>WHRL3</t>
  </si>
  <si>
    <t>WLMM3</t>
  </si>
  <si>
    <t>WLMM4</t>
  </si>
  <si>
    <t>Receita</t>
  </si>
  <si>
    <t>Circulação</t>
  </si>
  <si>
    <t>Lucro Líquido</t>
  </si>
  <si>
    <t>Dívida</t>
  </si>
  <si>
    <t>EV/EBTIDA</t>
  </si>
  <si>
    <t>Cresc. 5 anos</t>
  </si>
  <si>
    <t>Margem EBIT</t>
  </si>
  <si>
    <t>ROIC (capital)</t>
  </si>
  <si>
    <t>Caixa (Liq. Corr)</t>
  </si>
  <si>
    <t>Lucro</t>
  </si>
  <si>
    <t>Valor Patr.</t>
  </si>
  <si>
    <t>Cap. Giro</t>
  </si>
  <si>
    <t>Ticker</t>
  </si>
  <si>
    <t>Var (%)</t>
  </si>
  <si>
    <t>Baixo (R$)</t>
  </si>
  <si>
    <t>Alto (R$)</t>
  </si>
  <si>
    <t>Justo (R$)</t>
  </si>
  <si>
    <t>Margem Liq (%)</t>
  </si>
  <si>
    <t>Mín (R$)</t>
  </si>
  <si>
    <t>Média (R$)</t>
  </si>
  <si>
    <t>Max (R$)</t>
  </si>
  <si>
    <t>S3 (R$)</t>
  </si>
  <si>
    <t>S2 (R$)</t>
  </si>
  <si>
    <t>S1 (R$)</t>
  </si>
  <si>
    <t>Pivô (R$)</t>
  </si>
  <si>
    <t>R1 (R$)</t>
  </si>
  <si>
    <t>R2 (R$)</t>
  </si>
  <si>
    <t>R3 (R$)</t>
  </si>
  <si>
    <t>Suporte (R$)</t>
  </si>
  <si>
    <t>Resistência (R$)</t>
  </si>
  <si>
    <t>Média Volume</t>
  </si>
  <si>
    <t>(-)</t>
  </si>
  <si>
    <t>(+)</t>
  </si>
  <si>
    <t>Posição</t>
  </si>
  <si>
    <t>GOLD11</t>
  </si>
  <si>
    <t>CTAX3</t>
  </si>
  <si>
    <t>MWET3</t>
  </si>
  <si>
    <t>ELET5</t>
  </si>
  <si>
    <t>Acm (%)</t>
  </si>
  <si>
    <t>Spread (%)</t>
  </si>
  <si>
    <t>trf55                                               ç4444444444444445x</t>
  </si>
  <si>
    <t>Alvo</t>
  </si>
  <si>
    <t>BTC-USD</t>
  </si>
  <si>
    <t>ETH-USD</t>
  </si>
  <si>
    <t>ACWI11</t>
  </si>
  <si>
    <t>AGRI11</t>
  </si>
  <si>
    <t>ALUG11</t>
  </si>
  <si>
    <t>BBOV11</t>
  </si>
  <si>
    <t>BBSD11</t>
  </si>
  <si>
    <t>BDEF11</t>
  </si>
  <si>
    <t>BDOM11</t>
  </si>
  <si>
    <t>BITH11</t>
  </si>
  <si>
    <t>BMMT11</t>
  </si>
  <si>
    <t>BOVA11</t>
  </si>
  <si>
    <t>BOVB11</t>
  </si>
  <si>
    <t>BOVV11</t>
  </si>
  <si>
    <t>BOVX11</t>
  </si>
  <si>
    <t>BRAX11</t>
  </si>
  <si>
    <t>BXPO11</t>
  </si>
  <si>
    <t>CMDB11</t>
  </si>
  <si>
    <t>CORN11</t>
  </si>
  <si>
    <t>DIVO11</t>
  </si>
  <si>
    <t>DOLA11</t>
  </si>
  <si>
    <t>ECOO11</t>
  </si>
  <si>
    <t>ESGB11</t>
  </si>
  <si>
    <t>ETHE11</t>
  </si>
  <si>
    <t>FIND11</t>
  </si>
  <si>
    <t>GENB11</t>
  </si>
  <si>
    <t>GOVE11</t>
  </si>
  <si>
    <t>HASH11</t>
  </si>
  <si>
    <t>HTEK11</t>
  </si>
  <si>
    <t>IBOB11</t>
  </si>
  <si>
    <t>IRFM11</t>
  </si>
  <si>
    <t>ISUS11</t>
  </si>
  <si>
    <t>IVVB11</t>
  </si>
  <si>
    <t>JOGO11</t>
  </si>
  <si>
    <t>LFTS11</t>
  </si>
  <si>
    <t>MATB11</t>
  </si>
  <si>
    <t>MILL11</t>
  </si>
  <si>
    <t>NASD11</t>
  </si>
  <si>
    <t>PIBB11</t>
  </si>
  <si>
    <t>QBTC11</t>
  </si>
  <si>
    <t>QETH11</t>
  </si>
  <si>
    <t>REVE11</t>
  </si>
  <si>
    <t>SMAB11</t>
  </si>
  <si>
    <t>SMAC11</t>
  </si>
  <si>
    <t>SMAL11</t>
  </si>
  <si>
    <t>SOLH11</t>
  </si>
  <si>
    <t>SPXB11</t>
  </si>
  <si>
    <t>SPXI11</t>
  </si>
  <si>
    <t>TECK11</t>
  </si>
  <si>
    <t>TRIG11</t>
  </si>
  <si>
    <t>USTK11</t>
  </si>
  <si>
    <t>WRLD11</t>
  </si>
  <si>
    <t>XBOV11</t>
  </si>
  <si>
    <t>XFIX11</t>
  </si>
  <si>
    <t>XINA11</t>
  </si>
  <si>
    <t>YDRO11</t>
  </si>
  <si>
    <t>MXRF11</t>
  </si>
  <si>
    <t>XPML11</t>
  </si>
  <si>
    <t>HGLG11</t>
  </si>
  <si>
    <t>KNCR11</t>
  </si>
  <si>
    <t>VGHF11</t>
  </si>
  <si>
    <t>BTLG11</t>
  </si>
  <si>
    <t>CPTS11</t>
  </si>
  <si>
    <t>VISC11</t>
  </si>
  <si>
    <t>XPLG11</t>
  </si>
  <si>
    <t>KNRI11</t>
  </si>
  <si>
    <t>IRDM11</t>
  </si>
  <si>
    <t>GARE11</t>
  </si>
  <si>
    <t>VGIR11</t>
  </si>
  <si>
    <t>HGRU11</t>
  </si>
  <si>
    <t>RECR11</t>
  </si>
  <si>
    <t>PVBI11</t>
  </si>
  <si>
    <t>TGAR11</t>
  </si>
  <si>
    <t>HGBS11</t>
  </si>
  <si>
    <t>MCCI11</t>
  </si>
  <si>
    <t>KNIP11</t>
  </si>
  <si>
    <t>SOL-USD</t>
  </si>
  <si>
    <t>9.44</t>
  </si>
  <si>
    <t>6.73</t>
  </si>
  <si>
    <t>7.35</t>
  </si>
  <si>
    <t>13.88</t>
  </si>
  <si>
    <t>15.02</t>
  </si>
  <si>
    <t>45.27</t>
  </si>
  <si>
    <t>41.75</t>
  </si>
  <si>
    <t>71.17</t>
  </si>
  <si>
    <t>111.35</t>
  </si>
  <si>
    <t>132.52</t>
  </si>
  <si>
    <t>116.57</t>
  </si>
  <si>
    <t>147.2</t>
  </si>
  <si>
    <t>127.09</t>
  </si>
  <si>
    <t>133.5</t>
  </si>
  <si>
    <t>138.76</t>
  </si>
  <si>
    <t>139.68</t>
  </si>
  <si>
    <t>114.04</t>
  </si>
  <si>
    <t>134.58</t>
  </si>
  <si>
    <t>13.36</t>
  </si>
  <si>
    <t>101.1</t>
  </si>
  <si>
    <t>10.45</t>
  </si>
  <si>
    <t>123.98</t>
  </si>
  <si>
    <t>107.96</t>
  </si>
  <si>
    <t>47.51</t>
  </si>
  <si>
    <t>144.33</t>
  </si>
  <si>
    <t>19.2</t>
  </si>
  <si>
    <t>19.48</t>
  </si>
  <si>
    <t>59.28</t>
  </si>
  <si>
    <t>86.21</t>
  </si>
  <si>
    <t>50.64</t>
  </si>
  <si>
    <t>111.95</t>
  </si>
  <si>
    <t>90.69</t>
  </si>
  <si>
    <t>37.48</t>
  </si>
  <si>
    <t>388.8</t>
  </si>
  <si>
    <t>143.8</t>
  </si>
  <si>
    <t>136.22</t>
  </si>
  <si>
    <t>50.6</t>
  </si>
  <si>
    <t>78.1</t>
  </si>
  <si>
    <t>17.62</t>
  </si>
  <si>
    <t>240.4</t>
  </si>
  <si>
    <t>38.7</t>
  </si>
  <si>
    <t>11.47</t>
  </si>
  <si>
    <t>65.21</t>
  </si>
  <si>
    <t>7.76</t>
  </si>
  <si>
    <t>54.8</t>
  </si>
  <si>
    <t>105.3</t>
  </si>
  <si>
    <t>25.33</t>
  </si>
  <si>
    <t>15.22</t>
  </si>
  <si>
    <t>378.45</t>
  </si>
  <si>
    <t>107.13</t>
  </si>
  <si>
    <t>43.64</t>
  </si>
  <si>
    <t>16.77</t>
  </si>
  <si>
    <t>128.49</t>
  </si>
  <si>
    <t>133.48</t>
  </si>
  <si>
    <t>12.33</t>
  </si>
  <si>
    <t>7.83</t>
  </si>
  <si>
    <t>36.01</t>
  </si>
  <si>
    <t>100.21</t>
  </si>
  <si>
    <t>8.92</t>
  </si>
  <si>
    <t>19.43</t>
  </si>
  <si>
    <t>156.33</t>
  </si>
  <si>
    <t>125</t>
  </si>
  <si>
    <t>67.28</t>
  </si>
  <si>
    <t>103.33</t>
  </si>
  <si>
    <t>88.22</t>
  </si>
  <si>
    <t>144.99</t>
  </si>
  <si>
    <t>87.15</t>
  </si>
  <si>
    <t>9.49</t>
  </si>
  <si>
    <t>77.23</t>
  </si>
  <si>
    <t>84.65</t>
  </si>
  <si>
    <t>89.4</t>
  </si>
  <si>
    <t>7.68</t>
  </si>
  <si>
    <t>104.52</t>
  </si>
  <si>
    <t>100.14</t>
  </si>
  <si>
    <t>104</t>
  </si>
  <si>
    <t>BNB-USD</t>
  </si>
  <si>
    <t>ADA-USD</t>
  </si>
  <si>
    <t>XRP-USD</t>
  </si>
  <si>
    <t>MMMC34</t>
  </si>
  <si>
    <t>A1BB34</t>
  </si>
  <si>
    <t>ABTT34</t>
  </si>
  <si>
    <t>ABBV34</t>
  </si>
  <si>
    <t>ABAM34</t>
  </si>
  <si>
    <t>A2SO34</t>
  </si>
  <si>
    <t>ACNB34</t>
  </si>
  <si>
    <t>ATVI34</t>
  </si>
  <si>
    <t>A2HC34</t>
  </si>
  <si>
    <t>ADBE34</t>
  </si>
  <si>
    <t>A1AP34</t>
  </si>
  <si>
    <t>A1MD34</t>
  </si>
  <si>
    <t>A1EG34</t>
  </si>
  <si>
    <t>A1ES34</t>
  </si>
  <si>
    <t>A1FL34</t>
  </si>
  <si>
    <t>A1GI34</t>
  </si>
  <si>
    <t>A1PD34</t>
  </si>
  <si>
    <t>AIRB34</t>
  </si>
  <si>
    <t>A1KA34</t>
  </si>
  <si>
    <t>AKZA34</t>
  </si>
  <si>
    <t>A1LK34</t>
  </si>
  <si>
    <t>A1LB34</t>
  </si>
  <si>
    <t>A2LC34</t>
  </si>
  <si>
    <t>A1RE34</t>
  </si>
  <si>
    <t>BABA34</t>
  </si>
  <si>
    <t>A1LG34</t>
  </si>
  <si>
    <t>A1GN34</t>
  </si>
  <si>
    <t>ALFG34</t>
  </si>
  <si>
    <t>A1EN34</t>
  </si>
  <si>
    <t>M2DR34</t>
  </si>
  <si>
    <t>A1TT34</t>
  </si>
  <si>
    <t>A1LN34</t>
  </si>
  <si>
    <t>GOGL34</t>
  </si>
  <si>
    <t>GOGL35</t>
  </si>
  <si>
    <t>A1YX34</t>
  </si>
  <si>
    <t>MOOO34</t>
  </si>
  <si>
    <t>AMZO34</t>
  </si>
  <si>
    <t>A2MB34</t>
  </si>
  <si>
    <t>A2MC34</t>
  </si>
  <si>
    <t>A1CR34</t>
  </si>
  <si>
    <t>D2OX34</t>
  </si>
  <si>
    <t>A2ME34</t>
  </si>
  <si>
    <t>A1EE34</t>
  </si>
  <si>
    <t>AALL34</t>
  </si>
  <si>
    <t>A1EP34</t>
  </si>
  <si>
    <t>AXPB34</t>
  </si>
  <si>
    <t>AIGB34</t>
  </si>
  <si>
    <t>T1OW34</t>
  </si>
  <si>
    <t>A1WK34</t>
  </si>
  <si>
    <t>A1MP34</t>
  </si>
  <si>
    <t>A1MB34</t>
  </si>
  <si>
    <t>A1ME34</t>
  </si>
  <si>
    <t>AMGN34</t>
  </si>
  <si>
    <t>A1PH34</t>
  </si>
  <si>
    <t>A2MR34</t>
  </si>
  <si>
    <t>A1DI34</t>
  </si>
  <si>
    <t>AAGO34</t>
  </si>
  <si>
    <t>A1UA34</t>
  </si>
  <si>
    <t>ABUD34</t>
  </si>
  <si>
    <t>N2LY34</t>
  </si>
  <si>
    <t>A1NS34</t>
  </si>
  <si>
    <t>A1OS34</t>
  </si>
  <si>
    <t>A1ON34</t>
  </si>
  <si>
    <t>A1PA34</t>
  </si>
  <si>
    <t>A1IV34</t>
  </si>
  <si>
    <t>AAPL34</t>
  </si>
  <si>
    <t>A1MT34</t>
  </si>
  <si>
    <t>A2TR34</t>
  </si>
  <si>
    <t>APTV34</t>
  </si>
  <si>
    <t>ARMT34</t>
  </si>
  <si>
    <t>A1DM34</t>
  </si>
  <si>
    <t>A2RE34</t>
  </si>
  <si>
    <t>A1RG34</t>
  </si>
  <si>
    <t>A1NE34</t>
  </si>
  <si>
    <t>AWII34</t>
  </si>
  <si>
    <t>A2RW34</t>
  </si>
  <si>
    <t>A2RR34</t>
  </si>
  <si>
    <t>A1JG34</t>
  </si>
  <si>
    <t>A1SN34</t>
  </si>
  <si>
    <t>ASML34</t>
  </si>
  <si>
    <t>A1SU34</t>
  </si>
  <si>
    <t>A1ZN34</t>
  </si>
  <si>
    <t>ATTB34</t>
  </si>
  <si>
    <t>T1AM34</t>
  </si>
  <si>
    <t>A1TM34</t>
  </si>
  <si>
    <t>A1UT34</t>
  </si>
  <si>
    <t>A1TH34</t>
  </si>
  <si>
    <t>ADPR34</t>
  </si>
  <si>
    <t>AZOI34</t>
  </si>
  <si>
    <t>A1VB34</t>
  </si>
  <si>
    <t>A1VY34</t>
  </si>
  <si>
    <t>A2XO34</t>
  </si>
  <si>
    <t>A2ZT34</t>
  </si>
  <si>
    <t>118003.23</t>
  </si>
  <si>
    <t>3549.02</t>
  </si>
  <si>
    <t>177.38</t>
  </si>
  <si>
    <t>730.22</t>
  </si>
  <si>
    <t>0.82</t>
  </si>
  <si>
    <t>3.42</t>
  </si>
  <si>
    <t>21.16</t>
  </si>
  <si>
    <t>53.89</t>
  </si>
  <si>
    <t>665.97</t>
  </si>
  <si>
    <t>302.4</t>
  </si>
  <si>
    <t>271.35</t>
  </si>
  <si>
    <t>39.4</t>
  </si>
  <si>
    <t>335.2</t>
  </si>
  <si>
    <t>280.95</t>
  </si>
  <si>
    <t>75.04</t>
  </si>
  <si>
    <t>571.2</t>
  </si>
  <si>
    <t>327.86</t>
  </si>
  <si>
    <t>382.75</t>
  </si>
  <si>
    <t>48.61</t>
  </si>
  <si>
    <t>855</t>
  </si>
  <si>
    <t>35.3</t>
  </si>
  <si>
    <t>17.94</t>
  </si>
  <si>
    <t>281.24</t>
  </si>
  <si>
    <t>269.46</t>
  </si>
  <si>
    <t>85.74</t>
  </si>
  <si>
    <t>109.9</t>
  </si>
  <si>
    <t>42.16</t>
  </si>
  <si>
    <t>761.98</t>
  </si>
  <si>
    <t>106.16</t>
  </si>
  <si>
    <t>156.3</t>
  </si>
  <si>
    <t>481.2</t>
  </si>
  <si>
    <t>350</t>
  </si>
  <si>
    <t>111.98</t>
  </si>
  <si>
    <t>389.52</t>
  </si>
  <si>
    <t>282.24</t>
  </si>
  <si>
    <t>109.23</t>
  </si>
  <si>
    <t>125.4</t>
  </si>
  <si>
    <t>63.2</t>
  </si>
  <si>
    <t>264.16</t>
  </si>
  <si>
    <t>15.62</t>
  </si>
  <si>
    <t>417.9</t>
  </si>
  <si>
    <t>44.4</t>
  </si>
  <si>
    <t>404.44</t>
  </si>
  <si>
    <t>281.6</t>
  </si>
  <si>
    <t>531.81</t>
  </si>
  <si>
    <t>198.2</t>
  </si>
  <si>
    <t>63.96</t>
  </si>
  <si>
    <t>15.52</t>
  </si>
  <si>
    <t>102.02</t>
  </si>
  <si>
    <t>11.4</t>
  </si>
  <si>
    <t>46.65</t>
  </si>
  <si>
    <t>66.99</t>
  </si>
  <si>
    <t>233.22</t>
  </si>
  <si>
    <t>15.04</t>
  </si>
  <si>
    <t>69.8</t>
  </si>
  <si>
    <t>59.12</t>
  </si>
  <si>
    <t>65.87</t>
  </si>
  <si>
    <t>58</t>
  </si>
  <si>
    <t>63.06</t>
  </si>
  <si>
    <t>1568.23</t>
  </si>
  <si>
    <t>40.41</t>
  </si>
  <si>
    <t>69.35</t>
  </si>
  <si>
    <t>451</t>
  </si>
  <si>
    <t>38.84</t>
  </si>
  <si>
    <t>59.07</t>
  </si>
  <si>
    <t>63.22</t>
  </si>
  <si>
    <t>193.2</t>
  </si>
  <si>
    <t>90.45</t>
  </si>
  <si>
    <t>74.29</t>
  </si>
  <si>
    <t>49.98</t>
  </si>
  <si>
    <t>44.9</t>
  </si>
  <si>
    <t>886.86</t>
  </si>
  <si>
    <t>172.01</t>
  </si>
  <si>
    <t>94.23</t>
  </si>
  <si>
    <t>23.88</t>
  </si>
  <si>
    <t/>
  </si>
  <si>
    <t>86.37</t>
  </si>
  <si>
    <t>86.36</t>
  </si>
  <si>
    <t>212.99</t>
  </si>
  <si>
    <t>322.25</t>
  </si>
  <si>
    <t>111.1</t>
  </si>
  <si>
    <t>54.2</t>
  </si>
  <si>
    <t>52.3</t>
  </si>
  <si>
    <t>15.19</t>
  </si>
  <si>
    <t>42.12</t>
  </si>
  <si>
    <t>69.7</t>
  </si>
  <si>
    <t>109.17</t>
  </si>
  <si>
    <t>130.51</t>
  </si>
  <si>
    <t>114.84</t>
  </si>
  <si>
    <t>149.2</t>
  </si>
  <si>
    <t>124.86</t>
  </si>
  <si>
    <t>130.3</t>
  </si>
  <si>
    <t>135.91</t>
  </si>
  <si>
    <t>136.8</t>
  </si>
  <si>
    <t>13.62</t>
  </si>
  <si>
    <t>111.91</t>
  </si>
  <si>
    <t>132.02</t>
  </si>
  <si>
    <t>13.05</t>
  </si>
  <si>
    <t>6.65</t>
  </si>
  <si>
    <t>98.84</t>
  </si>
  <si>
    <t>10.55</t>
  </si>
  <si>
    <t>121.62</t>
  </si>
  <si>
    <t>105.73</t>
  </si>
  <si>
    <t>57.4</t>
  </si>
  <si>
    <t>141.02</t>
  </si>
  <si>
    <t>19.57</t>
  </si>
  <si>
    <t>19.55</t>
  </si>
  <si>
    <t>58.15</t>
  </si>
  <si>
    <t>90</t>
  </si>
  <si>
    <t>49.71</t>
  </si>
  <si>
    <t>109.7</t>
  </si>
  <si>
    <t>90.63</t>
  </si>
  <si>
    <t>36.74</t>
  </si>
  <si>
    <t>394.28</t>
  </si>
  <si>
    <t>151.1</t>
  </si>
  <si>
    <t>136.57</t>
  </si>
  <si>
    <t>49.77</t>
  </si>
  <si>
    <t>82.66</t>
  </si>
  <si>
    <t>17.93</t>
  </si>
  <si>
    <t>235.15</t>
  </si>
  <si>
    <t>39.18</t>
  </si>
  <si>
    <t>13.76</t>
  </si>
  <si>
    <t>65.91</t>
  </si>
  <si>
    <t>7.61</t>
  </si>
  <si>
    <t>54.05</t>
  </si>
  <si>
    <t>102.78</t>
  </si>
  <si>
    <t>27.03</t>
  </si>
  <si>
    <t>15.39</t>
  </si>
  <si>
    <t>383.57</t>
  </si>
  <si>
    <t>108.95</t>
  </si>
  <si>
    <t>42.67</t>
  </si>
  <si>
    <t>17.23</t>
  </si>
  <si>
    <t>130.02</t>
  </si>
  <si>
    <t>130.77</t>
  </si>
  <si>
    <t>12.26</t>
  </si>
  <si>
    <t>8.27</t>
  </si>
  <si>
    <t>35.55</t>
  </si>
  <si>
    <t>99.85</t>
  </si>
  <si>
    <t>7.34</t>
  </si>
  <si>
    <t>8.9</t>
  </si>
  <si>
    <t>19.3</t>
  </si>
  <si>
    <t>156.12</t>
  </si>
  <si>
    <t>124.72</t>
  </si>
  <si>
    <t>62.13</t>
  </si>
  <si>
    <t>104.26</t>
  </si>
  <si>
    <t>87.94</t>
  </si>
  <si>
    <t>144.72</t>
  </si>
  <si>
    <t>86.11</t>
  </si>
  <si>
    <t>9.5</t>
  </si>
  <si>
    <t>74.4</t>
  </si>
  <si>
    <t>83.82</t>
  </si>
  <si>
    <t>85.83</t>
  </si>
  <si>
    <t>7.64</t>
  </si>
  <si>
    <t>9.63</t>
  </si>
  <si>
    <t>104.35</t>
  </si>
  <si>
    <t>99.79</t>
  </si>
  <si>
    <t>102.9</t>
  </si>
  <si>
    <t>EQPA6</t>
  </si>
  <si>
    <t>NATU3</t>
  </si>
  <si>
    <t>TOKY3</t>
  </si>
  <si>
    <t>119764.74</t>
  </si>
  <si>
    <t>3857.39</t>
  </si>
  <si>
    <t>190.31</t>
  </si>
  <si>
    <t>844.61</t>
  </si>
  <si>
    <t>0.84</t>
  </si>
  <si>
    <t>3.25</t>
  </si>
  <si>
    <t>20.44</t>
  </si>
  <si>
    <t>53.77</t>
  </si>
  <si>
    <t>633.64</t>
  </si>
  <si>
    <t>307.21</t>
  </si>
  <si>
    <t>40.28</t>
  </si>
  <si>
    <t>304.49</t>
  </si>
  <si>
    <t>76.56</t>
  </si>
  <si>
    <t>567.4</t>
  </si>
  <si>
    <t>48.3</t>
  </si>
  <si>
    <t>874.65</t>
  </si>
  <si>
    <t>37.12</t>
  </si>
  <si>
    <t>19.24</t>
  </si>
  <si>
    <t>265</t>
  </si>
  <si>
    <t>91.45</t>
  </si>
  <si>
    <t>115.75</t>
  </si>
  <si>
    <t>41.68</t>
  </si>
  <si>
    <t>725.62</t>
  </si>
  <si>
    <t>161</t>
  </si>
  <si>
    <t>105.5</t>
  </si>
  <si>
    <t>413</t>
  </si>
  <si>
    <t>292.4</t>
  </si>
  <si>
    <t>114.5</t>
  </si>
  <si>
    <t>130.78</t>
  </si>
  <si>
    <t>15.38</t>
  </si>
  <si>
    <t>421.26</t>
  </si>
  <si>
    <t>281.12</t>
  </si>
  <si>
    <t>195.3</t>
  </si>
  <si>
    <t>67.48</t>
  </si>
  <si>
    <t>103.2</t>
  </si>
  <si>
    <t>10.86</t>
  </si>
  <si>
    <t>46.8</t>
  </si>
  <si>
    <t>227.26</t>
  </si>
  <si>
    <t>64</t>
  </si>
  <si>
    <t>59.62</t>
  </si>
  <si>
    <t>65.05</t>
  </si>
  <si>
    <t>57.91</t>
  </si>
  <si>
    <t>65.16</t>
  </si>
  <si>
    <t>1562.63</t>
  </si>
  <si>
    <t>41.84</t>
  </si>
  <si>
    <t>71.5</t>
  </si>
  <si>
    <t>439.4</t>
  </si>
  <si>
    <t>39.32</t>
  </si>
  <si>
    <t>61.2</t>
  </si>
  <si>
    <t>64.6</t>
  </si>
  <si>
    <t>193.8</t>
  </si>
  <si>
    <t>92.52</t>
  </si>
  <si>
    <t>73</t>
  </si>
  <si>
    <t>52.5</t>
  </si>
  <si>
    <t>46.73</t>
  </si>
  <si>
    <t>173.39</t>
  </si>
  <si>
    <t>96.8</t>
  </si>
  <si>
    <t>23.72</t>
  </si>
  <si>
    <t>61.56</t>
  </si>
  <si>
    <t>89.57</t>
  </si>
  <si>
    <t>90.18</t>
  </si>
  <si>
    <t>210</t>
  </si>
  <si>
    <t>329.34</t>
  </si>
  <si>
    <t>115.93</t>
  </si>
  <si>
    <t>56.52</t>
  </si>
  <si>
    <t>53.15</t>
  </si>
  <si>
    <t>15.36</t>
  </si>
  <si>
    <t>44.67</t>
  </si>
  <si>
    <t>42.76</t>
  </si>
  <si>
    <t>69.75</t>
  </si>
  <si>
    <t>110.03</t>
  </si>
  <si>
    <t>131.21</t>
  </si>
  <si>
    <t>114.52</t>
  </si>
  <si>
    <t>147.69</t>
  </si>
  <si>
    <t>124.45</t>
  </si>
  <si>
    <t>130.45</t>
  </si>
  <si>
    <t>136.19</t>
  </si>
  <si>
    <t>136.9</t>
  </si>
  <si>
    <t>13.64</t>
  </si>
  <si>
    <t>111.78</t>
  </si>
  <si>
    <t>132.37</t>
  </si>
  <si>
    <t>13.37</t>
  </si>
  <si>
    <t>6.42</t>
  </si>
  <si>
    <t>99.67</t>
  </si>
  <si>
    <t>10.5</t>
  </si>
  <si>
    <t>120.52</t>
  </si>
  <si>
    <t>105.85</t>
  </si>
  <si>
    <t>58.89</t>
  </si>
  <si>
    <t>140.27</t>
  </si>
  <si>
    <t>19.46</t>
  </si>
  <si>
    <t>19.38</t>
  </si>
  <si>
    <t>58.21</t>
  </si>
  <si>
    <t>89.61</t>
  </si>
  <si>
    <t>51.13</t>
  </si>
  <si>
    <t>109.81</t>
  </si>
  <si>
    <t>90.99</t>
  </si>
  <si>
    <t>36.6</t>
  </si>
  <si>
    <t>398.3</t>
  </si>
  <si>
    <t>148.23</t>
  </si>
  <si>
    <t>136.98</t>
  </si>
  <si>
    <t>51.67</t>
  </si>
  <si>
    <t>81.31</t>
  </si>
  <si>
    <t>18.05</t>
  </si>
  <si>
    <t>235.19</t>
  </si>
  <si>
    <t>39.19</t>
  </si>
  <si>
    <t>14.28</t>
  </si>
  <si>
    <t>66.39</t>
  </si>
  <si>
    <t>7.6</t>
  </si>
  <si>
    <t>53.93</t>
  </si>
  <si>
    <t>102.83</t>
  </si>
  <si>
    <t>27.97</t>
  </si>
  <si>
    <t>15.58</t>
  </si>
  <si>
    <t>387.52</t>
  </si>
  <si>
    <t>109.04</t>
  </si>
  <si>
    <t>42.5</t>
  </si>
  <si>
    <t>17.26</t>
  </si>
  <si>
    <t>131.78</t>
  </si>
  <si>
    <t>130.92</t>
  </si>
  <si>
    <t>12.18</t>
  </si>
  <si>
    <t>8.41</t>
  </si>
  <si>
    <t>38.53</t>
  </si>
  <si>
    <t>99.55</t>
  </si>
  <si>
    <t>7.29</t>
  </si>
  <si>
    <t>8.99</t>
  </si>
  <si>
    <t>18.99</t>
  </si>
  <si>
    <t>155.71</t>
  </si>
  <si>
    <t>124.8</t>
  </si>
  <si>
    <t>61.99</t>
  </si>
  <si>
    <t>104.3</t>
  </si>
  <si>
    <t>87.37</t>
  </si>
  <si>
    <t>143.99</t>
  </si>
  <si>
    <t>86.85</t>
  </si>
  <si>
    <t>9.55</t>
  </si>
  <si>
    <t>73.4</t>
  </si>
  <si>
    <t>82.8</t>
  </si>
  <si>
    <t>83.11</t>
  </si>
  <si>
    <t>7.71</t>
  </si>
  <si>
    <t>9.65</t>
  </si>
  <si>
    <t>103.55</t>
  </si>
  <si>
    <t>99</t>
  </si>
  <si>
    <t>101.75</t>
  </si>
  <si>
    <t>114357.14</t>
  </si>
  <si>
    <t>3509.63</t>
  </si>
  <si>
    <t>162.3</t>
  </si>
  <si>
    <t>753.71</t>
  </si>
  <si>
    <t>0.73</t>
  </si>
  <si>
    <t>2.95</t>
  </si>
  <si>
    <t>18.2</t>
  </si>
  <si>
    <t>52.34</t>
  </si>
  <si>
    <t>613.62</t>
  </si>
  <si>
    <t>297.6</t>
  </si>
  <si>
    <t>38.25</t>
  </si>
  <si>
    <t>77.33</t>
  </si>
  <si>
    <t>332.31</t>
  </si>
  <si>
    <t>46.64</t>
  </si>
  <si>
    <t>34.56</t>
  </si>
  <si>
    <t>15.64</t>
  </si>
  <si>
    <t>188.1</t>
  </si>
  <si>
    <t>110.77</t>
  </si>
  <si>
    <t>118.76</t>
  </si>
  <si>
    <t>696.5</t>
  </si>
  <si>
    <t>99.7</t>
  </si>
  <si>
    <t>168.8</t>
  </si>
  <si>
    <t>105.9</t>
  </si>
  <si>
    <t>410.82</t>
  </si>
  <si>
    <t>285.6</t>
  </si>
  <si>
    <t>106.26</t>
  </si>
  <si>
    <t>150</t>
  </si>
  <si>
    <t>61.62</t>
  </si>
  <si>
    <t>15.08</t>
  </si>
  <si>
    <t>435.6</t>
  </si>
  <si>
    <t>45.06</t>
  </si>
  <si>
    <t>413.88</t>
  </si>
  <si>
    <t>270.02</t>
  </si>
  <si>
    <t>195.89</t>
  </si>
  <si>
    <t>66.5</t>
  </si>
  <si>
    <t>14.22</t>
  </si>
  <si>
    <t>104.54</t>
  </si>
  <si>
    <t>10.9</t>
  </si>
  <si>
    <t>45.7</t>
  </si>
  <si>
    <t>68.75</t>
  </si>
  <si>
    <t>227.67</t>
  </si>
  <si>
    <t>61.07</t>
  </si>
  <si>
    <t>56.2</t>
  </si>
  <si>
    <t>67.69</t>
  </si>
  <si>
    <t>58.98</t>
  </si>
  <si>
    <t>52.65</t>
  </si>
  <si>
    <t>1412.54</t>
  </si>
  <si>
    <t>38.52</t>
  </si>
  <si>
    <t>69.93</t>
  </si>
  <si>
    <t>429.78</t>
  </si>
  <si>
    <t>35.27</t>
  </si>
  <si>
    <t>58.51</t>
  </si>
  <si>
    <t>59.35</t>
  </si>
  <si>
    <t>85.5</t>
  </si>
  <si>
    <t>69.99</t>
  </si>
  <si>
    <t>51.66</t>
  </si>
  <si>
    <t>45.66</t>
  </si>
  <si>
    <t>162.47</t>
  </si>
  <si>
    <t>96.72</t>
  </si>
  <si>
    <t>23.09</t>
  </si>
  <si>
    <t>60</t>
  </si>
  <si>
    <t>86.76</t>
  </si>
  <si>
    <t>87.62</t>
  </si>
  <si>
    <t>199</t>
  </si>
  <si>
    <t>341.7</t>
  </si>
  <si>
    <t>113.96</t>
  </si>
  <si>
    <t>50.4</t>
  </si>
  <si>
    <t>49.2</t>
  </si>
  <si>
    <t>14.89</t>
  </si>
  <si>
    <t>56.49</t>
  </si>
  <si>
    <t>18.67</t>
  </si>
  <si>
    <t>19.47</t>
  </si>
  <si>
    <t>91.4</t>
  </si>
  <si>
    <t>387.8</t>
  </si>
  <si>
    <t>17.59</t>
  </si>
  <si>
    <t>13.74</t>
  </si>
  <si>
    <t>63.59</t>
  </si>
  <si>
    <t>15.17</t>
  </si>
  <si>
    <t>377.69</t>
  </si>
  <si>
    <t>16.82</t>
  </si>
  <si>
    <t>127.93</t>
  </si>
  <si>
    <t>12.07</t>
  </si>
  <si>
    <t>8.05</t>
  </si>
  <si>
    <t>37.01</t>
  </si>
  <si>
    <t>137.35</t>
  </si>
  <si>
    <t>69.2</t>
  </si>
  <si>
    <t>129.93</t>
  </si>
  <si>
    <t>113.54</t>
  </si>
  <si>
    <t>143.71</t>
  </si>
  <si>
    <t>124.03</t>
  </si>
  <si>
    <t>129.57</t>
  </si>
  <si>
    <t>134.95</t>
  </si>
  <si>
    <t>135.81</t>
  </si>
  <si>
    <t>13.5</t>
  </si>
  <si>
    <t>111.17</t>
  </si>
  <si>
    <t>6.37</t>
  </si>
  <si>
    <t>98.62</t>
  </si>
  <si>
    <t>120.27</t>
  </si>
  <si>
    <t>105.27</t>
  </si>
  <si>
    <t>137.26</t>
  </si>
  <si>
    <t>57.96</t>
  </si>
  <si>
    <t>86.48</t>
  </si>
  <si>
    <t>48.86</t>
  </si>
  <si>
    <t>109.05</t>
  </si>
  <si>
    <t>36.38</t>
  </si>
  <si>
    <t>79.09</t>
  </si>
  <si>
    <t>233.35</t>
  </si>
  <si>
    <t>7.56</t>
  </si>
  <si>
    <t>53.64</t>
  </si>
  <si>
    <t>102.01</t>
  </si>
  <si>
    <t>42.66</t>
  </si>
  <si>
    <t>130</t>
  </si>
  <si>
    <t>43.8</t>
  </si>
  <si>
    <t>41.34</t>
  </si>
  <si>
    <t>109.99</t>
  </si>
  <si>
    <t>129.85</t>
  </si>
  <si>
    <t>13.04</t>
  </si>
  <si>
    <t>10.44</t>
  </si>
  <si>
    <t>145.94</t>
  </si>
  <si>
    <t>49.74</t>
  </si>
  <si>
    <t>37.97</t>
  </si>
  <si>
    <t>25.5</t>
  </si>
  <si>
    <t>107.2</t>
  </si>
  <si>
    <t>98.6</t>
  </si>
  <si>
    <t>8.97</t>
  </si>
  <si>
    <t>18.39</t>
  </si>
  <si>
    <t>152.2</t>
  </si>
  <si>
    <t>123.25</t>
  </si>
  <si>
    <t>61.1</t>
  </si>
  <si>
    <t>102.99</t>
  </si>
  <si>
    <t>86.09</t>
  </si>
  <si>
    <t>141</t>
  </si>
  <si>
    <t>86.95</t>
  </si>
  <si>
    <t>9.4</t>
  </si>
  <si>
    <t>74.9</t>
  </si>
  <si>
    <t>84.04</t>
  </si>
  <si>
    <t>81.87</t>
  </si>
  <si>
    <t>7.57</t>
  </si>
  <si>
    <t>9.59</t>
  </si>
  <si>
    <t>101.95</t>
  </si>
  <si>
    <t>97.55</t>
  </si>
  <si>
    <t>102.34</t>
  </si>
  <si>
    <t>MSFT34</t>
  </si>
  <si>
    <t>MELI34</t>
  </si>
  <si>
    <t>NVDC34</t>
  </si>
  <si>
    <t>FIXA11</t>
  </si>
  <si>
    <t>GOAT11</t>
  </si>
  <si>
    <t>IB5M11</t>
  </si>
  <si>
    <t>IMAB11</t>
  </si>
  <si>
    <t>LFTB11</t>
  </si>
  <si>
    <t>MCDC34</t>
  </si>
  <si>
    <t>43.74</t>
  </si>
  <si>
    <t>40.57</t>
  </si>
  <si>
    <t>70.9</t>
  </si>
  <si>
    <t>111.36</t>
  </si>
  <si>
    <t>133.92</t>
  </si>
  <si>
    <t>116.16</t>
  </si>
  <si>
    <t>145</t>
  </si>
  <si>
    <t>126.99</t>
  </si>
  <si>
    <t>132.91</t>
  </si>
  <si>
    <t>138.49</t>
  </si>
  <si>
    <t>139.42</t>
  </si>
  <si>
    <t>13.87</t>
  </si>
  <si>
    <t>114.05</t>
  </si>
  <si>
    <t>130.97</t>
  </si>
  <si>
    <t>13</t>
  </si>
  <si>
    <t>6.63</t>
  </si>
  <si>
    <t>100.12</t>
  </si>
  <si>
    <t>10.2</t>
  </si>
  <si>
    <t>124.3</t>
  </si>
  <si>
    <t>107.4</t>
  </si>
  <si>
    <t>63.87</t>
  </si>
  <si>
    <t>142.13</t>
  </si>
  <si>
    <t>18.69</t>
  </si>
  <si>
    <t>19.31</t>
  </si>
  <si>
    <t>59.58</t>
  </si>
  <si>
    <t>89.12</t>
  </si>
  <si>
    <t>48.35</t>
  </si>
  <si>
    <t>111.67</t>
  </si>
  <si>
    <t>91.9</t>
  </si>
  <si>
    <t>37.47</t>
  </si>
  <si>
    <t>390.35</t>
  </si>
  <si>
    <t>152.1</t>
  </si>
  <si>
    <t>137.7</t>
  </si>
  <si>
    <t>51.19</t>
  </si>
  <si>
    <t>75.79</t>
  </si>
  <si>
    <t>17.88</t>
  </si>
  <si>
    <t>239.35</t>
  </si>
  <si>
    <t>38.77</t>
  </si>
  <si>
    <t>15.54</t>
  </si>
  <si>
    <t>63.83</t>
  </si>
  <si>
    <t>54.27</t>
  </si>
  <si>
    <t>103.6</t>
  </si>
  <si>
    <t>26.75</t>
  </si>
  <si>
    <t>15.24</t>
  </si>
  <si>
    <t>379.5</t>
  </si>
  <si>
    <t>108.5</t>
  </si>
  <si>
    <t>43.39</t>
  </si>
  <si>
    <t>17.1</t>
  </si>
  <si>
    <t>128.72</t>
  </si>
  <si>
    <t>133.2</t>
  </si>
  <si>
    <t>12.09</t>
  </si>
  <si>
    <t>8.14</t>
  </si>
  <si>
    <t>36.63</t>
  </si>
  <si>
    <t>17.87</t>
  </si>
  <si>
    <t>51.63</t>
  </si>
  <si>
    <t>115.33</t>
  </si>
  <si>
    <t>104.57</t>
  </si>
  <si>
    <t>109.62</t>
  </si>
  <si>
    <t>7.28</t>
  </si>
  <si>
    <t>9.09</t>
  </si>
  <si>
    <t>18.7</t>
  </si>
  <si>
    <t>151.75</t>
  </si>
  <si>
    <t>122.25</t>
  </si>
  <si>
    <t>63.05</t>
  </si>
  <si>
    <t>103.29</t>
  </si>
  <si>
    <t>86.3</t>
  </si>
  <si>
    <t>139.3</t>
  </si>
  <si>
    <t>86.61</t>
  </si>
  <si>
    <t>9.41</t>
  </si>
  <si>
    <t>72.56</t>
  </si>
  <si>
    <t>81.9</t>
  </si>
  <si>
    <t>84.62</t>
  </si>
  <si>
    <t>9.6</t>
  </si>
  <si>
    <t>101.39</t>
  </si>
  <si>
    <t>96.3</t>
  </si>
  <si>
    <t>101.02</t>
  </si>
  <si>
    <t>118906.1</t>
  </si>
  <si>
    <t>4220.06</t>
  </si>
  <si>
    <t>183.34</t>
  </si>
  <si>
    <t>801.31</t>
  </si>
  <si>
    <t>0.8</t>
  </si>
  <si>
    <t>3.18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</si>
</sst>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6" formatCode="&quot;R$&quot;\ #,##0;[Red]\-&quot;R$&quot;\ #,##0"/>
    <numFmt numFmtId="8" formatCode="&quot;R$&quot;\ #,##0.00;[Red]\-&quot;R$&quot;\ #,##0.00"/>
    <numFmt numFmtId="164" formatCode="&quot;R$&quot;\ #,##0.00"/>
    <numFmt numFmtId="165" formatCode="0.000"/>
    <numFmt numFmtId="166" formatCode="#,##0.0"/>
    <numFmt numFmtId="167" formatCode="&quot;R$&quot;\ #,##0.0"/>
    <numFmt numFmtId="168" formatCode="0.0000"/>
    <numFmt numFmtId="169" formatCode="#,##0_ ;\-#,##0\ "/>
    <numFmt numFmtId="170" formatCode="_-[$R$-416]\ * #,##0.00_-;\-[$R$-416]\ * #,##0.00_-;_-[$R$-416]\ * &quot;-&quot;??_-;_-@_-"/>
  </numFmts>
  <fonts count="21" x14ac:knownFonts="1">
    <font>
      <sz val="11"/>
      <color theme="1"/>
      <name val="Calibri"/>
      <family val="2"/>
      <scheme val="minor"/>
    </font>
    <font>
      <sz val="8"/>
      <name val="Calibri"/>
      <family val="2"/>
      <scheme val="minor"/>
    </font>
    <font>
      <b/>
      <sz val="8"/>
      <name val="Calibri"/>
      <family val="2"/>
      <scheme val="minor"/>
    </font>
    <font>
      <sz val="8"/>
      <color theme="1"/>
      <name val="Calibri"/>
      <family val="2"/>
      <scheme val="minor"/>
    </font>
    <font>
      <sz val="8"/>
      <color theme="7" tint="-0.249977111117893"/>
      <name val="Calibri"/>
      <family val="2"/>
      <scheme val="minor"/>
    </font>
    <font>
      <b/>
      <sz val="8"/>
      <color theme="1"/>
      <name val="Calibri"/>
      <family val="2"/>
      <scheme val="minor"/>
    </font>
    <font>
      <b/>
      <sz val="8"/>
      <color rgb="FF0070C0"/>
      <name val="Calibri"/>
      <family val="2"/>
      <scheme val="minor"/>
    </font>
    <font>
      <sz val="8"/>
      <color rgb="FFFF0000"/>
      <name val="Calibri"/>
      <family val="2"/>
      <scheme val="minor"/>
    </font>
    <font>
      <b/>
      <sz val="8"/>
      <color rgb="FFFF0000"/>
      <name val="Calibri"/>
      <family val="2"/>
      <scheme val="minor"/>
    </font>
    <font>
      <b/>
      <sz val="8"/>
      <color theme="0"/>
      <name val="Calibri"/>
      <family val="2"/>
      <scheme val="minor"/>
    </font>
    <font>
      <sz val="8"/>
      <color rgb="FF00B050"/>
      <name val="Calibri"/>
      <family val="2"/>
      <scheme val="minor"/>
    </font>
    <font>
      <b/>
      <sz val="11"/>
      <color theme="1"/>
      <name val="Calibri"/>
      <family val="2"/>
      <scheme val="minor"/>
    </font>
    <font>
      <sz val="11"/>
      <name val="Calibri"/>
      <family val="2"/>
      <scheme val="minor"/>
    </font>
    <font>
      <b/>
      <sz val="8"/>
      <color rgb="FF00B050"/>
      <name val="Calibri"/>
      <family val="2"/>
      <scheme val="minor"/>
    </font>
    <font>
      <sz val="8"/>
      <color theme="0"/>
      <name val="Calibri"/>
      <family val="2"/>
      <scheme val="minor"/>
    </font>
    <font>
      <b/>
      <sz val="8"/>
      <color theme="9" tint="-0.249977111117893"/>
      <name val="Calibri"/>
      <family val="2"/>
      <scheme val="minor"/>
    </font>
    <font>
      <sz val="11"/>
      <color rgb="FF00B050"/>
      <name val="Calibri"/>
      <family val="2"/>
      <scheme val="minor"/>
    </font>
    <font>
      <sz val="8"/>
      <color theme="9" tint="-0.249977111117893"/>
      <name val="Calibri"/>
      <family val="2"/>
      <scheme val="minor"/>
    </font>
    <font>
      <sz val="8"/>
      <color rgb="FF0070C0"/>
      <name val="Calibri"/>
      <family val="2"/>
      <scheme val="minor"/>
    </font>
    <font>
      <sz val="11"/>
      <color rgb="FF0D1421"/>
      <name val="Segoe UI"/>
      <family val="2"/>
    </font>
    <font>
      <sz val="11"/>
      <name val="Calibri"/>
      <family val="2"/>
    </font>
  </fonts>
  <fills count="6">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theme="0"/>
        <bgColor indexed="64"/>
      </patternFill>
    </fill>
    <fill>
      <patternFill patternType="solid">
        <fgColor rgb="FF0070C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20" fillId="0" borderId="0"/>
  </cellStyleXfs>
  <cellXfs count="95">
    <xf numFmtId="0" fontId="0" fillId="0" borderId="0" xfId="0"/>
    <xf numFmtId="0" fontId="1" fillId="0" borderId="0" xfId="0" applyFont="1" applyAlignment="1">
      <alignment horizontal="center"/>
    </xf>
    <xf numFmtId="164" fontId="1" fillId="0" borderId="0" xfId="0" applyNumberFormat="1" applyFont="1" applyAlignment="1">
      <alignment horizontal="center"/>
    </xf>
    <xf numFmtId="164" fontId="2" fillId="0" borderId="0" xfId="0" applyNumberFormat="1" applyFont="1" applyAlignment="1">
      <alignment horizontal="center"/>
    </xf>
    <xf numFmtId="164" fontId="3" fillId="0" borderId="0" xfId="0" applyNumberFormat="1" applyFont="1" applyAlignment="1">
      <alignment horizontal="center"/>
    </xf>
    <xf numFmtId="164" fontId="4" fillId="0" borderId="0" xfId="0" applyNumberFormat="1" applyFont="1" applyAlignment="1">
      <alignment horizontal="center"/>
    </xf>
    <xf numFmtId="0" fontId="3" fillId="0" borderId="0" xfId="0" applyFont="1" applyAlignment="1">
      <alignment horizontal="center"/>
    </xf>
    <xf numFmtId="0" fontId="2" fillId="0" borderId="0" xfId="0" applyFont="1" applyAlignment="1">
      <alignment horizontal="center"/>
    </xf>
    <xf numFmtId="10" fontId="2" fillId="0" borderId="0" xfId="0" applyNumberFormat="1" applyFont="1" applyAlignment="1">
      <alignment horizontal="center"/>
    </xf>
    <xf numFmtId="164" fontId="6" fillId="0" borderId="0" xfId="0" applyNumberFormat="1" applyFont="1" applyAlignment="1">
      <alignment horizontal="center"/>
    </xf>
    <xf numFmtId="3" fontId="1" fillId="0" borderId="0" xfId="0" applyNumberFormat="1" applyFont="1" applyAlignment="1">
      <alignment horizontal="center"/>
    </xf>
    <xf numFmtId="14" fontId="5" fillId="0" borderId="0" xfId="0" applyNumberFormat="1" applyFont="1" applyAlignment="1">
      <alignment horizontal="center"/>
    </xf>
    <xf numFmtId="164" fontId="9" fillId="2" borderId="1" xfId="0" applyNumberFormat="1" applyFont="1" applyFill="1" applyBorder="1" applyAlignment="1">
      <alignment horizontal="center"/>
    </xf>
    <xf numFmtId="0" fontId="0" fillId="0" borderId="0" xfId="0" applyAlignment="1">
      <alignment horizontal="center"/>
    </xf>
    <xf numFmtId="164" fontId="5" fillId="0" borderId="0" xfId="0" applyNumberFormat="1" applyFont="1" applyAlignment="1">
      <alignment horizontal="center"/>
    </xf>
    <xf numFmtId="164" fontId="6" fillId="0" borderId="1" xfId="0" applyNumberFormat="1" applyFont="1" applyBorder="1" applyAlignment="1">
      <alignment horizontal="center"/>
    </xf>
    <xf numFmtId="10" fontId="1" fillId="0" borderId="0" xfId="0" applyNumberFormat="1" applyFont="1" applyAlignment="1">
      <alignment horizontal="center"/>
    </xf>
    <xf numFmtId="164" fontId="1" fillId="0" borderId="1" xfId="0" applyNumberFormat="1" applyFont="1" applyBorder="1" applyAlignment="1">
      <alignment horizontal="center"/>
    </xf>
    <xf numFmtId="165" fontId="1" fillId="0" borderId="0" xfId="0" applyNumberFormat="1" applyFont="1" applyAlignment="1">
      <alignment horizontal="center"/>
    </xf>
    <xf numFmtId="2" fontId="1" fillId="0" borderId="0" xfId="0" applyNumberFormat="1" applyFont="1" applyAlignment="1">
      <alignment horizontal="center"/>
    </xf>
    <xf numFmtId="10" fontId="7" fillId="0" borderId="1" xfId="0" applyNumberFormat="1" applyFont="1" applyBorder="1" applyAlignment="1">
      <alignment horizontal="center"/>
    </xf>
    <xf numFmtId="10" fontId="10" fillId="0" borderId="1" xfId="0" applyNumberFormat="1" applyFont="1" applyBorder="1" applyAlignment="1">
      <alignment horizontal="center"/>
    </xf>
    <xf numFmtId="0" fontId="12" fillId="0" borderId="0" xfId="0" applyFont="1"/>
    <xf numFmtId="10" fontId="2" fillId="3" borderId="1" xfId="0" applyNumberFormat="1" applyFont="1" applyFill="1" applyBorder="1" applyAlignment="1">
      <alignment horizontal="center"/>
    </xf>
    <xf numFmtId="166" fontId="2" fillId="0" borderId="0" xfId="0" applyNumberFormat="1" applyFont="1" applyAlignment="1">
      <alignment horizontal="center"/>
    </xf>
    <xf numFmtId="10" fontId="0" fillId="0" borderId="0" xfId="0" applyNumberFormat="1"/>
    <xf numFmtId="4" fontId="0" fillId="0" borderId="0" xfId="0" applyNumberFormat="1"/>
    <xf numFmtId="0" fontId="11" fillId="0" borderId="0" xfId="0" applyFont="1"/>
    <xf numFmtId="10" fontId="2" fillId="0" borderId="1" xfId="0" applyNumberFormat="1" applyFont="1" applyBorder="1" applyAlignment="1">
      <alignment horizontal="center"/>
    </xf>
    <xf numFmtId="4" fontId="1" fillId="3" borderId="1" xfId="0" applyNumberFormat="1" applyFont="1" applyFill="1" applyBorder="1" applyAlignment="1">
      <alignment horizontal="center"/>
    </xf>
    <xf numFmtId="164" fontId="1" fillId="0" borderId="2" xfId="0" applyNumberFormat="1" applyFont="1" applyBorder="1" applyAlignment="1">
      <alignment horizontal="center"/>
    </xf>
    <xf numFmtId="4" fontId="1" fillId="3" borderId="2" xfId="0" applyNumberFormat="1" applyFont="1" applyFill="1" applyBorder="1" applyAlignment="1">
      <alignment horizontal="center"/>
    </xf>
    <xf numFmtId="10" fontId="15" fillId="4" borderId="1" xfId="0" applyNumberFormat="1" applyFont="1" applyFill="1" applyBorder="1" applyAlignment="1">
      <alignment horizontal="center"/>
    </xf>
    <xf numFmtId="164" fontId="17" fillId="4" borderId="1" xfId="0" applyNumberFormat="1" applyFont="1" applyFill="1" applyBorder="1" applyAlignment="1">
      <alignment horizontal="center"/>
    </xf>
    <xf numFmtId="10" fontId="17" fillId="4" borderId="1" xfId="0" applyNumberFormat="1" applyFont="1" applyFill="1" applyBorder="1" applyAlignment="1">
      <alignment horizontal="center"/>
    </xf>
    <xf numFmtId="164" fontId="2" fillId="4" borderId="1" xfId="0" applyNumberFormat="1" applyFont="1" applyFill="1" applyBorder="1" applyAlignment="1">
      <alignment horizontal="center"/>
    </xf>
    <xf numFmtId="3" fontId="1" fillId="4" borderId="1" xfId="0" applyNumberFormat="1" applyFont="1" applyFill="1" applyBorder="1" applyAlignment="1">
      <alignment horizontal="center"/>
    </xf>
    <xf numFmtId="164" fontId="6" fillId="4" borderId="0" xfId="0" applyNumberFormat="1" applyFont="1" applyFill="1" applyAlignment="1">
      <alignment horizontal="center"/>
    </xf>
    <xf numFmtId="164" fontId="2" fillId="0" borderId="1" xfId="0" applyNumberFormat="1" applyFont="1" applyBorder="1" applyAlignment="1">
      <alignment horizontal="center"/>
    </xf>
    <xf numFmtId="10" fontId="15" fillId="4" borderId="3" xfId="0" applyNumberFormat="1" applyFont="1" applyFill="1" applyBorder="1" applyAlignment="1">
      <alignment horizontal="center"/>
    </xf>
    <xf numFmtId="10" fontId="2" fillId="0" borderId="3" xfId="0" applyNumberFormat="1" applyFont="1" applyBorder="1" applyAlignment="1">
      <alignment horizontal="center"/>
    </xf>
    <xf numFmtId="164" fontId="1" fillId="0" borderId="3" xfId="0" applyNumberFormat="1" applyFont="1" applyBorder="1" applyAlignment="1">
      <alignment horizontal="center"/>
    </xf>
    <xf numFmtId="164" fontId="17" fillId="4" borderId="3" xfId="0" applyNumberFormat="1" applyFont="1" applyFill="1" applyBorder="1" applyAlignment="1">
      <alignment horizontal="center"/>
    </xf>
    <xf numFmtId="10" fontId="17" fillId="4" borderId="3" xfId="0" applyNumberFormat="1" applyFont="1" applyFill="1" applyBorder="1" applyAlignment="1">
      <alignment horizontal="center"/>
    </xf>
    <xf numFmtId="4" fontId="1" fillId="3" borderId="3" xfId="0" applyNumberFormat="1" applyFont="1" applyFill="1" applyBorder="1" applyAlignment="1">
      <alignment horizontal="center"/>
    </xf>
    <xf numFmtId="10" fontId="15" fillId="4" borderId="2" xfId="0" applyNumberFormat="1" applyFont="1" applyFill="1" applyBorder="1" applyAlignment="1">
      <alignment horizontal="center"/>
    </xf>
    <xf numFmtId="10" fontId="2" fillId="0" borderId="2" xfId="0" applyNumberFormat="1" applyFont="1" applyBorder="1" applyAlignment="1">
      <alignment horizontal="center"/>
    </xf>
    <xf numFmtId="164" fontId="14" fillId="2" borderId="2" xfId="0" applyNumberFormat="1" applyFont="1" applyFill="1" applyBorder="1" applyAlignment="1">
      <alignment horizontal="center"/>
    </xf>
    <xf numFmtId="10" fontId="17" fillId="4" borderId="2" xfId="0" applyNumberFormat="1" applyFont="1" applyFill="1" applyBorder="1" applyAlignment="1">
      <alignment horizontal="center"/>
    </xf>
    <xf numFmtId="164" fontId="17" fillId="4" borderId="2" xfId="0" applyNumberFormat="1" applyFont="1" applyFill="1" applyBorder="1" applyAlignment="1">
      <alignment horizontal="center"/>
    </xf>
    <xf numFmtId="14" fontId="5" fillId="0" borderId="1" xfId="0" applyNumberFormat="1" applyFont="1" applyBorder="1" applyAlignment="1">
      <alignment horizontal="center"/>
    </xf>
    <xf numFmtId="2" fontId="2" fillId="0" borderId="1" xfId="0" applyNumberFormat="1" applyFont="1" applyBorder="1" applyAlignment="1">
      <alignment horizontal="center"/>
    </xf>
    <xf numFmtId="164" fontId="6" fillId="4" borderId="1" xfId="0" applyNumberFormat="1" applyFont="1" applyFill="1" applyBorder="1" applyAlignment="1">
      <alignment horizontal="center"/>
    </xf>
    <xf numFmtId="164" fontId="18" fillId="0" borderId="1" xfId="0" applyNumberFormat="1" applyFont="1" applyBorder="1" applyAlignment="1">
      <alignment horizontal="center"/>
    </xf>
    <xf numFmtId="164" fontId="18" fillId="4" borderId="1" xfId="0" applyNumberFormat="1" applyFont="1" applyFill="1" applyBorder="1" applyAlignment="1">
      <alignment horizontal="center"/>
    </xf>
    <xf numFmtId="10" fontId="18" fillId="0" borderId="1" xfId="0" applyNumberFormat="1" applyFont="1" applyBorder="1" applyAlignment="1">
      <alignment horizontal="center"/>
    </xf>
    <xf numFmtId="164" fontId="2" fillId="4" borderId="0" xfId="0" applyNumberFormat="1" applyFont="1" applyFill="1" applyAlignment="1">
      <alignment horizontal="center"/>
    </xf>
    <xf numFmtId="8" fontId="0" fillId="0" borderId="0" xfId="0" applyNumberFormat="1"/>
    <xf numFmtId="6" fontId="0" fillId="0" borderId="0" xfId="0" applyNumberFormat="1"/>
    <xf numFmtId="0" fontId="16" fillId="0" borderId="0" xfId="0" applyFont="1"/>
    <xf numFmtId="164" fontId="13" fillId="0" borderId="1" xfId="0" applyNumberFormat="1" applyFont="1" applyBorder="1" applyAlignment="1">
      <alignment horizontal="center"/>
    </xf>
    <xf numFmtId="164" fontId="5" fillId="0" borderId="1" xfId="0" applyNumberFormat="1" applyFont="1" applyBorder="1" applyAlignment="1">
      <alignment horizontal="center"/>
    </xf>
    <xf numFmtId="10" fontId="8" fillId="0" borderId="1" xfId="0" applyNumberFormat="1" applyFont="1" applyBorder="1" applyAlignment="1">
      <alignment horizontal="center"/>
    </xf>
    <xf numFmtId="167" fontId="2" fillId="0" borderId="1" xfId="0" applyNumberFormat="1" applyFont="1" applyBorder="1" applyAlignment="1">
      <alignment horizontal="center"/>
    </xf>
    <xf numFmtId="164" fontId="2" fillId="0" borderId="3" xfId="0" applyNumberFormat="1" applyFont="1" applyBorder="1"/>
    <xf numFmtId="168" fontId="1" fillId="0" borderId="0" xfId="0" applyNumberFormat="1" applyFont="1" applyAlignment="1">
      <alignment horizontal="center"/>
    </xf>
    <xf numFmtId="164" fontId="6" fillId="3" borderId="1" xfId="0" applyNumberFormat="1" applyFont="1" applyFill="1" applyBorder="1" applyAlignment="1">
      <alignment horizontal="center"/>
    </xf>
    <xf numFmtId="164" fontId="6" fillId="4" borderId="4" xfId="0" applyNumberFormat="1" applyFont="1" applyFill="1" applyBorder="1" applyAlignment="1">
      <alignment horizontal="center"/>
    </xf>
    <xf numFmtId="14" fontId="5" fillId="0" borderId="4" xfId="0" applyNumberFormat="1" applyFont="1" applyBorder="1" applyAlignment="1">
      <alignment horizontal="center"/>
    </xf>
    <xf numFmtId="164" fontId="2" fillId="3" borderId="1" xfId="0" applyNumberFormat="1" applyFont="1" applyFill="1" applyBorder="1" applyAlignment="1">
      <alignment horizontal="center"/>
    </xf>
    <xf numFmtId="164" fontId="5" fillId="3" borderId="1" xfId="0" applyNumberFormat="1" applyFont="1" applyFill="1" applyBorder="1" applyAlignment="1">
      <alignment horizontal="center"/>
    </xf>
    <xf numFmtId="10" fontId="8" fillId="4" borderId="1" xfId="0" applyNumberFormat="1" applyFont="1" applyFill="1" applyBorder="1" applyAlignment="1">
      <alignment horizontal="center"/>
    </xf>
    <xf numFmtId="2" fontId="5" fillId="4" borderId="1" xfId="0" applyNumberFormat="1" applyFont="1" applyFill="1" applyBorder="1" applyAlignment="1">
      <alignment horizontal="center"/>
    </xf>
    <xf numFmtId="2" fontId="3" fillId="0" borderId="0" xfId="0" applyNumberFormat="1" applyFont="1" applyAlignment="1">
      <alignment horizontal="center"/>
    </xf>
    <xf numFmtId="2" fontId="5" fillId="0" borderId="1" xfId="0" applyNumberFormat="1" applyFont="1" applyBorder="1" applyAlignment="1">
      <alignment horizontal="center"/>
    </xf>
    <xf numFmtId="2" fontId="2" fillId="4" borderId="1" xfId="0" applyNumberFormat="1" applyFont="1" applyFill="1" applyBorder="1" applyAlignment="1">
      <alignment horizontal="center"/>
    </xf>
    <xf numFmtId="169" fontId="2" fillId="0" borderId="0" xfId="0" applyNumberFormat="1" applyFont="1" applyAlignment="1">
      <alignment horizontal="center"/>
    </xf>
    <xf numFmtId="4" fontId="1" fillId="0" borderId="0" xfId="0" applyNumberFormat="1" applyFont="1" applyAlignment="1">
      <alignment horizontal="center"/>
    </xf>
    <xf numFmtId="0" fontId="2" fillId="0" borderId="0" xfId="0" quotePrefix="1" applyFont="1" applyAlignment="1">
      <alignment horizontal="center"/>
    </xf>
    <xf numFmtId="14" fontId="0" fillId="0" borderId="0" xfId="0" applyNumberFormat="1"/>
    <xf numFmtId="4" fontId="1" fillId="4" borderId="0" xfId="0" applyNumberFormat="1" applyFont="1" applyFill="1" applyAlignment="1">
      <alignment horizontal="center"/>
    </xf>
    <xf numFmtId="0" fontId="18" fillId="0" borderId="0" xfId="0" applyFont="1" applyAlignment="1">
      <alignment horizontal="center"/>
    </xf>
    <xf numFmtId="0" fontId="6" fillId="0" borderId="0" xfId="0" applyFont="1" applyAlignment="1">
      <alignment horizontal="center"/>
    </xf>
    <xf numFmtId="168" fontId="18" fillId="0" borderId="0" xfId="0" applyNumberFormat="1" applyFont="1" applyAlignment="1">
      <alignment horizontal="center"/>
    </xf>
    <xf numFmtId="10" fontId="6" fillId="0" borderId="0" xfId="0" applyNumberFormat="1" applyFont="1" applyAlignment="1">
      <alignment horizontal="center"/>
    </xf>
    <xf numFmtId="14" fontId="2" fillId="0" borderId="1" xfId="0" applyNumberFormat="1" applyFont="1" applyBorder="1" applyAlignment="1">
      <alignment horizontal="center"/>
    </xf>
    <xf numFmtId="10" fontId="3" fillId="0" borderId="0" xfId="0" applyNumberFormat="1" applyFont="1" applyAlignment="1">
      <alignment horizontal="center"/>
    </xf>
    <xf numFmtId="170" fontId="1" fillId="0" borderId="0" xfId="0" applyNumberFormat="1" applyFont="1" applyAlignment="1">
      <alignment horizontal="center"/>
    </xf>
    <xf numFmtId="10" fontId="8" fillId="4" borderId="0" xfId="0" applyNumberFormat="1" applyFont="1" applyFill="1" applyAlignment="1">
      <alignment horizontal="center"/>
    </xf>
    <xf numFmtId="10" fontId="9" fillId="5" borderId="2" xfId="0" applyNumberFormat="1" applyFont="1" applyFill="1" applyBorder="1" applyAlignment="1">
      <alignment horizontal="center"/>
    </xf>
    <xf numFmtId="2" fontId="19" fillId="0" borderId="0" xfId="0" applyNumberFormat="1" applyFont="1"/>
    <xf numFmtId="2" fontId="0" fillId="0" borderId="0" xfId="0" applyNumberFormat="1" applyAlignment="1">
      <alignment horizontal="left"/>
    </xf>
    <xf numFmtId="2" fontId="0" fillId="0" borderId="0" xfId="0" applyNumberFormat="1"/>
    <xf numFmtId="0" fontId="12" fillId="0" borderId="0" xfId="0" applyFont="1" applyAlignment="1">
      <alignment horizontal="left"/>
    </xf>
    <xf numFmtId="2" fontId="19" fillId="0" borderId="0" xfId="0" applyNumberFormat="1" applyFont="1" applyAlignment="1">
      <alignment horizontal="center"/>
    </xf>
  </cellXfs>
  <cellStyles count="2">
    <cellStyle name="Normal" xfId="0" builtinId="0"/>
    <cellStyle name="Normal 2" xfId="1" xr:uid="{A3A48D21-4439-46E1-ACE3-DA7868170AB4}"/>
  </cellStyles>
  <dxfs count="54">
    <dxf>
      <font>
        <color theme="0"/>
      </font>
      <fill>
        <patternFill>
          <bgColor theme="5" tint="0.39994506668294322"/>
        </patternFill>
      </fill>
    </dxf>
    <dxf>
      <font>
        <color theme="0"/>
      </font>
      <fill>
        <patternFill>
          <bgColor rgb="FFFF000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ill>
        <patternFill>
          <bgColor theme="9" tint="0.59996337778862885"/>
        </patternFill>
      </fill>
    </dxf>
    <dxf>
      <font>
        <color theme="9" tint="-0.24994659260841701"/>
      </font>
      <fill>
        <patternFill>
          <bgColor theme="0"/>
        </patternFill>
      </fill>
    </dxf>
    <dxf>
      <font>
        <color theme="0"/>
      </font>
      <fill>
        <patternFill>
          <bgColor theme="9" tint="-0.24994659260841701"/>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00B050"/>
        </patternFill>
      </fill>
    </dxf>
    <dxf>
      <font>
        <color theme="0"/>
      </font>
      <fill>
        <patternFill>
          <bgColor theme="9" tint="-0.24994659260841701"/>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9" tint="-0.24994659260841701"/>
      </font>
      <fill>
        <patternFill>
          <bgColor theme="0"/>
        </patternFill>
      </fill>
    </dxf>
    <dxf>
      <font>
        <color rgb="FF0070C0"/>
      </font>
      <fill>
        <patternFill>
          <bgColor theme="0"/>
        </patternFill>
      </fill>
    </dxf>
    <dxf>
      <font>
        <color theme="0"/>
      </font>
      <fill>
        <patternFill>
          <bgColor rgb="FF00B050"/>
        </patternFill>
      </fill>
    </dxf>
    <dxf>
      <font>
        <color theme="9" tint="-0.24994659260841701"/>
      </font>
      <fill>
        <patternFill>
          <bgColor theme="0"/>
        </patternFill>
      </fill>
    </dxf>
    <dxf>
      <font>
        <color theme="0"/>
      </font>
      <fill>
        <patternFill>
          <bgColor rgb="FF00B050"/>
        </patternFill>
      </fill>
    </dxf>
    <dxf>
      <font>
        <color theme="0"/>
      </font>
      <fill>
        <patternFill>
          <bgColor theme="9" tint="-0.24994659260841701"/>
        </patternFill>
      </fill>
    </dxf>
    <dxf>
      <font>
        <color theme="9" tint="-0.24994659260841701"/>
      </font>
      <fill>
        <patternFill>
          <bgColor theme="0"/>
        </patternFill>
      </fill>
    </dxf>
    <dxf>
      <font>
        <color theme="0"/>
      </font>
      <fill>
        <patternFill>
          <bgColor rgb="FF00B050"/>
        </patternFill>
      </fill>
    </dxf>
    <dxf>
      <font>
        <color theme="0"/>
      </font>
      <fill>
        <patternFill>
          <bgColor rgb="FF00B050"/>
        </patternFill>
      </fill>
    </dxf>
    <dxf>
      <font>
        <color theme="0"/>
      </font>
      <fill>
        <patternFill>
          <bgColor rgb="FF00B050"/>
        </patternFill>
      </fill>
    </dxf>
    <dxf>
      <font>
        <color theme="0"/>
      </font>
      <fill>
        <patternFill>
          <bgColor rgb="FF00B050"/>
        </patternFill>
      </fill>
    </dxf>
    <dxf>
      <font>
        <color theme="9" tint="-0.24994659260841701"/>
      </font>
      <fill>
        <patternFill>
          <bgColor theme="0"/>
        </patternFill>
      </fill>
    </dxf>
    <dxf>
      <font>
        <color theme="0"/>
      </font>
      <fill>
        <patternFill>
          <bgColor rgb="FF00B050"/>
        </patternFill>
      </fill>
    </dxf>
    <dxf>
      <font>
        <color theme="9" tint="-0.24994659260841701"/>
      </font>
      <fill>
        <patternFill>
          <bgColor theme="0"/>
        </patternFill>
      </fill>
    </dxf>
    <dxf>
      <font>
        <color theme="0"/>
      </font>
      <fill>
        <patternFill>
          <bgColor theme="9" tint="0.39994506668294322"/>
        </patternFill>
      </fill>
    </dxf>
    <dxf>
      <font>
        <color theme="9" tint="-0.24994659260841701"/>
      </font>
      <fill>
        <patternFill>
          <bgColor theme="0"/>
        </patternFill>
      </fill>
    </dxf>
    <dxf>
      <font>
        <color theme="0"/>
      </font>
      <fill>
        <patternFill>
          <bgColor rgb="FF00B050"/>
        </patternFill>
      </fill>
    </dxf>
    <dxf>
      <font>
        <color theme="0"/>
      </font>
      <fill>
        <patternFill>
          <bgColor theme="5" tint="0.39994506668294322"/>
        </patternFill>
      </fill>
    </dxf>
    <dxf>
      <font>
        <color rgb="FF0070C0"/>
      </font>
      <fill>
        <patternFill>
          <bgColor theme="0"/>
        </patternFill>
      </fill>
    </dxf>
    <dxf>
      <font>
        <color theme="0"/>
      </font>
      <fill>
        <patternFill>
          <bgColor rgb="FF00B050"/>
        </patternFill>
      </fill>
    </dxf>
    <dxf>
      <font>
        <b/>
        <i val="0"/>
        <color rgb="FF0070C0"/>
      </font>
      <fill>
        <patternFill patternType="none">
          <bgColor auto="1"/>
        </patternFill>
      </fill>
    </dxf>
    <dxf>
      <font>
        <b/>
        <i val="0"/>
        <color theme="0"/>
      </font>
      <fill>
        <patternFill>
          <bgColor rgb="FF0070C0"/>
        </patternFill>
      </fill>
    </dxf>
    <dxf>
      <font>
        <b/>
        <i val="0"/>
        <color theme="0"/>
      </font>
      <fill>
        <patternFill>
          <bgColor rgb="FF0070C0"/>
        </patternFill>
      </fill>
    </dxf>
    <dxf>
      <font>
        <b/>
        <i val="0"/>
        <color rgb="FF00B050"/>
      </font>
    </dxf>
    <dxf>
      <font>
        <b/>
        <i val="0"/>
        <color theme="9" tint="0.59996337778862885"/>
      </font>
    </dxf>
    <dxf>
      <font>
        <b/>
        <i val="0"/>
        <color theme="9" tint="0.59996337778862885"/>
      </font>
    </dxf>
    <dxf>
      <font>
        <b/>
        <i val="0"/>
        <color rgb="FF00B050"/>
      </font>
    </dxf>
    <dxf>
      <font>
        <color rgb="FF00B050"/>
      </font>
    </dxf>
    <dxf>
      <font>
        <color rgb="FF00B050"/>
      </font>
    </dxf>
    <dxf>
      <font>
        <color rgb="FF00B050"/>
      </font>
    </dxf>
    <dxf>
      <font>
        <b/>
        <i val="0"/>
        <color theme="0"/>
      </font>
      <fill>
        <patternFill>
          <bgColor rgb="FF00B050"/>
        </patternFill>
      </fill>
    </dxf>
    <dxf>
      <font>
        <b/>
        <i val="0"/>
        <color theme="0"/>
      </font>
      <fill>
        <patternFill>
          <bgColor rgb="FF00B050"/>
        </patternFill>
      </fill>
    </dxf>
    <dxf>
      <font>
        <b/>
        <i val="0"/>
        <color auto="1"/>
      </font>
      <fill>
        <patternFill patternType="none">
          <bgColor auto="1"/>
        </patternFill>
      </fill>
    </dxf>
    <dxf>
      <font>
        <b/>
        <i val="0"/>
        <color theme="0"/>
      </font>
      <fill>
        <patternFill>
          <bgColor rgb="FF00B050"/>
        </patternFill>
      </fill>
    </dxf>
    <dxf>
      <font>
        <b/>
        <i val="0"/>
        <color auto="1"/>
      </font>
      <fill>
        <patternFill patternType="none">
          <bgColor auto="1"/>
        </patternFill>
      </fill>
    </dxf>
    <dxf>
      <font>
        <b/>
        <i val="0"/>
        <color theme="0"/>
      </font>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823">
  <rv s="0">
    <v>https://www.bing.com/financeapi/forcetrigger?t=bx3d27&amp;q=BVMF%3aGOLD11&amp;form=skydnc</v>
    <v>Learn more on Bing</v>
  </rv>
  <rv s="1">
    <v>pt-BR</v>
    <v>bx3d27</v>
    <v>268435456</v>
    <v>1</v>
    <v>Da plataforma Refinitiv</v>
    <v>0</v>
    <v>1</v>
    <v>Trend ETF LBMA Ouro FIInd IE (BVMF:GOLD11)</v>
    <v>3</v>
    <v>4</v>
    <v>Finance</v>
    <v>5</v>
    <v>20.82</v>
    <v>13.96</v>
    <v>BVMF</v>
    <v>18.91</v>
    <v>18.78</v>
    <v>0.98250000000000004</v>
    <v>B3 - Brazil Stock Exchange</v>
    <v>1798472393.5</v>
    <v>18.87</v>
    <v>45884.958333333336</v>
    <v>0</v>
    <v>BRL</v>
    <v>Trend ETF LBMA Ouro FIInd IE</v>
    <v>18.86</v>
    <v>18.82</v>
    <v>GOLD11</v>
    <v>Fundos mais negociados</v>
    <v>Trend ETF LBMA Ouro FIInd IE (BVMF:GOLD11)</v>
    <v>-0.05</v>
    <v>-2.65E-3</v>
    <v>1084173</v>
  </rv>
  <rv s="2">
    <v>1</v>
  </rv>
  <rv s="0">
    <v>https://www.bing.com/financeapi/forcetrigger?t=apnmnm&amp;q=SAO+PAULO+SE+BOVESPA+INDEX&amp;form=skydnc</v>
    <v>Learn more on Bing</v>
  </rv>
  <rv s="3">
    <v>pt-BR</v>
    <v>apnmnm</v>
    <v>268435456</v>
    <v>1</v>
    <v>Da plataforma Refinitiv</v>
    <v>6</v>
    <v>7</v>
    <v>SAO PAULO SE BOVESPA INDEX</v>
    <v>3</v>
    <v>8</v>
    <v>Finance</v>
    <v>9</v>
    <v>141563.85</v>
    <v>118222.64</v>
    <v>136431.44</v>
    <v>135583.07</v>
    <v>136355.78</v>
    <v>3</v>
    <v>SAO PAULO SE BOVESPA INDEX</v>
    <v>BR</v>
    <v>136354.37</v>
    <v>136340.76999999999</v>
    <v>IBOV</v>
    <v>Índice</v>
    <v>SAO PAULO SE BOVESPA INDEX</v>
    <v>-15.01</v>
    <v>-1.1010000000000001E-4</v>
  </rv>
  <rv s="2">
    <v>4</v>
  </rv>
  <rv s="4">
    <v>12</v>
    <v>Média de volume</v>
    <v>0</v>
  </rv>
  <rv s="5">
    <v>13</v>
    <v>3</v>
  </rv>
  <rv s="6">
    <v>13</v>
    <v>1</v>
  </rv>
  <rv s="0">
    <v>https://www.bing.com/financeapi/forcetrigger?t=apm8oc&amp;q=BVMF%3aEQPA7&amp;form=skydnc</v>
    <v>Learn more on Bing</v>
  </rv>
  <rv s="7">
    <v>pt-BR</v>
    <v>apm8oc</v>
    <v>268435456</v>
    <v>1</v>
    <v>Da plataforma Refinitiv</v>
    <v>10</v>
    <v>11</v>
    <v>EQUATORIAL PARÁ DISTRIBUIDORA DE ENERGIA S.A (BVMF:EQPA7)</v>
    <v>12</v>
    <v>13</v>
    <v>Finance</v>
    <v>5</v>
    <v>8.0500000000000007</v>
    <v>6.52</v>
    <v>BVMF</v>
    <v>4453440</v>
    <v>6.88</v>
    <v>1960</v>
    <v>6.52</v>
    <v>0.64129999999999998</v>
    <v>B3 - Brazil Stock Exchange</v>
    <v>31373830</v>
    <v>A Equatorial Para Distribuidora de Energia SA, anteriormente Centrais Elétricas do Pará SA CELPA, é uma empresa sediada no Brasil envolvida no setor de energia. A Companhia atua principalmente na distribuição e geração de energia elétrica para consumo residencial, comercial, industrial e rural. A área de concessão da Companhia abrange todo o estado brasileiro do Pará, incluindo aproximadamente 7,7 milhões de pessoas em 143 municípios. Em 31 de dezembro de 2011, a CELPA operava 11 centrais térmicas com capacidade instalada de 22,47 megawatts e atendia aproximadamente 1,84 milhão de consumidores. A Companhia faz parte do Grupo Rede Energia. Em 31 de dezembro de 2011, a Companhia estava em processo de insolvência. Em 1º de novembro de 2012, a Equatorial Energia SA encerrou a aquisição de 61,37% do capital social da Companhia.</v>
    <v>BVMF</v>
    <v>8.0500000000000007</v>
    <v>1753</v>
    <v>45867.947916666664</v>
    <v>9</v>
    <v>BRL</v>
    <v>EQUATORIAL PARÁ DISTRIBUIDORA DE ENERGIA S.A</v>
    <v>EQUATORIAL PARÁ DISTRIBUIDORA DE ENERGIA S.A</v>
    <v>6.88</v>
    <v>6.52</v>
    <v>Rod Augusto Montenegro Km 8,5, Coqueiro, BELEM, PARA, 66.823-010 BR</v>
    <v>Electrical Utilities &amp; IPPs</v>
    <v>EQPA7</v>
    <v>Ações</v>
    <v>EQUATORIAL PARÁ DISTRIBUIDORA DE ENERGIA S.A (BVMF:EQPA7)</v>
    <v>-1.53</v>
    <v>-0.19006200000000001</v>
    <v>300</v>
  </rv>
  <rv s="2">
    <v>10</v>
  </rv>
  <rv s="0">
    <v>https://www.bing.com/financeapi/forcetrigger?t=apm9hw&amp;q=BVMF%3aCGRA4&amp;form=skydnc</v>
    <v>Learn more on Bing</v>
  </rv>
  <rv s="8">
    <v>pt-BR</v>
    <v>apm9hw</v>
    <v>268435456</v>
    <v>1</v>
    <v>Da plataforma Refinitiv</v>
    <v>14</v>
    <v>15</v>
    <v>GRAZZIOTIN S.A. (BVMF:CGRA4)</v>
    <v>12</v>
    <v>16</v>
    <v>Finance</v>
    <v>5</v>
    <v>29.6</v>
    <v>21.02</v>
    <v>BVMF</v>
    <v>20585620</v>
    <v>26.36</v>
    <v>1950</v>
    <v>25.32</v>
    <v>0.5877</v>
    <v>B3 - Brazil Stock Exchange</v>
    <v>532368200</v>
    <v>A Grazziotin S.A. é uma empresa brasileira que atua essencialmente no comércio varejista. A Empresa vende roupas, sapatos, acessórios e mobiliário doméstico, entre outros. Atua nos estados brasileiros do Rio Grande do Sul, Paraná e Santa Catarina. Em 31 de dezembro de 2011, a Grazziotin S.A. operava 283 lojas divididas em quatro redes de lojas. As lojas de departamento Grazziotin vendem roupas, calçados e perfumes. As lojas Tottal são especializadas em produtos para atividades de lazer e mobiliário doméstico. A cadeia Pormenos é formada por lojas de varejo de roupas com o sistema de autoatendimento. A cadeia Franco Giorgi tem sua própria marca e é especializada em roupas masculinas. Em 31 de dezembro de 2011, a Empresa possuía três subsidiárias diretas: Centro Shopping Empreendimentos e Participações Ltda., que atua na administração do Shopping Center de Porto Alegre; Grato Agropecuária Ltda., que se dedica à pecuária e plantio de soja e milho; e Trevi Participações Ltda. que atua no setor financeiro.</v>
    <v>BVMF</v>
    <v>25.08</v>
    <v>2795</v>
    <v>45884.958333333336</v>
    <v>12</v>
    <v>16950</v>
    <v>BRL</v>
    <v>GRAZZIOTIN S.A.</v>
    <v>GRAZZIOTIN S.A.</v>
    <v>25.99</v>
    <v>26</v>
    <v>Rua Valentin Grazziotin, 077, Sao Cristovao, PASSO FUNDO, RIO GRANDE DO SUL, 99.060-030 BR</v>
    <v>Diversified Retail</v>
    <v>CGRA4</v>
    <v>Ações</v>
    <v>GRAZZIOTIN S.A. (BVMF:CGRA4)</v>
    <v>0.92</v>
    <v>3.6683E-2</v>
    <v>32500</v>
  </rv>
  <rv s="2">
    <v>13</v>
  </rv>
  <rv s="0">
    <v>https://www.bing.com/financeapi/forcetrigger?t=apnhoc&amp;q=BVMF%3aTRPL4&amp;form=skydnc</v>
    <v>Learn more on Bing</v>
  </rv>
  <rv s="8">
    <v>pt-BR</v>
    <v>apnhoc</v>
    <v>268435456</v>
    <v>1</v>
    <v>Da plataforma Refinitiv</v>
    <v>14</v>
    <v>15</v>
    <v>ISA ENERGIA BRASIL S.A. (BVMF:ISAE4)</v>
    <v>12</v>
    <v>16</v>
    <v>Finance</v>
    <v>5</v>
    <v>24.39</v>
    <v>20.38</v>
    <v>BVMF</v>
    <v>658883300</v>
    <v>22.25</v>
    <v>1999</v>
    <v>21.97</v>
    <v>0.7036</v>
    <v>B3 - Brazil Stock Exchange</v>
    <v>16703660000</v>
    <v>A ISA Energia Brasil SA, anteriormente CTEEP - Companhia de Transmissão de Energia Elétrica Paulista, é uma empresa pública brasileira que atua na indústria de energia elétrica. A Companhia é concessionária de serviço público de energia elétrica, e está principalmente envolvida na transmissão de energia, o que requer planejamento, implantação de infraestrutura e operação e manutenção de sistemas de transmissão de energia subordinados. A empresa também faz investimentos, gerencia pesquisas e desenvolve programas relacionados à transmissão de energia e outras atividades relacionadas à tecnologia disponível. A Companhia está presente e atua em diversos estados através de suas subsidiárias e faz parte das empresas que formam o grupo econômico ISA, que atua há décadas no setor de transmissão de energia elétrica na Colômbia.</v>
    <v>BVMF</v>
    <v>22.02</v>
    <v>1700</v>
    <v>45884.958356481482</v>
    <v>15</v>
    <v>2192490</v>
    <v>BRL</v>
    <v>ISA ENERGIA BRASIL S.A.</v>
    <v>ISA ENERGIA BRASIL S.A.</v>
    <v>22.03</v>
    <v>22.13</v>
    <v>Av. das Nacoes Unidas 14171 - Torre Crystal, 6 andar, Vila Gertrudes, SAO PAULO, SAO PAULO, 04.794-000 BR</v>
    <v>Electrical Utilities &amp; IPPs</v>
    <v>ISAE4</v>
    <v>Ações</v>
    <v>ISA ENERGIA BRASIL S.A. (BVMF:ISAE4)</v>
    <v>0.11</v>
    <v>4.9950000000000003E-3</v>
    <v>1749700</v>
  </rv>
  <rv s="2">
    <v>16</v>
  </rv>
  <rv s="0">
    <v>https://www.bing.com/financeapi/forcetrigger?t=aplzr7&amp;q=BVMF%3aBEES3&amp;form=skydnc</v>
    <v>Learn more on Bing</v>
  </rv>
  <rv s="8">
    <v>pt-BR</v>
    <v>aplzr7</v>
    <v>268435456</v>
    <v>1</v>
    <v>Da plataforma Refinitiv</v>
    <v>14</v>
    <v>15</v>
    <v>BANESTES S.A. – Banco do Estado do Espírito Santo (BVMF:BEES3)</v>
    <v>12</v>
    <v>16</v>
    <v>Finance</v>
    <v>5</v>
    <v>9.15</v>
    <v>7.63</v>
    <v>BVMF</v>
    <v>315912900</v>
    <v>8.5500000000000007</v>
    <v>1937</v>
    <v>8.48</v>
    <v>0.43580000000000002</v>
    <v>B3 - Brazil Stock Exchange</v>
    <v>2677717000</v>
    <v>O Banestes S.A. - Banco do Estado do Espírito Santo é um banco comercial brasileiro. O Banco presta diversos serviços financeiros, incluindo um portfólio de créditos comerciais, rurais, industriais e imobiliários; câmbio; operações de leasing; administração de cartão de crédito e gestão de fundos de investimento, entre outros. Através de suas subsidiárias, o Banco também oferece produtos de seguros, além de distribuição, corretagem e gestão de ativos de terceiros. Além disso, atua na gestão do programa de alimentação dos trabalhadores (PAT). Em 31 de dezembro de 2011, as subsidiárias do Banco incluíam a Banestes Seguros S.A., Banestes Distribuidora de Títulos e Valores Mobiliários S.A. e Banestes Administradora e Corretora de Seguros Previdência e Capitalização Ltda. Em 17 de janeiro de 2012, a Empresa incorporou suas subsidiárias Banestes Seguros S.A. e Banestes Distribuidora de Títulos e Valores Mobiliários S.A.</v>
    <v>BVMF</v>
    <v>8.4600000000000009</v>
    <v>2204</v>
    <v>45884.958333333336</v>
    <v>18</v>
    <v>10500</v>
    <v>BRL</v>
    <v>BANESTES S.A. – Banco do Estado do Espírito Santo</v>
    <v>BANESTES S.A. – Banco do Estado do Espírito Santo</v>
    <v>8.5</v>
    <v>8.5399999999999991</v>
    <v>Av Princesa Isabel 574, BL B, 9 ANDAR, Centro, VITORIA, ESPIRITO SANTO, 29.010-931 BR</v>
    <v>Banking Services</v>
    <v>BEES3</v>
    <v>Ações</v>
    <v>BANESTES S.A. – Banco do Estado do Espírito Santo (BVMF:BEES3)</v>
    <v>0.08</v>
    <v>9.4559999999999991E-3</v>
    <v>12000</v>
  </rv>
  <rv s="2">
    <v>19</v>
  </rv>
  <rv s="0">
    <v>https://www.bing.com/financeapi/forcetrigger?t=apltyc&amp;q=BVMF%3aABEV3&amp;form=skydnc</v>
    <v>Learn more on Bing</v>
  </rv>
  <rv s="8">
    <v>pt-BR</v>
    <v>apltyc</v>
    <v>268435456</v>
    <v>1</v>
    <v>Da plataforma Refinitiv</v>
    <v>14</v>
    <v>15</v>
    <v>Ambev S.A. (BVMF:ABEV3)</v>
    <v>12</v>
    <v>16</v>
    <v>Finance</v>
    <v>5</v>
    <v>14.74</v>
    <v>10.42</v>
    <v>BVMF</v>
    <v>15761640000</v>
    <v>12.11</v>
    <v>2005</v>
    <v>11.96</v>
    <v>0.67679999999999996</v>
    <v>B3 - Brazil Stock Exchange</v>
    <v>189770145600</v>
    <v>A Ambev SA, anteriormente Inbev Participações Societarias SA, é uma empresa brasileira com sede no setor cervejeiro. A Companhia produz, distribui e vende cerveja, refrigerantes com gás (CSDs) e outras bebidas não alcoólicas e não carbonatadas (NANC) nas Américas. As atividades da Companhia estão divididas em três segmentos: América Latina do Norte, incluindo venda de cerveja, refrigerantes e bebidas NANC no Brasil, além de operações na República Dominicana, São Vicente, Antígua, Dominica, Cuba, Guatemala, El Salvador, Honduras, Nicarágua, Barbados e Panamá; América Latina Sul, distribuindo produtos na Argentina, Bolívia, Paraguai, Uruguai, Chile; e Canadá, representado pelas operações da Labatt, que inclui vendas no Canadá e algumas exportações para o mercado dos EUA. A Companhia comercializa produtos com várias marcas, como Adriatica, Brahma, Leffe, Budweiser, Corona, PepsiCo e Lipton. É uma subsidiária da Interbrew International BV.</v>
    <v>BVMF</v>
    <v>12.02</v>
    <v>43000</v>
    <v>45884.958333333336</v>
    <v>21</v>
    <v>32362040</v>
    <v>BRL</v>
    <v>Ambev S.A.</v>
    <v>Ambev S.A.</v>
    <v>12</v>
    <v>12.04</v>
    <v>Rua Dr. Renato Paes de Barros, 1.017, 4 andar, Itaim Bibi, SAO PAULO, SAO PAULO, 04.530-001 BR</v>
    <v>Beverages</v>
    <v>ABEV3</v>
    <v>Ações</v>
    <v>Ambev S.A. (BVMF:ABEV3)</v>
    <v>0.02</v>
    <v>1.6639999999999999E-3</v>
    <v>22216800</v>
  </rv>
  <rv s="2">
    <v>22</v>
  </rv>
  <rv s="0">
    <v>https://www.bing.com/financeapi/forcetrigger?t=apnahw&amp;q=BVMF%3aRPMG3&amp;form=skydnc</v>
    <v>Learn more on Bing</v>
  </rv>
  <rv s="9">
    <v>pt-BR</v>
    <v>apnahw</v>
    <v>268435456</v>
    <v>1</v>
    <v>Da plataforma Refinitiv</v>
    <v>17</v>
    <v>18</v>
    <v>REFINARIA DE PETROLEOS DE MANGUINHOS S/A - EM RECUPERACAO JUDICIAL (BVMF:RPMG3)</v>
    <v>12</v>
    <v>19</v>
    <v>Finance</v>
    <v>5</v>
    <v>3.25</v>
    <v>2.4</v>
    <v>BVMF</v>
    <v>67691630</v>
    <v>2.9</v>
    <v>1946</v>
    <v>2.9</v>
    <v>0.8498</v>
    <v>B3 - Brazil Stock Exchange</v>
    <v>196305727</v>
    <v>A Refinaria de Petróleos de Manguinhos S.A. em Recuperação Judicial é uma empresa sediada no Brasil, que se dedica principalmente ao refino de petróleo. A Companhia atua na operação de uma refinaria de petróleo, localizada no estado do Rio de Janeiro, bem como na importação de petróleo bruto e venda de derivados de petróleo. O portfólio de produtos da Companhia inclui gasolina, diesel, destilados minerais, hexano, heptanos, óleo mineral de parafina e óleos lubrificantes. Além disso, fornece serviços de armazenamento, carregamento e descarregamento de carga para outras empresas. A Companhia possui diversas controladas, incluindo Manguinhos Distribuidora SA, Manguinhos Química SA, Biomanguinhos Produtora de Biodiesel SA e Manguinhos Terminais de Graneis Liquidos SA.</v>
    <v>BVMF</v>
    <v>2.87</v>
    <v>45884.958333333336</v>
    <v>24</v>
    <v>7430</v>
    <v>BRL</v>
    <v>REFINARIA DE PETROLEOS DE MANGUINHOS S/A - EM RECUPERACAO JUDICIAL</v>
    <v>REFINARIA DE PETROLEOS DE MANGUINHOS S/A - EM RECUPERACAO JUDICIAL</v>
    <v>2.9</v>
    <v>2.9</v>
    <v>Avenida Brasil, 3.141,n/a, Benfica, RIO DE JANEIRO, RIO DE JANEIRO, 20.930-041 BR</v>
    <v>Oil &amp; Gas</v>
    <v>RPMG3</v>
    <v>Ações</v>
    <v>REFINARIA DE PETROLEOS DE MANGUINHOS S/A - EM RECUPERACAO JUDICIAL (BVMF:RPMG3)</v>
    <v>0.03</v>
    <v>1.0452999999999999E-2</v>
    <v>200</v>
  </rv>
  <rv s="2">
    <v>25</v>
  </rv>
  <rv s="0">
    <v>https://www.bing.com/financeapi/forcetrigger?t=bvcw27&amp;q=BVMF%3aDMVF3&amp;form=skydnc</v>
    <v>Learn more on Bing</v>
  </rv>
  <rv s="8">
    <v>pt-BR</v>
    <v>bvcw27</v>
    <v>268435456</v>
    <v>1</v>
    <v>Da plataforma Refinitiv</v>
    <v>14</v>
    <v>15</v>
    <v>d1000 Varejo Farma Participações S.A. (BVMF:DMVF3)</v>
    <v>12</v>
    <v>16</v>
    <v>Finance</v>
    <v>5</v>
    <v>7.85</v>
    <v>4.4400000000000004</v>
    <v>BVMF</v>
    <v>50602840</v>
    <v>4.6500000000000004</v>
    <v>2010</v>
    <v>4.5</v>
    <v>0.95640000000000003</v>
    <v>B3 - Brazil Stock Exchange</v>
    <v>230242922</v>
    <v>A d1000 Varejo Farma Participações SA é um varejista farmacêutico com sede no Brasil. Por meio das marcas Drogasmil, Farmalife, Drogarias Tamoio e Drogaria Rosario, a Empresa comercializa medicamentos, suplementos alimentares e cosméticos, entre outros. Opera cerca de 300 lojas nos Estados do Rio de Janeiro, Goiás, Mato Grosso, Tocantins e Distrito Federal. A Companhia é a Unidade de Negócio Varejo do Grupo Profarma.</v>
    <v>BVMF</v>
    <v>4.5999999999999996</v>
    <v>4200</v>
    <v>45884.958391203705</v>
    <v>27</v>
    <v>52340</v>
    <v>BRL</v>
    <v>d1000 Varejo Farma Participações S.A.</v>
    <v>d1000 Varejo Farma Participações S.A.</v>
    <v>4.6399999999999997</v>
    <v>4.55</v>
    <v>Avenida Ayrton Senna, n 2.150 Bloco P, 3 andar, Barra Da Tijuca, Rio De Janeiro, RIO DE JANEIRO, 22.775-003 BR</v>
    <v>Food &amp; Drug Retailing</v>
    <v>DMVF3</v>
    <v>Ações</v>
    <v>d1000 Varejo Farma Participações S.A. (BVMF:DMVF3)</v>
    <v>-0.05</v>
    <v>-1.0869999999999999E-2</v>
    <v>68200</v>
  </rv>
  <rv s="2">
    <v>28</v>
  </rv>
  <rv s="0">
    <v>https://www.bing.com/financeapi/forcetrigger?t=apncjc&amp;q=BVMF%3aSLCE3&amp;form=skydnc</v>
    <v>Learn more on Bing</v>
  </rv>
  <rv s="8">
    <v>pt-BR</v>
    <v>apncjc</v>
    <v>268435456</v>
    <v>1</v>
    <v>Da plataforma Refinitiv</v>
    <v>14</v>
    <v>15</v>
    <v>SLC Agrícola S.A. (BVMF:SLCE3)</v>
    <v>12</v>
    <v>16</v>
    <v>Finance</v>
    <v>5</v>
    <v>20.420000000000002</v>
    <v>16.22</v>
    <v>BVMF</v>
    <v>443329700</v>
    <v>17.190000000000001</v>
    <v>1977</v>
    <v>16.899999999999999</v>
    <v>0.4844</v>
    <v>B3 - Brazil Stock Exchange</v>
    <v>7492271929</v>
    <v>A SLC Agricola SA é uma empresa sediada no Brasil que atua principalmente no setor agrícola. A Companhia atua em todo o ciclo de produção agrícola, que inclui planejamento, compra de suprimentos, preparação do solo, plantio e colheita, bem como processamento e armazenamento, entre outros. As atividades da Companhia estão divididas em dois segmentos de negócio: Produção Agrícola e Portfólio de Terras. A divisão de Produção Agrícola concentra-se no desenvolvimento de plantações de várias culturas, como algodão, soja, milho, trigo, café, sorgo, cana-de-açúcar e girassol. A divisão de portfólio de terrenos é responsável pela aquisição e desenvolvimento de terras para agricultura. A Companhia atua por meio de diversas subsidiárias, como Fazenda Planorte Empreendimentos Agricolas Ltda, SLC-MIT Empreendimentos Agricolas SA e Fazenda Parnaiba Empreendimentos Agricolas Ltda.</v>
    <v>BVMF</v>
    <v>17.11</v>
    <v>6065</v>
    <v>45884.958356481482</v>
    <v>30</v>
    <v>2101170</v>
    <v>BRL</v>
    <v>SLC Agrícola S.A.</v>
    <v>SLC Agrícola S.A.</v>
    <v>17.079999999999998</v>
    <v>16.899999999999999</v>
    <v>Rua Bernardo Pires, 128,4andar, Porto Alegre, PORTO ALEGRE, RIO GRANDE DO SUL, 90.620-010 BR</v>
    <v>Food &amp; Tobacco</v>
    <v>SLCE3</v>
    <v>Ações</v>
    <v>SLC Agrícola S.A. (BVMF:SLCE3)</v>
    <v>-0.21</v>
    <v>-1.2274E-2</v>
    <v>1894000</v>
  </rv>
  <rv s="2">
    <v>31</v>
  </rv>
  <rv s="0">
    <v>https://www.bing.com/financeapi/forcetrigger?t=bxiatc&amp;q=BVMF%3aOPCT3&amp;form=skydnc</v>
    <v>Learn more on Bing</v>
  </rv>
  <rv s="8">
    <v>pt-BR</v>
    <v>bxiatc</v>
    <v>268435456</v>
    <v>1</v>
    <v>Da plataforma Refinitiv</v>
    <v>14</v>
    <v>15</v>
    <v>Oceanpact Serviços Maritimos S.A. (BVMF:OPCT3)</v>
    <v>12</v>
    <v>16</v>
    <v>Finance</v>
    <v>5</v>
    <v>7.26</v>
    <v>4.8499999999999996</v>
    <v>BVMF</v>
    <v>199959500</v>
    <v>6.51</v>
    <v>2007</v>
    <v>6.2</v>
    <v>1.2831999999999999</v>
    <v>B3 - Brazil Stock Exchange</v>
    <v>1271742420</v>
    <v>Oceanpact Servicos Maritimos SA é uma prestadora de serviços marítimos com sede no Brasil. As atividades da Empresa são divididas em três unidades de negócios: Meio Ambiente, Submarino e Logística e Engenharia. A área de Meio Ambiente se dedica a serviços de proteção, levantamentos oceanográficos, licenciamentos e estudos ambientais, segurança operacional e remediação ambiental. A unidade Submarina está focada em serviços de geofísica, geotécnica, inspeção, reparo e manutenção, bem como no apoio à construção e descomissionamento de empreendimentos offshore. A divisão de Logística e Engenharia presta serviços relacionados com logística marítima, bases de apoio offshore, engenharia portuária e costeira, construção civil e industrial, obras marítimas e portuárias, dragagem e instalações e limpeza industrial. A empresa atende clientes principalmente nos setores de petróleo e gás, energia e telecomunicações.</v>
    <v>BVMF</v>
    <v>6.54</v>
    <v>2162</v>
    <v>45884.958391203705</v>
    <v>33</v>
    <v>454620</v>
    <v>BRL</v>
    <v>Oceanpact Serviços Maritimos S.A.</v>
    <v>Oceanpact Serviços Maritimos S.A.</v>
    <v>6.5</v>
    <v>6.36</v>
    <v>Rua da Gloria, n 122, salas 801 e 802 10 pavimento salas 901 e 902, Gloria, RIO DE JANEIRO, RIO DE JANEIRO, 20.241-180 BR</v>
    <v>Professional &amp; Commercial Services</v>
    <v>OPCT3</v>
    <v>Ações</v>
    <v>Oceanpact Serviços Maritimos S.A. (BVMF:OPCT3)</v>
    <v>-0.18</v>
    <v>-2.7522999999999999E-2</v>
    <v>570500</v>
  </rv>
  <rv s="2">
    <v>34</v>
  </rv>
  <rv s="0">
    <v>http://en.wikipedia.org/wiki/Public_domain</v>
    <v>Public domain</v>
  </rv>
  <rv s="0">
    <v>http://en.wikipedia.org/wiki/Santander_Brasil</v>
    <v>Wikipedia</v>
  </rv>
  <rv s="10">
    <v>36</v>
    <v>37</v>
  </rv>
  <rv s="11">
    <v>25</v>
    <v>https://www.bing.com/th?id=AMMS_e9bd359a34230065992cf9d9d217596e&amp;qlt=95</v>
    <v>38</v>
    <v>0</v>
    <v>https://www.bing.com/images/search?form=xlimg&amp;q=santander+brasil</v>
    <v>Image of Banco Santander (Brasil) S.A.</v>
  </rv>
  <rv s="0">
    <v>https://www.bing.com/financeapi/forcetrigger?t=apnaz2&amp;q=BVMF%3aSANB4&amp;form=skydnc</v>
    <v>Learn more on Bing</v>
  </rv>
  <rv s="12">
    <v>pt-BR</v>
    <v>apnaz2</v>
    <v>268435456</v>
    <v>1</v>
    <v>Da plataforma Refinitiv</v>
    <v>20</v>
    <v>21</v>
    <v>Banco Santander (Brasil) S.A. (BVMF:SANB4)</v>
    <v>23</v>
    <v>24</v>
    <v>Finance</v>
    <v>5</v>
    <v>15.72</v>
    <v>11.51</v>
    <v>BVMF</v>
    <v>3749266000</v>
    <v>14.17</v>
    <v>1985</v>
    <v>13.9</v>
    <v>1.0992999999999999</v>
    <v>B3 - Brazil Stock Exchange</v>
    <v>100541400000</v>
    <v>O Banco Santander Brasil SA é um banco brasileiro. O Banco atua através de dois segmentos: Varejo e Atacado. O segmento Varejo presta serviços financeiros a particulares, bem como a pequenas e médias empresas. O segmento de Atacado concentra-se em grandes corporações e mercados de capitais. Juntamente com as suas subsidiárias, o Banco oferece uma gama de serviços financeiros, incluindo serviços bancários de consumo, comercial e de investimento, empréstimos e financiamentos, empréstimos hipotecários, leasing, operações de cartão de crédito e câmbio. O Banco também está envolvido nas operações de gestão de ativos, capitalização, corretagem de valores mobiliários, corretagem de seguros e planos de pensões. A Companhia possui diversas subsidiárias, como Santander Corretora de Cambio e Valores Mobiliarios SA, Banco Bandepe SA e Sancap Investimentos e Participações SA, entre outras.</v>
    <v>BVMF</v>
    <v>14.06</v>
    <v>53918</v>
    <v>45884.958333333336</v>
    <v>39</v>
    <v>40</v>
    <v>50460</v>
    <v>BRL</v>
    <v>Banco Santander (Brasil) S.A.</v>
    <v>Banco Santander (Brasil) S.A.</v>
    <v>13.9</v>
    <v>14.08</v>
    <v>Avenida Presidente Juscelino Kubitschek, n 2041 CJ 281, Bloco A, Vila Nova Conceicao, SAO PAULO, SAO PAULO, 04.543-011 BR</v>
    <v>Banking Services</v>
    <v>SANB4</v>
    <v>Ações</v>
    <v>Banco Santander (Brasil) S.A. (BVMF:SANB4)</v>
    <v>0.02</v>
    <v>1.4219999999999999E-3</v>
    <v>35300</v>
  </rv>
  <rv s="2">
    <v>41</v>
  </rv>
  <rv s="0">
    <v>https://www.bing.com/financeapi/forcetrigger?t=apnlr7&amp;q=BVMF%3aWHRL4&amp;form=skydnc</v>
    <v>Learn more on Bing</v>
  </rv>
  <rv s="8">
    <v>pt-BR</v>
    <v>apnlr7</v>
    <v>268435456</v>
    <v>1</v>
    <v>Da plataforma Refinitiv</v>
    <v>14</v>
    <v>15</v>
    <v>WHIRLPOOL S.A. (BVMF:WHRL4)</v>
    <v>12</v>
    <v>16</v>
    <v>Finance</v>
    <v>5</v>
    <v>5.08</v>
    <v>3.61</v>
    <v>BVMF</v>
    <v>1502786000</v>
    <v>4.74</v>
    <v>1957</v>
    <v>4.4400000000000004</v>
    <v>0.54969999999999997</v>
    <v>B3 - Brazil Stock Exchange</v>
    <v>6513324000</v>
    <v>A Whirlpool SA, antiga Multibras SA Eletrodomesticos, é uma empresa sediada no Brasil que atua na produção, comercialização, importação e exportação de eletroeletrônicos e eletrodomésticos. A Companhia fabrica refrigeradores, congeladores, condicionadores de ar, máquinas de gelo, fogões, lava-louças, trituradores de lixo, compactadores de lixo, aspiradores de pó, máquinas de lavar, secadores de roupa e microondas, entre outros. Também produz motores elétricos e compressores herméticos para refrigeração. Além disso, a Companhia oferece serviços de instalação, assistência técnica e manutenção para seus produtos. Ela opera quatro fábricas e dois centros de distribuição no Brasil, além de duas fábricas na China e um centro de distribuição na Argentina. As controladas da Companhia incluem a Whirlpool Eletrodomesticos AM SA, o Consórcio Nacional Brastemp Ltda, a BUD Comercio de Eletrodomesticos Ltda e a Mlog Armazem Geral Ltda, entre outras.</v>
    <v>BVMF</v>
    <v>4.43</v>
    <v>8000</v>
    <v>45884.958333333336</v>
    <v>43</v>
    <v>19780</v>
    <v>BRL</v>
    <v>WHIRLPOOL S.A.</v>
    <v>WHIRLPOOL S.A.</v>
    <v>4.4800000000000004</v>
    <v>4.5</v>
    <v>Rua Olympia Semeraro, 675, 1 Andar Sala 06 PA, Jardim Santa Emilia, SAO PAULO, SAO PAULO, 04.183-090 BR</v>
    <v>Household Goods</v>
    <v>WHRL4</v>
    <v>Ações</v>
    <v>WHIRLPOOL S.A. (BVMF:WHRL4)</v>
    <v>7.0000000000000007E-2</v>
    <v>1.5800999999999999E-2</v>
    <v>10000</v>
  </rv>
  <rv s="2">
    <v>44</v>
  </rv>
  <rv s="0">
    <v>https://www.bing.com/financeapi/forcetrigger?t=apnfmw&amp;q=BVMF%3aTELB4&amp;form=skydnc</v>
    <v>Learn more on Bing</v>
  </rv>
  <rv s="8">
    <v>pt-BR</v>
    <v>apnfmw</v>
    <v>268435456</v>
    <v>1</v>
    <v>Da plataforma Refinitiv</v>
    <v>14</v>
    <v>15</v>
    <v>Telecomunicações Brasileiras S.A. – TELEBRAS (BVMF:TELB4)</v>
    <v>12</v>
    <v>16</v>
    <v>Finance</v>
    <v>5</v>
    <v>10.08</v>
    <v>6.53</v>
    <v>BVMF</v>
    <v>101983400</v>
    <v>7.28</v>
    <v>1972</v>
    <v>7.28</v>
    <v>1.0066999999999999</v>
    <v>B3 - Brazil Stock Exchange</v>
    <v>1045521000</v>
    <v>Telecomunicacoes Brasileiras SA - A Telebras é uma agência governamental brasileira. A empresa é fornecedora de soluções de conexão. O portfólio de serviços da Telebras SA inclui: Telebras SAT, um serviço de banda larga por satélite de alta capacidade; IP Telebras, que fornece escolas, universidades, hospitais, escolas, universidades, hospitais, etc. e outros com uma conexão livre de problemas; L3VPN - MPLS, que possibilita a criação de redes virtuais privadas (VPNs); Point to Point (P2P), uma solução de transmissão de dados que fornece circuitos dedicados para interconetar pontos de interesse aos clientes em nível nacional, metropolitano ou regional; WiFi Brasil, solução desenvolvida para atender à demanda específica de um contrato com o Ministério das Comunicações; ponto a ponto - TX (canal claro), recomendado para operadores e provedores que exigem infraestrutura de transmissão de alta capacidade para seus backbones de rede; além de Telebras SD-WAN, as redes baseadas em software são uma nova opção para a construção de redes privadas.</v>
    <v>BVMF</v>
    <v>7.37</v>
    <v>469</v>
    <v>45884.958333333336</v>
    <v>46</v>
    <v>3010</v>
    <v>BRL</v>
    <v>Telecomunicações Brasileiras S.A. – TELEBRAS</v>
    <v>Telecomunicações Brasileiras S.A. – TELEBRAS</v>
    <v>7.28</v>
    <v>7.28</v>
    <v>SIG Quadra 4 lotes 075, 083, 125 e 175, Bloco A, Salas 211 a 224, Sig, BRASILIA, DISTRITO FEDERAL, 70.610-440 BR</v>
    <v>Telecommunications Services</v>
    <v>TELB4</v>
    <v>Ações</v>
    <v>Telecomunicações Brasileiras S.A. – TELEBRAS (BVMF:TELB4)</v>
    <v>-0.09</v>
    <v>-1.2212000000000001E-2</v>
    <v>100</v>
  </rv>
  <rv s="2">
    <v>47</v>
  </rv>
  <rv s="0">
    <v>https://www.bing.com/financeapi/forcetrigger?t=apn4gh&amp;q=BVMF%3aPETR4&amp;form=skydnc</v>
    <v>Learn more on Bing</v>
  </rv>
  <rv s="8">
    <v>pt-BR</v>
    <v>apn4gh</v>
    <v>268435456</v>
    <v>1</v>
    <v>Da plataforma Refinitiv</v>
    <v>14</v>
    <v>15</v>
    <v>Petróleo Brasileiro S.A. (Petrobras) (BVMF:PETR4)</v>
    <v>12</v>
    <v>16</v>
    <v>Finance</v>
    <v>5</v>
    <v>36.67</v>
    <v>28.79</v>
    <v>BVMF</v>
    <v>12888730000</v>
    <v>30.22</v>
    <v>1953</v>
    <v>29.74</v>
    <v>1.004</v>
    <v>B3 - Brazil Stock Exchange</v>
    <v>407215400000</v>
    <v>A Petroleo Brasileiro SA Petrobras é uma empresa sediada no Brasil. A empresa é especializada na indústria de petróleo, gás natural e energia. A Empresa está envolvida na prospeção, perfuração, refino, processamento, comercialização e transporte de petróleo bruto da produção de campos petrolíferos onshore e offshore e de xisto ou outras rochas. Seus segmentos incluem Exploração e Produção (exploração, desenvolvimento e produção de petróleo bruto, líquidos de gás natural e gás natural); Refinação, Transporte, e Marketing (Refinação, logística, transporte, comercialização de produtos petrolíferos, exportação de etanol, processamento de xisto); Gás e Energia (transporte e comercialização de gás natural e importado); Biocombustíveis (produção de biodiesel e etanol); Distribuição (distribuição de combustível); e Corporate (funções administrativas e de apoio).</v>
    <v>BVMF</v>
    <v>30.18</v>
    <v>49185</v>
    <v>45884.958333333336</v>
    <v>49</v>
    <v>36759460</v>
    <v>BRL</v>
    <v>Petróleo Brasileiro S.A. (Petrobras)</v>
    <v>Petróleo Brasileiro S.A. (Petrobras)</v>
    <v>30.1</v>
    <v>30.17</v>
    <v>Av. Republica do Chile, n 65, 24 andar, Centro, Rio de Janeiro, RIO DE JANEIRO, 20.031-912 BR</v>
    <v>Oil &amp; Gas</v>
    <v>PETR4</v>
    <v>Ações</v>
    <v>Petróleo Brasileiro S.A. (Petrobras) (BVMF:PETR4)</v>
    <v>-0.01</v>
    <v>-3.3129999999999998E-4</v>
    <v>54888600</v>
  </rv>
  <rv s="2">
    <v>50</v>
  </rv>
  <rv s="0">
    <v>https://www.bing.com/financeapi/forcetrigger?t=bzt9p2&amp;q=BVMF%3aASAI3&amp;form=skydnc</v>
    <v>Learn more on Bing</v>
  </rv>
  <rv s="8">
    <v>pt-BR</v>
    <v>bzt9p2</v>
    <v>268435456</v>
    <v>1</v>
    <v>Da plataforma Refinitiv</v>
    <v>14</v>
    <v>15</v>
    <v>Sendas Distribuidora S.A. (BVMF:ASAI3)</v>
    <v>12</v>
    <v>16</v>
    <v>Finance</v>
    <v>5</v>
    <v>12.04</v>
    <v>4.96</v>
    <v>BVMF</v>
    <v>1353436000</v>
    <v>10.16</v>
    <v>2003</v>
    <v>9.89</v>
    <v>1.4677</v>
    <v>B3 - Brazil Stock Exchange</v>
    <v>13588497439</v>
    <v>A Sendas Distribuidora SA, também conhecida como Assai Atacadista, é uma empresa com sede no Brasil que atua principalmente no setor de distribuição de alimentos. As atividades da Empresa estão divididas em dois segmentos operacionais: Cash &amp; Carry e Varejo. Por meio do segmento de Cash &amp; Carry, a Companhia oferece alimentos, artigos de bazar e outros produtos para o atacado, por meio de lojas de autoatendimento operadas no Brasil com a marca Assai. O segmento de Varejo inclui operações de hipermercados, supermercados e lojas de conveniência sob as seguintes marcas: Exito, Carulla, Surtimaorista, Surtimax, Super Inter e Viva Malls na Colômbia; Devoto, Disco e Geant no Uruguai; e Libertad, Mini Libertad e Paseo Libertad Malls na Argentina.</v>
    <v>BVMF</v>
    <v>10.050000000000001</v>
    <v>87000</v>
    <v>45884.958333333336</v>
    <v>52</v>
    <v>20892310</v>
    <v>BRL</v>
    <v>Sendas Distribuidora S.A.</v>
    <v>Sendas Distribuidora S.A.</v>
    <v>9.89</v>
    <v>10.039999999999999</v>
    <v>Avenida Ayrton Senna, 6.000 Jacarepagua, RIO DE JANEIRO, RIO DE JANEIRO, 22.775-005 BR</v>
    <v>Food &amp; Drug Retailing</v>
    <v>ASAI3</v>
    <v>Ações</v>
    <v>Sendas Distribuidora S.A. (BVMF:ASAI3)</v>
    <v>-0.01</v>
    <v>-9.9500000000000001E-4</v>
    <v>13384200</v>
  </rv>
  <rv s="2">
    <v>53</v>
  </rv>
  <rv s="0">
    <v>https://www.bing.com/financeapi/forcetrigger?t=apncdm&amp;q=BVMF%3aSHUL4&amp;form=skydnc</v>
    <v>Learn more on Bing</v>
  </rv>
  <rv s="8">
    <v>pt-BR</v>
    <v>apncdm</v>
    <v>268435456</v>
    <v>1</v>
    <v>Da plataforma Refinitiv</v>
    <v>14</v>
    <v>15</v>
    <v>SCHULZ S.A. (BVMF:SHUL4)</v>
    <v>12</v>
    <v>16</v>
    <v>Finance</v>
    <v>5</v>
    <v>6.37</v>
    <v>4.67</v>
    <v>BVMF</v>
    <v>357374800</v>
    <v>4.75</v>
    <v>1963</v>
    <v>4.67</v>
    <v>0.57550000000000001</v>
    <v>B3 - Brazil Stock Exchange</v>
    <v>957911800</v>
    <v>A Schulz S.A. é uma empresa brasileira dedicada à produção de máquinas e equipamentos industriais. A Empresa divide seu negócio em dois segmentos: a Divisão de Compressores e a Divisão Automotiva. A carteira de produtos da Empresa inclui produtos metalúrgicos; compressores de ar em geral; compressores de ar e bombas a vácuo para o setor de saúde; ferramentas manuais pneumáticas e elétricas; ferramentas manuais para aperto, fixação e corte; máquinas, ferramentas, utensílios e acessórios para pulverização e trabalho em metais; materiais para escavação e penetração do solo; limpadores à água sob pressão; bombas e motobombas para bombeamento de água, e equipamentos mecânicos, hidráulicos e elétricos, entre outros. A Empresa também atua na comercialização de óleos lubrificantes e graxas. Além disso, ela presta serviços de corte e pintura de peças fundidas, bem como serviços de instalação, manutenção, assistência técnica e aluguel de produtos da Empresa.</v>
    <v>BVMF</v>
    <v>4.68</v>
    <v>3699</v>
    <v>45884.958333333336</v>
    <v>55</v>
    <v>512890</v>
    <v>BRL</v>
    <v>SCHULZ S.A.</v>
    <v>SCHULZ S.A.</v>
    <v>4.75</v>
    <v>4.7300000000000004</v>
    <v>Rua: Dona Francisca, 6901, Distrito Industrial, JOINVILLE, SANTA CATARINA, 89.219-600 BR</v>
    <v>Machinery, Equipment &amp; Components</v>
    <v>SHUL4</v>
    <v>Ações</v>
    <v>SCHULZ S.A. (BVMF:SHUL4)</v>
    <v>0.05</v>
    <v>1.0684000000000001E-2</v>
    <v>448000</v>
  </rv>
  <rv s="2">
    <v>56</v>
  </rv>
  <rv s="0">
    <v>https://www.bing.com/financeapi/forcetrigger?t=apmuyc&amp;q=BVMF%3aLEVE3&amp;form=skydnc</v>
    <v>Learn more on Bing</v>
  </rv>
  <rv s="8">
    <v>pt-BR</v>
    <v>apmuyc</v>
    <v>268435456</v>
    <v>1</v>
    <v>Da plataforma Refinitiv</v>
    <v>14</v>
    <v>15</v>
    <v>MAHLE Metal Leve S.A (BVMF:LEVE3)</v>
    <v>12</v>
    <v>16</v>
    <v>Finance</v>
    <v>5</v>
    <v>32.83</v>
    <v>24.46</v>
    <v>BVMF</v>
    <v>135539000</v>
    <v>27.7</v>
    <v>1950</v>
    <v>27.28</v>
    <v>0.74780000000000002</v>
    <v>B3 - Brazil Stock Exchange</v>
    <v>3719190160</v>
    <v>A MAHLE Metal Leve S.A. é uma empresa brasileira dedicada essencialmente à fabricação de peças para motores automotivos. As atividades da Empresa se dividem em dois segmentos comerciais: Componentes do motor e Filtros. A divisão Componentes do motor produz peças para motores de combustão interna e veículos automotores, como anéis, sensores, balancins, varetas, pedivelas, buchas, mangas do cilindro, tampas de rolamento, conjuntos de balancins, coroas, injetores, sincronizadores, juntas universais, eixos, engrenagens, guias e assentos de válvula, pistões, impulsores de bombas de água e óleo, e eixos e polias do pistão. A divisão Filtros fabrica vários tipos de filtros, como filtros de combustível, ar, óleo, de cabine e prensa, usados em veículos, e aplicados na indústria, estações de serviços automobilísticos, transporte de passageiros e de carga, terraplanagem, terminais de pesca e fazendas. A Empresa é indiretamente controlada pela Mahle Industriebeteiligungen GmbH.</v>
    <v>BVMF</v>
    <v>27.55</v>
    <v>7560</v>
    <v>45884.958333333336</v>
    <v>58</v>
    <v>254260</v>
    <v>BRL</v>
    <v>MAHLE Metal Leve S.A</v>
    <v>MAHLE Metal Leve S.A</v>
    <v>27.56</v>
    <v>27.44</v>
    <v>Av. Ernst MAHLE, 2000, Mombaca, MOGI GUACU, SAO PAULO, 13.849-050 BR</v>
    <v>Automobiles &amp; Auto Parts</v>
    <v>LEVE3</v>
    <v>Ações</v>
    <v>MAHLE Metal Leve S.A (BVMF:LEVE3)</v>
    <v>-0.11</v>
    <v>-3.993E-3</v>
    <v>169800</v>
  </rv>
  <rv s="2">
    <v>59</v>
  </rv>
  <rv s="0">
    <v>https://www.bing.com/financeapi/forcetrigger?t=apmb7w&amp;q=BVMF%3aCPLE6&amp;form=skydnc</v>
    <v>Learn more on Bing</v>
  </rv>
  <rv s="8">
    <v>pt-BR</v>
    <v>apmb7w</v>
    <v>268435456</v>
    <v>1</v>
    <v>Da plataforma Refinitiv</v>
    <v>14</v>
    <v>15</v>
    <v>Companhia Paranaense de Energia - Copel (BVMF:CPLE6)</v>
    <v>12</v>
    <v>16</v>
    <v>Finance</v>
    <v>5</v>
    <v>12.88</v>
    <v>8.39</v>
    <v>BVMF</v>
    <v>2982811000</v>
    <v>12.2</v>
    <v>1954</v>
    <v>11.99</v>
    <v>0.84309999999999996</v>
    <v>B3 - Brazil Stock Exchange</v>
    <v>35137020000</v>
    <v>A Companhia Paranaense de Energia, também conhecida como Copel, é uma empresa brasileira de energia elétrica. As atividades do escritório estão divididas em cinco segmentos: Geração e Transmissão de Energia (GET); Distribuição e Vendas de Energia (DIS); Telecomunicações (TEL); Gás; e Holding (HOL). O segmento GET inclui a geração de energia elétrica a partir de projetos hidráulicos, eólicos e térmicos; o transporte e transformação da energia gerada pela Companhia; e a construção, operação e manutenção de todas as subestações e linhas de transmissão de energia. O segmento DISs está focado na distribuição e venda de energia elétrica, e na operação e manutenção da infraestrutura de distribuição. O segmento TEL presta serviços de telecomunicações. O segmento de Gás está envolvido no serviço público de distribuição de gás natural canalizado. O SEGMENTO HOL consiste na participação em outras empresas. A Companhia atua no estado do Paraná.</v>
    <v>BVMF</v>
    <v>12.12</v>
    <v>4396</v>
    <v>45884.958333333336</v>
    <v>61</v>
    <v>15887970</v>
    <v>BRL</v>
    <v>Companhia Paranaense de Energia - Copel</v>
    <v>Companhia Paranaense de Energia - Copel</v>
    <v>12.12</v>
    <v>12.06</v>
    <v>Rua Jose Izidoro Biazetto, 158, Orleans, CURITIBA, PARANA, 81.200-240 BR</v>
    <v>Electrical Utilities &amp; IPPs</v>
    <v>CPLE6</v>
    <v>Ações</v>
    <v>Companhia Paranaense de Energia - Copel (BVMF:CPLE6)</v>
    <v>-0.06</v>
    <v>-4.9499999999999995E-3</v>
    <v>14493400</v>
  </rv>
  <rv s="2">
    <v>62</v>
  </rv>
  <rv s="0">
    <v>https://www.bing.com/financeapi/forcetrigger?t=apm7rw&amp;q=BVMF%3aCEBR6&amp;form=skydnc</v>
    <v>Learn more on Bing</v>
  </rv>
  <rv s="8">
    <v>pt-BR</v>
    <v>apm7rw</v>
    <v>268435456</v>
    <v>1</v>
    <v>Da plataforma Refinitiv</v>
    <v>14</v>
    <v>15</v>
    <v>COMPANHIA ENERGÉTICA DE BRASÍLIA - CEB (BVMF:CEBR6)</v>
    <v>12</v>
    <v>16</v>
    <v>Finance</v>
    <v>5</v>
    <v>24.79</v>
    <v>15.18</v>
    <v>BVMF</v>
    <v>72081910</v>
    <v>24</v>
    <v>1968</v>
    <v>23.48</v>
    <v>0.64780000000000004</v>
    <v>B3 - Brazil Stock Exchange</v>
    <v>1626619000</v>
    <v>A CEB, antiga Companhia de Eletricidade de Brasília, é uma agência governamental com sede no Brasil. A Companhia atua no segmento de geração de energia elétrica. É também uma provedora de serviços de iluminação pública no Distrito Federal do Brasil. A Companhia Energetica de Brasília também atua por meio de suas subsidiárias, incluindo a CEB Geracao SA, empresa de geração de energia elétrica; a CEB Lajeado SA, que vende energia elétrica da Usina Luis Eduardo Magalhães; a CEB Participações SA, que detém ações e cotas em outras empresas de energia; bem como a Companhia Brasiliense de Gás SA - CEBGAS, responsável pelos serviços de distribuição e comercialização de gás natural no Distrito Federal.</v>
    <v>BVMF</v>
    <v>23.48</v>
    <v>845</v>
    <v>45884.958333333336</v>
    <v>64</v>
    <v>6620</v>
    <v>BRL</v>
    <v>COMPANHIA ENERGÉTICA DE BRASÍLIA - CEB</v>
    <v>COMPANHIA ENERGÉTICA DE BRASÍLIA - CEB</v>
    <v>23.48</v>
    <v>24</v>
    <v>SGAN Quadra 601, Bloco H, Salas 2010 a 2023 Edificio ION, Asa Norte, BRASILIA, DISTRITO FEDERAL, 70.830-010 BR</v>
    <v>Electrical Utilities &amp; IPPs</v>
    <v>CEBR6</v>
    <v>Ações</v>
    <v>COMPANHIA ENERGÉTICA DE BRASÍLIA - CEB (BVMF:CEBR6)</v>
    <v>0.52</v>
    <v>2.2147E-2</v>
    <v>13500</v>
  </rv>
  <rv s="2">
    <v>65</v>
  </rv>
  <rv s="0">
    <v>https://www.bing.com/financeapi/forcetrigger?t=awjx27&amp;q=BVMF%3aPRNR3&amp;form=skydnc</v>
    <v>Learn more on Bing</v>
  </rv>
  <rv s="8">
    <v>pt-BR</v>
    <v>awjx27</v>
    <v>268435456</v>
    <v>1</v>
    <v>Da plataforma Refinitiv</v>
    <v>14</v>
    <v>15</v>
    <v>PRINER SERVIÇOS INDUSTRIAIS S.A. (BVMF:PRNR3)</v>
    <v>12</v>
    <v>16</v>
    <v>Finance</v>
    <v>5</v>
    <v>17.829999999999998</v>
    <v>11.32</v>
    <v>BVMF</v>
    <v>56720760</v>
    <v>15.17</v>
    <v>2013</v>
    <v>15</v>
    <v>0.99760000000000004</v>
    <v>B3 - Brazil Stock Exchange</v>
    <v>860453929</v>
    <v>PRINER SERVIÇOS INDUSTRIAIS S.A. é uma empresa com sede no Brasil, que atua no segmento de manutenção industrial e de serviços. A Companhia opera em todo o Brasil oferecendo serviços nas áreas de petroquímica, celulose e papel, aço, offshore, naval e de mineração. A Priner Serviços Industriais SA é especializada em Acesso, Pintura Industrial,Tratamento de Superfície, Isolamento Térmico e Habitat Pressurizado. Suas soluções de acesso incluem: Sistema Up, WEB Deck, Sistema de Encaixa, bem como Acesso por Cordas. Suas soluções Habitat incluem: segurança e economia, flexibilidade e certificações. Suas soluções de Isolamento Térmico incluem: convencional, removível e reutilizável, bem como proteção contra fogo passivo. Suas soluções de Pintura Industrial incluem: preservação do patrimônio, design customizado e técnicos qualificados.</v>
    <v>BVMF</v>
    <v>15</v>
    <v>6994</v>
    <v>45884.958333333336</v>
    <v>67</v>
    <v>284040</v>
    <v>BRL</v>
    <v>PRINER SERVIÇOS INDUSTRIAIS S.A.</v>
    <v>PRINER SERVIÇOS INDUSTRIAIS S.A.</v>
    <v>15.11</v>
    <v>15.17</v>
    <v>Av. Geremario Dantas, 1400 2. Piso - Quality Shopping - Freguesia Jacarepagua, RIO DE JANEIRO, RIO DE JANEIRO BR</v>
    <v>Professional &amp; Commercial Services</v>
    <v>PRNR3</v>
    <v>Ações</v>
    <v>PRINER SERVIÇOS INDUSTRIAIS S.A. (BVMF:PRNR3)</v>
    <v>0.17</v>
    <v>1.1332999999999999E-2</v>
    <v>135400</v>
  </rv>
  <rv s="2">
    <v>68</v>
  </rv>
  <rv s="0">
    <v>https://www.bing.com/financeapi/forcetrigger?t=apma5r&amp;q=BVMF%3aCMIG4&amp;form=skydnc</v>
    <v>Learn more on Bing</v>
  </rv>
  <rv s="8">
    <v>pt-BR</v>
    <v>apma5r</v>
    <v>268435456</v>
    <v>1</v>
    <v>Da plataforma Refinitiv</v>
    <v>14</v>
    <v>15</v>
    <v>Companhia Energética de Minas Gerais - CEMIG (BVMF:CMIG4)</v>
    <v>12</v>
    <v>16</v>
    <v>Finance</v>
    <v>5</v>
    <v>11.27</v>
    <v>9.0399999999999991</v>
    <v>BVMF</v>
    <v>2861782000</v>
    <v>10.78</v>
    <v>1952</v>
    <v>10.53</v>
    <v>0.80830000000000002</v>
    <v>B3 - Brazil Stock Exchange</v>
    <v>34781320000</v>
    <v>Energy of Minas Gerais Co é uma holding sediada no Brasil. A Companhia atua em diversos estados do Brasil, através de inúmeras subsidiárias. No entanto, as operações da Companhia são centralizadas principalmente no estado de Minas Gerais. O principal segmento operacional é a distribuição de energia elétrica, seguida pela comercialização de energia elétrica, distribuição de gás, geração de energia elétrica e transmissão de energia elétrica. Constituída para atuar na comercialização de energia elétrica e como holding, com interesses em subsidiárias ou entidades controladas conjuntamente, cujos objetivos são: Construção e operação de sistemas de geração, transformação, transmissão, distribuição e venda de energia, e também atividades nos diversos campos do setor energético, incluindo distribuição de gás, prestação de serviços de geração distribuída e soluções de eficiência energética, para fins de operação comercial.</v>
    <v>BVMF</v>
    <v>10.82</v>
    <v>5028</v>
    <v>45884.958333333336</v>
    <v>70</v>
    <v>10984690</v>
    <v>BRL</v>
    <v>Companhia Energética de Minas Gerais - CEMIG</v>
    <v>Companhia Energética de Minas Gerais - CEMIG</v>
    <v>10.78</v>
    <v>10.72</v>
    <v>Avenida Barbacena, 1200, 16 / B1, Santo Agostinho, BELO HORIZONTE, MINAS GERAIS, 30.190-131 BR</v>
    <v>Electrical Utilities &amp; IPPs</v>
    <v>CMIG4</v>
    <v>Ações</v>
    <v>Companhia Energética de Minas Gerais - CEMIG (BVMF:CMIG4)</v>
    <v>-0.1</v>
    <v>-9.2420000000000002E-3</v>
    <v>17602100</v>
  </rv>
  <rv s="2">
    <v>71</v>
  </rv>
  <rv s="0">
    <v>https://www.bing.com/financeapi/forcetrigger?t=aplzu2&amp;q=BVMF%3aBEES4&amp;form=skydnc</v>
    <v>Learn more on Bing</v>
  </rv>
  <rv s="8">
    <v>pt-BR</v>
    <v>aplzu2</v>
    <v>268435456</v>
    <v>1</v>
    <v>Da plataforma Refinitiv</v>
    <v>14</v>
    <v>15</v>
    <v>BANESTES S.A. – Banco do Estado do Espírito Santo (BVMF:BEES4)</v>
    <v>12</v>
    <v>16</v>
    <v>Finance</v>
    <v>5</v>
    <v>9.6999999999999993</v>
    <v>7.78</v>
    <v>BVMF</v>
    <v>315912900</v>
    <v>8.6199999999999992</v>
    <v>1937</v>
    <v>8.4600000000000009</v>
    <v>0.43580000000000002</v>
    <v>B3 - Brazil Stock Exchange</v>
    <v>2677717000</v>
    <v>O Banestes S.A. - Banco do Estado do Espírito Santo é um banco comercial brasileiro. O Banco presta diversos serviços financeiros, incluindo um portfólio de créditos comerciais, rurais, industriais e imobiliários; câmbio; operações de leasing; administração de cartão de crédito e gestão de fundos de investimento, entre outros. Através de suas subsidiárias, o Banco também oferece produtos de seguros, além de distribuição, corretagem e gestão de ativos de terceiros. Além disso, atua na gestão do programa de alimentação dos trabalhadores (PAT). Em 31 de dezembro de 2011, as subsidiárias do Banco incluíam a Banestes Seguros S.A., Banestes Distribuidora de Títulos e Valores Mobiliários S.A. e Banestes Administradora e Corretora de Seguros Previdência e Capitalização Ltda. Em 17 de janeiro de 2012, a Empresa incorporou suas subsidiárias Banestes Seguros S.A. e Banestes Distribuidora de Títulos e Valores Mobiliários S.A.</v>
    <v>BVMF</v>
    <v>8.52</v>
    <v>2204</v>
    <v>45884.958333333336</v>
    <v>73</v>
    <v>10500</v>
    <v>BRL</v>
    <v>BANESTES S.A. – Banco do Estado do Espírito Santo</v>
    <v>BANESTES S.A. – Banco do Estado do Espírito Santo</v>
    <v>8.6199999999999992</v>
    <v>8.5</v>
    <v>Av Princesa Isabel 574, BL B, 9 ANDAR, Centro, VITORIA, ESPIRITO SANTO, 29.010-931 BR</v>
    <v>Banking Services</v>
    <v>BEES4</v>
    <v>Ações</v>
    <v>BANESTES S.A. – Banco do Estado do Espírito Santo (BVMF:BEES4)</v>
    <v>-0.02</v>
    <v>-2.3470000000000001E-3</v>
    <v>5300</v>
  </rv>
  <rv s="2">
    <v>74</v>
  </rv>
  <rv s="0">
    <v>https://www.bing.com/financeapi/forcetrigger?t=apn5a2&amp;q=BVMF%3aPOMO3&amp;form=skydnc</v>
    <v>Learn more on Bing</v>
  </rv>
  <rv s="8">
    <v>pt-BR</v>
    <v>apn5a2</v>
    <v>268435456</v>
    <v>1</v>
    <v>Da plataforma Refinitiv</v>
    <v>14</v>
    <v>15</v>
    <v>MARCOPOLO S.A. (BVMF:POMO3)</v>
    <v>12</v>
    <v>16</v>
    <v>Finance</v>
    <v>5</v>
    <v>7.3</v>
    <v>4.47</v>
    <v>BVMF</v>
    <v>1136271000</v>
    <v>7.2</v>
    <v>1949</v>
    <v>7.03</v>
    <v>0.80249999999999999</v>
    <v>B3 - Brazil Stock Exchange</v>
    <v>9417548000</v>
    <v>A Marcopolo SA, anteriormente Marcopolo SA - Carrocerias e Onibus, é uma empresa com sede no Brasil que tem por objetivo principal a fabricação de ônibus. As atividades da Empresa estão divididas em dois segmentos de negócio: Industrial e Financeiro. A divisão Industrial concentra-se no projeto, produção e distribuição de carrocerias e peças de reposição. Suas linhas de produtos abrangem diversos modelos, entre ônibus, intermunicipais, urbanos e micro-ônibus, além de veículos comerciais leves (LCVs), comercializados com a marca Volare. A divisão Financeira é responsável pelo financiamento das operações por meio do Banco Moneo. Seus produtos financeiros incluem crédito pessoal e comercial, arrendamento mercantil com opção de compra, empréstimos de curto prazo e linhas de crédito. A Companhia opera por meio de várias subsidiárias no Brasil, Argentina, México, Canadá, África do Sul e China, entre outros.</v>
    <v>BVMF</v>
    <v>7.08</v>
    <v>16027</v>
    <v>45884.958333333336</v>
    <v>76</v>
    <v>10709580</v>
    <v>BRL</v>
    <v>MARCOPOLO S.A.</v>
    <v>MARCOPOLO S.A.</v>
    <v>7.13</v>
    <v>7.1</v>
    <v>Avenida Marcopolo,280, Planalto, CAXIAS DO SUL, RIO GRANDE DO SUL, 95.086-200 BR</v>
    <v>Automobiles &amp; Auto Parts</v>
    <v>POMO3</v>
    <v>Ações</v>
    <v>MARCOPOLO S.A. (BVMF:POMO3)</v>
    <v>0.02</v>
    <v>2.8249999999999998E-3</v>
    <v>46400</v>
  </rv>
  <rv s="2">
    <v>77</v>
  </rv>
  <rv s="0">
    <v>https://www.bing.com/financeapi/forcetrigger?t=bxgdk2&amp;q=BVMF%3aBMOB3&amp;form=skydnc</v>
    <v>Learn more on Bing</v>
  </rv>
  <rv s="9">
    <v>pt-BR</v>
    <v>bxgdk2</v>
    <v>268435456</v>
    <v>1</v>
    <v>Da plataforma Refinitiv</v>
    <v>17</v>
    <v>18</v>
    <v>BEMOBI MOBILE TECH S.A. (BVMF:BMOB3)</v>
    <v>12</v>
    <v>19</v>
    <v>Finance</v>
    <v>5</v>
    <v>23.45</v>
    <v>12.4</v>
    <v>BVMF</v>
    <v>85608390</v>
    <v>21.8</v>
    <v>2007</v>
    <v>19.82</v>
    <v>1.216</v>
    <v>B3 - Brazil Stock Exchange</v>
    <v>1836299965</v>
    <v>A Bemobi Mobile Tech SA é uma empresa brasileira envolvida na mídia móvel e na indústria de entretenimento. A empresa está focada na distribuição e monetização de aplicativos móveis, jogos e serviços digitais. A Companhia atua no modelo Business-To-Business-To-Consumer (B2B2C), em parceria com operadoras de telefonia móvel. Os serviços da Empresa são divididos em três unidades: Aplicativos e Jogos, Microfinanças e Comunicações. A unidade de Aplicativos e Jogos está focada em Apps Club baseados em assinatura, que oferece aplicativos móveis e jogos fornecidos pelos parceiros de conteúdo da Empresa, incluindo desenvolvedores, editores e distribuidores. A unidade de Microfinanças oferece serviços para usuários de celulares pré-pagos, incluindo recarga por cartão de crédito ou débito e pacotes de Airtime e Data Advance a pagar na próxima recarga, entre outros. A unidade de Comunicações oferece soluções relacionadas a chamadas de voz, como correio de voz e transcrição de áudio para texto.</v>
    <v>BVMF</v>
    <v>19.670000000000002</v>
    <v>45884.958333333336</v>
    <v>79</v>
    <v>303910</v>
    <v>BRL</v>
    <v>BEMOBI MOBILE TECH S.A.</v>
    <v>BEMOBI MOBILE TECH S.A.</v>
    <v>20.37</v>
    <v>21.45</v>
    <v>Av. Barao de Tefe, n. 27 12 Andar, Saude, RIO DE JANEIRO, RIO DE JANEIRO, 20.220-460 BR</v>
    <v>Software &amp; IT Services</v>
    <v>BMOB3</v>
    <v>Ações</v>
    <v>BEMOBI MOBILE TECH S.A. (BVMF:BMOB3)</v>
    <v>1.78</v>
    <v>9.0493000000000004E-2</v>
    <v>952600</v>
  </rv>
  <rv s="2">
    <v>80</v>
  </rv>
  <rv s="0">
    <v>https://www.bing.com/financeapi/forcetrigger?t=apmzur&amp;q=BVMF%3aMTSA4&amp;form=skydnc</v>
    <v>Learn more on Bing</v>
  </rv>
  <rv s="8">
    <v>pt-BR</v>
    <v>apmzur</v>
    <v>268435456</v>
    <v>1</v>
    <v>Da plataforma Refinitiv</v>
    <v>14</v>
    <v>15</v>
    <v>METISA METALURGICA TIMBOENSE S.A. (BVMF:MTSA4)</v>
    <v>12</v>
    <v>16</v>
    <v>Finance</v>
    <v>5</v>
    <v>44</v>
    <v>29.96</v>
    <v>BVMF</v>
    <v>9137260</v>
    <v>40.21</v>
    <v>1942</v>
    <v>39.71</v>
    <v>0.43830000000000002</v>
    <v>B3 - Brazil Stock Exchange</v>
    <v>362931967</v>
    <v>A METISA Metalúrgica Timboense S.A. é uma empresa brasileira dedicada essencialmente à produção de peças de aço para máquinas industriais e agrícolas. Os produtos da Empresa incluem peças para equipamentos agrícolas, peças para tratores, lâminas para o setor da construção, lâminas para corte de pedras, acessórios ferroviários, itens para equipamentos rodoviários, arruelas, ferramentas manuais, acessórios para caminhões e outros produtos de aço. O processo de fabricação consiste no processamento a quente do aço, tratamento térmico e operações de acabamento. A Metisa vende seus produtos para outras empresas, que os utilizam para produzir máquinas, como também para o mercado de peças de reposição. Em 31 de dezembro de 2011, a Empresa detinha integralmente a METISA Florestal e Energética S.A., que se dedica ao reflorestamento e à exploração comercial de produtos florestais.</v>
    <v>BVMF</v>
    <v>39.9</v>
    <v>1065</v>
    <v>45884.958333333336</v>
    <v>82</v>
    <v>29720</v>
    <v>BRL</v>
    <v>METISA METALURGICA TIMBOENSE S.A.</v>
    <v>METISA METALURGICA TIMBOENSE S.A.</v>
    <v>40</v>
    <v>39.72</v>
    <v>Rua Fritz Lorenz, 2442, Distrito Industrial, TIMBO, SANTA CATARINA, 89.120-000 BR</v>
    <v>Machinery, Equipment &amp; Components</v>
    <v>MTSA4</v>
    <v>Ações</v>
    <v>METISA METALURGICA TIMBOENSE S.A. (BVMF:MTSA4)</v>
    <v>-0.18</v>
    <v>-4.5110000000000003E-3</v>
    <v>800</v>
  </rv>
  <rv s="2">
    <v>83</v>
  </rv>
  <rv s="0">
    <v>https://www.bing.com/financeapi/forcetrigger?t=bgnmm7&amp;q=BVMF%3aCAMB3&amp;form=skydnc</v>
    <v>Learn more on Bing</v>
  </rv>
  <rv s="8">
    <v>pt-BR</v>
    <v>bgnmm7</v>
    <v>268435456</v>
    <v>1</v>
    <v>Da plataforma Refinitiv</v>
    <v>14</v>
    <v>15</v>
    <v>CAMBUCI S.A. (BVMF:CAMB3)</v>
    <v>12</v>
    <v>16</v>
    <v>Finance</v>
    <v>5</v>
    <v>11.92</v>
    <v>8.82</v>
    <v>BVMF</v>
    <v>42275080</v>
    <v>9.5</v>
    <v>1945</v>
    <v>9.16</v>
    <v>0.14099999999999999</v>
    <v>B3 - Brazil Stock Exchange</v>
    <v>391044490</v>
    <v>A Cambuci S.A é uma empresa brasileira dedicada à fabricação e venda de vestuário e equipamentos esportivos. Os produtos da Empresa são negociados sob a marca Penalty e eles são divididos em cinco principais linhas de produtos: Profissional, Especial, Casual, Equipes e Infanto-juvenil. Seus produtos incluem bolas, calçados e vestuário para vários esportes, como corrida, futebol, voleibol, basquetebol, handebol, rúgbi e futebol de praia. Em 31 de dezembro de 2011, as subsidiárias da Empresa incluíam a Latinline, a Penalty Argentina SA, a Cambuci Trust SA, a Penalty Chile, a Impar Paraguay, a Era Sports Ltda., a Cambuci Importadora Ltda., a Impar Sports Ltda. e a Penalty Iberia.</v>
    <v>BVMF</v>
    <v>9.4</v>
    <v>2078</v>
    <v>45884.958333333336</v>
    <v>85</v>
    <v>87500</v>
    <v>BRL</v>
    <v>CAMBUCI S.A.</v>
    <v>CAMBUCI S.A.</v>
    <v>9.3699999999999992</v>
    <v>9.25</v>
    <v>Avenida Getulio Vargas, 930,Escritorio, Marmeleiro, SAO PAULO, SAO PAULO, 18.130-430 BR</v>
    <v>Leisure Products</v>
    <v>CAMB3</v>
    <v>Ações</v>
    <v>CAMBUCI S.A. (BVMF:CAMB3)</v>
    <v>-0.15</v>
    <v>-1.5956999999999999E-2</v>
    <v>30800</v>
  </rv>
  <rv s="2">
    <v>86</v>
  </rv>
  <rv s="0">
    <v>https://www.bing.com/financeapi/forcetrigger?t=apm3m7&amp;q=BVMF%3aBRAP3&amp;form=skydnc</v>
    <v>Learn more on Bing</v>
  </rv>
  <rv s="9">
    <v>pt-BR</v>
    <v>apm3m7</v>
    <v>268435456</v>
    <v>1</v>
    <v>Da plataforma Refinitiv</v>
    <v>17</v>
    <v>18</v>
    <v>Bradespar S.A (BVMF:BRAP3)</v>
    <v>12</v>
    <v>19</v>
    <v>Finance</v>
    <v>5</v>
    <v>17.239999999999998</v>
    <v>14</v>
    <v>BVMF</v>
    <v>393096600</v>
    <v>14.76</v>
    <v>2000</v>
    <v>14.56</v>
    <v>0.9214</v>
    <v>B3 - Brazil Stock Exchange</v>
    <v>6086527000</v>
    <v>A Bradespar S.A. é uma holding brasileira que atua sobretudo na indústria siderúrgica. A principal atividade da empresa é participar em outras empresas como sócia ou acionista. Através de sua subsidiária indireta VALE S.A., a empresa atua na extração de minério de ferro, manganês e ferroligas; produção de pelotas; fabricação de minerais não-ferrosos; produção de potassa, fosfato e nitrogênio; e serviços de logística. Além disso, através de sua subsidiária indireta CPFL ENERGIA S.A., a empresa atua na distribuição, geração e comercialização de energia elétrica no Brasil.</v>
    <v>BVMF</v>
    <v>14.88</v>
    <v>45884.958333333336</v>
    <v>88</v>
    <v>3821570</v>
    <v>BRL</v>
    <v>Bradespar S.A</v>
    <v>Bradespar S.A</v>
    <v>14.76</v>
    <v>14.61</v>
    <v>Avenida Paulista, 1.450,9 andar, Cerqueira Cesar, SAO PAULO, SAO PAULO, 01.310-917 BR</v>
    <v>Metals &amp; Mining</v>
    <v>BRAP3</v>
    <v>Ações</v>
    <v>Bradespar S.A (BVMF:BRAP3)</v>
    <v>-0.27</v>
    <v>-1.8145000000000001E-2</v>
    <v>32800</v>
  </rv>
  <rv s="2">
    <v>89</v>
  </rv>
  <rv s="0">
    <v>https://www.bing.com/financeapi/forcetrigger?t=apmpkr&amp;q=BVMF%3aHAGA4&amp;form=skydnc</v>
    <v>Learn more on Bing</v>
  </rv>
  <rv s="9">
    <v>pt-BR</v>
    <v>apmpkr</v>
    <v>268435456</v>
    <v>1</v>
    <v>Da plataforma Refinitiv</v>
    <v>17</v>
    <v>18</v>
    <v>HAGA S.A. INDUSTRIA E COMERCIO (BVMF:HAGA4)</v>
    <v>12</v>
    <v>19</v>
    <v>Finance</v>
    <v>5</v>
    <v>1.39</v>
    <v>1.1299999999999999</v>
    <v>BVMF</v>
    <v>11900000</v>
    <v>1.17</v>
    <v>1937</v>
    <v>1.1499999999999999</v>
    <v>1.0219</v>
    <v>B3 - Brazil Stock Exchange</v>
    <v>16779000</v>
    <v>A Haga SA Indústria e Comércio é uma empresa sediada no Brasil que se dedica principalmente à fabricação de artigos de ferro e metal. A empresa dedica-se à produção, comercialização e exportação de fechaduras, chaves, dobradiças e cadeados para o sector da construção, bem como para a indústria naval, industrial e moveleira. A Haga vende seus produtos sob a marca Haga. Os produtos da Empresa estão organizados em várias linhas, como Design, Inox, Futura, Classic, Standard e Colonial, entre outras. A Companhia possui seu parque fabril na cidade de Nova Friburgo, localizada no estado do Rio de Janeiro. Em 31 de dezembro de 2011, sua subsidiária era Fullmetal Industria e Comercio SA. Em 19 de março de 2012, o processo de liquidação da Companhia foi encerrado e todas as obrigações foram declaradas extintas.</v>
    <v>BVMF</v>
    <v>1.1599999999999999</v>
    <v>45884.958333333336</v>
    <v>91</v>
    <v>2860</v>
    <v>BRL</v>
    <v>HAGA S.A. INDUSTRIA E COMERCIO</v>
    <v>HAGA S.A. INDUSTRIA E COMERCIO</v>
    <v>1.1499999999999999</v>
    <v>1.17</v>
    <v>Avenida Engenheiro Hans Gaiser, 26,Predio, Centro, NOVA FRIBURGO, RIO DE JANEIRO, 28.605-220 BR</v>
    <v>Specialty Retailers</v>
    <v>HAGA4</v>
    <v>Ações</v>
    <v>HAGA S.A. INDUSTRIA E COMERCIO (BVMF:HAGA4)</v>
    <v>0.01</v>
    <v>8.6210000000000002E-3</v>
    <v>500</v>
  </rv>
  <rv s="2">
    <v>92</v>
  </rv>
  <rv s="0">
    <v>https://www.bing.com/financeapi/forcetrigger?t=apnaw7&amp;q=BVMF%3aSANB3&amp;form=skydnc</v>
    <v>Learn more on Bing</v>
  </rv>
  <rv s="12">
    <v>pt-BR</v>
    <v>apnaw7</v>
    <v>268435456</v>
    <v>1</v>
    <v>Da plataforma Refinitiv</v>
    <v>20</v>
    <v>21</v>
    <v>Banco Santander (Brasil) S.A. (BVMF:SANB3)</v>
    <v>23</v>
    <v>24</v>
    <v>Finance</v>
    <v>5</v>
    <v>14.42</v>
    <v>10.31</v>
    <v>BVMF</v>
    <v>3749266000</v>
    <v>12.89</v>
    <v>1985</v>
    <v>12.71</v>
    <v>1.0992999999999999</v>
    <v>B3 - Brazil Stock Exchange</v>
    <v>100541400000</v>
    <v>O Banco Santander Brasil SA é um banco brasileiro. O Banco atua através de dois segmentos: Varejo e Atacado. O segmento Varejo presta serviços financeiros a particulares, bem como a pequenas e médias empresas. O segmento de Atacado concentra-se em grandes corporações e mercados de capitais. Juntamente com as suas subsidiárias, o Banco oferece uma gama de serviços financeiros, incluindo serviços bancários de consumo, comercial e de investimento, empréstimos e financiamentos, empréstimos hipotecários, leasing, operações de cartão de crédito e câmbio. O Banco também está envolvido nas operações de gestão de ativos, capitalização, corretagem de valores mobiliários, corretagem de seguros e planos de pensões. A Companhia possui diversas subsidiárias, como Santander Corretora de Cambio e Valores Mobiliarios SA, Banco Bandepe SA e Sancap Investimentos e Participações SA, entre outras.</v>
    <v>BVMF</v>
    <v>12.78</v>
    <v>53918</v>
    <v>45884.958333333336</v>
    <v>39</v>
    <v>94</v>
    <v>50460</v>
    <v>BRL</v>
    <v>Banco Santander (Brasil) S.A.</v>
    <v>Banco Santander (Brasil) S.A.</v>
    <v>12.71</v>
    <v>12.85</v>
    <v>Avenida Presidente Juscelino Kubitschek, n 2041 CJ 281, Bloco A, Vila Nova Conceicao, SAO PAULO, SAO PAULO, 04.543-011 BR</v>
    <v>Banking Services</v>
    <v>SANB3</v>
    <v>Ações</v>
    <v>Banco Santander (Brasil) S.A. (BVMF:SANB3)</v>
    <v>7.0000000000000007E-2</v>
    <v>5.4769999999999992E-3</v>
    <v>28600</v>
  </rv>
  <rv s="2">
    <v>95</v>
  </rv>
  <rv s="0">
    <v>https://www.bing.com/financeapi/forcetrigger?t=apm6pr&amp;q=BVMF%3aCARD3&amp;form=skydnc</v>
    <v>Learn more on Bing</v>
  </rv>
  <rv s="8">
    <v>pt-BR</v>
    <v>apm6pr</v>
    <v>268435456</v>
    <v>1</v>
    <v>Da plataforma Refinitiv</v>
    <v>14</v>
    <v>15</v>
    <v>CSU DIGITAL S.A. (BVMF:CSUD3)</v>
    <v>12</v>
    <v>16</v>
    <v>Finance</v>
    <v>5</v>
    <v>19.100000000000001</v>
    <v>13.46</v>
    <v>BVMF</v>
    <v>41800000</v>
    <v>17.53</v>
    <v>1997</v>
    <v>17.260000000000002</v>
    <v>0.97050000000000003</v>
    <v>B3 - Brazil Stock Exchange</v>
    <v>726484000</v>
    <v>A CSU Digital SA, anteriormente CSU CardSystem SA, é uma empresa de tecnologia brasileira para serviços financeiros, que fornece soluções digitais para pagamentos, bancos como serviço, programas de fidelidade e incentivo, além de experiência digital. A unidade CSU Pays engloba soluções em métodos de pagamento, fidelidade e incentivos, e Banking as a Service, incluindo processamento de cartões para emissores e adquirentes nas modalidades de crédito, débito, digital e virtual, oferta de carteiras digitais, pagamentos instantâneos (PIX) e criptomoedas, entre outros. A CSU DX concentra-se no desenvolvimento de soluções de experiência digital para a experiência do cliente e gestão de processos financeiros com alta densidade tecnológica e digital, direcionando esforços para projetos com maior valor agregado e complexidade.</v>
    <v>BVMF</v>
    <v>17.440000000000001</v>
    <v>6600</v>
    <v>45884.958391203705</v>
    <v>97</v>
    <v>40250</v>
    <v>BRL</v>
    <v>CSU DIGITAL S.A.</v>
    <v>CSU DIGITAL S.A.</v>
    <v>17.260000000000002</v>
    <v>17.38</v>
    <v>Rua Piaui 136, Nova Aldeinha, BARUERI, SAO PAULO, 06.440-182 BR</v>
    <v>Banking Services</v>
    <v>CSUD3</v>
    <v>Ações</v>
    <v>CSU DIGITAL S.A. (BVMF:CSUD3)</v>
    <v>-0.06</v>
    <v>-3.4399999999999999E-3</v>
    <v>13700</v>
  </rv>
  <rv s="2">
    <v>98</v>
  </rv>
  <rv s="0">
    <v>https://www.bing.com/financeapi/forcetrigger?t=c13h5r&amp;q=BVMF%3aBLAU3&amp;form=skydnc</v>
    <v>Learn more on Bing</v>
  </rv>
  <rv s="8">
    <v>pt-BR</v>
    <v>c13h5r</v>
    <v>268435456</v>
    <v>1</v>
    <v>Da plataforma Refinitiv</v>
    <v>14</v>
    <v>15</v>
    <v>Blau Farmacêutica S/A (BVMF:BLAU3)</v>
    <v>12</v>
    <v>16</v>
    <v>Finance</v>
    <v>5</v>
    <v>17.27</v>
    <v>11.26</v>
    <v>BVMF</v>
    <v>179393900</v>
    <v>12.32</v>
    <v>1987</v>
    <v>12.12</v>
    <v>1.0161</v>
    <v>B3 - Brazil Stock Exchange</v>
    <v>2170667000</v>
    <v>A Blau Farmaceutica SA é uma empresa sediada no Brasil que atua no setor farmacêutico. A Companhia tem como foco o desenvolvimento, produção e comercialização de medicamentos, que visam o tratamento nas áreas de oncologia, nefrologia, hematologia e infectologia, entre outras. Suas linhas de produtos incluem biofármacos, biossimilares, oncológicos - injetáveis, oncológicos - orais, hemoderivados, antivirais e antirretrovirais, estimuladores uterinos, anestésicos, antitrombóticos, trombolíticos, saúde feminina, antibióticos, cefalosporina, cloranfenicol, inibidor de bombeamento ácido e outros produtos hospitalares. A Companhia atua no Brasil, Argentina, Colômbia, Peru, Uruguai, Chile e Estados Unidos, possuindo um complexo industrial farmacêutico composto por cinco plantas industriais, dedicadas à produção de medicamentos biológicos, biotecnológicos, oncológicos, antibióticos, anestésicos injetáveis e insumos biotecnológicos.</v>
    <v>BVMF</v>
    <v>12.1</v>
    <v>1900</v>
    <v>45884.838194733595</v>
    <v>100</v>
    <v>306880</v>
    <v>BRL</v>
    <v>Blau Farmacêutica S/A</v>
    <v>Blau Farmacêutica S/A</v>
    <v>12.25</v>
    <v>12.12</v>
    <v>Rodovia Raposo Tavares, 2833, km 30,5, Barro Branco, COTIA, SAO PAULO, 06.705-030 BR</v>
    <v>Pharmaceuticals</v>
    <v>BLAU3</v>
    <v>Ações</v>
    <v>Blau Farmacêutica S/A (BVMF:BLAU3)</v>
    <v>0.02</v>
    <v>1.653E-3</v>
    <v>194000</v>
  </rv>
  <rv s="2">
    <v>101</v>
  </rv>
  <rv s="0">
    <v>https://www.bing.com/financeapi/forcetrigger?t=apmnjc&amp;q=BVMF%3aGGBR3&amp;form=skydnc</v>
    <v>Learn more on Bing</v>
  </rv>
  <rv s="8">
    <v>pt-BR</v>
    <v>apmnjc</v>
    <v>268435456</v>
    <v>1</v>
    <v>Da plataforma Refinitiv</v>
    <v>14</v>
    <v>15</v>
    <v>GERDAU S.A. (BVMF:GGBR3)</v>
    <v>12</v>
    <v>16</v>
    <v>Finance</v>
    <v>5</v>
    <v>19.760000000000002</v>
    <v>13.29</v>
    <v>BVMF</v>
    <v>2013814000</v>
    <v>14.8</v>
    <v>1961</v>
    <v>14.47</v>
    <v>0.64180000000000004</v>
    <v>B3 - Brazil Stock Exchange</v>
    <v>31683440000</v>
    <v>A Gerdau SA é uma fabricante brasileira de produtos siderúrgicos. A empresa está envolvida na produção e comercialização de produtos siderúrgicos em geral, através de suas Usinas localizadas na Argentina, Brasil, Canadá, Colômbia, Estados Unidos, América, e outras. México, Peru, República Dominicana, Uruguai e Venezuela. O portfólio de produtos da empresa inclui aço bruto; produtos acabados para a indústria da construção civil, como vergalhões, barras de arame, formas estruturais, bobinas laminadas a quente e placas pesadas; produtos industriais acabados, como barras de aço laminadas comerciais, perfis leves e fios; produtos agrícolas, como estacas, arame liso e arame farpado; e itens de aço especiais. As atividades da Companhia incluem também operações de minas de minério de ferro localizadas no estado de Minas Gerais.</v>
    <v>BVMF</v>
    <v>14.71</v>
    <v>25557</v>
    <v>45884.958333333336</v>
    <v>103</v>
    <v>9238500</v>
    <v>BRL</v>
    <v>GERDAU S.A.</v>
    <v>GERDAU S.A.</v>
    <v>14.69</v>
    <v>14.5</v>
    <v>Avenida Doutora Ruth Cardoso, 8.501, 8 andar, Pinheiros, SAO PAULO, SAO PAULO, 05.425-070 BR</v>
    <v>Metals &amp; Mining</v>
    <v>GGBR3</v>
    <v>Ações</v>
    <v>GERDAU S.A. (BVMF:GGBR3)</v>
    <v>-0.21</v>
    <v>-1.4276E-2</v>
    <v>9700</v>
  </rv>
  <rv s="2">
    <v>104</v>
  </rv>
  <rv s="0">
    <v>https://www.bing.com/financeapi/forcetrigger?t=apmbm7&amp;q=BVMF%3aCRFB3&amp;form=skydnc</v>
    <v>Learn more on Bing</v>
  </rv>
  <rv s="8">
    <v>pt-BR</v>
    <v>apmbm7</v>
    <v>268435456</v>
    <v>1</v>
    <v>Da plataforma Refinitiv</v>
    <v>14</v>
    <v>15</v>
    <v>ATACADÃO S.A. (BVMF:CRFB3)</v>
    <v>12</v>
    <v>16</v>
    <v>Finance</v>
    <v>5</v>
    <v>10.92</v>
    <v>5.1100000000000003</v>
    <v>BVMF</v>
    <v>2109057000</v>
    <v>8.5399999999999991</v>
    <v>1980</v>
    <v>8.44</v>
    <v>1.3414999999999999</v>
    <v>B3 - Brazil Stock Exchange</v>
    <v>17884800000</v>
    <v>A Atacadão SA, também conhecido como Grupo Carrefour Brasil, é uma empresa com sede no Brasil que atua no setor de distribuição de alimentos. As atividades da Companhia estão divididas em três linhas de negócios: Atacado, Varejo e Soluções Financeiras. A área de Atacado concentra-se em lojas de autoatendimento e estabelecimentos de entrega, sob a marca Atacadao, para clientes atacadistas. O segmento de Varejo opera hipermercados, supermercados, lojas de conveniência, farmácias e postos de combustíveis, além da plataforma de e-commerce, com a marca Carrefour. Inclui também a Divisão de Imóveis, que administra o portfólio de imóveis e as áreas locáveis. A divisão Financial Solutions atua no mercado de seguros e oferece soluções de crédito ao consumidor por meio dos cartões Carrefour e Atacadão.</v>
    <v>BVMF</v>
    <v>8.4499999999999993</v>
    <v>95667</v>
    <v>45807.958333333336</v>
    <v>106</v>
    <v>3276280</v>
    <v>BRL</v>
    <v>ATACADÃO S.A.</v>
    <v>ATACADÃO S.A.</v>
    <v>8.4600000000000009</v>
    <v>8.48</v>
    <v>Avenida Morvan Dias de Figueiredo 6169, Vila Mariana, SAO PAULO, SAO PAULO, 02.170-901 BR</v>
    <v>Food &amp; Drug Retailing</v>
    <v>CRFB3</v>
    <v>Ações</v>
    <v>ATACADÃO S.A. (BVMF:CRFB3)</v>
    <v>0</v>
    <v>0</v>
    <v>14418400</v>
  </rv>
  <rv s="2">
    <v>107</v>
  </rv>
  <rv s="0">
    <v>https://www.bing.com/financeapi/forcetrigger?t=apnb5r&amp;q=BVMF%3aSAPR3&amp;form=skydnc</v>
    <v>Learn more on Bing</v>
  </rv>
  <rv s="8">
    <v>pt-BR</v>
    <v>apnb5r</v>
    <v>268435456</v>
    <v>1</v>
    <v>Da plataforma Refinitiv</v>
    <v>14</v>
    <v>15</v>
    <v>Companhia de Saneamento do Paraná - Sanepar (BVMF:SAPR3)</v>
    <v>12</v>
    <v>16</v>
    <v>Finance</v>
    <v>5</v>
    <v>8.0500000000000007</v>
    <v>4.6500000000000004</v>
    <v>BVMF</v>
    <v>1511206000</v>
    <v>7.96</v>
    <v>1963</v>
    <v>7.84</v>
    <v>0.6089</v>
    <v>B3 - Brazil Stock Exchange</v>
    <v>10613700000</v>
    <v>A Companhia de Saneamento do Paraná - Sanepar, anteriormente Companhia de Água e Esgotos do Paraná - Agepar, é uma empresa brasileira que atua na prestação de serviços de saneamento básico. A empresa atua sobretudo na distribuição de água, bem como na coleta e tratamento de esgoto. A empresa também se dedica a estudos, projetos e expansão de redes de distribuição de água, redes de coleta e infraestrutura de tratamento de esgoto. Além disso, a Companhia de Saneamento do Paraná - Sanepar fornece coleta e processamento de resíduos sólidos. Também presta serviços de consultoria e assistência técnica. A empresa colabora com agências e entidades governamentais e municipais. A Companhia de Saneamento do Paraná - Sanepar atua em 346 municípios.</v>
    <v>BVMF</v>
    <v>7.99</v>
    <v>6047</v>
    <v>45884.958333333336</v>
    <v>109</v>
    <v>1307550</v>
    <v>BRL</v>
    <v>Companhia de Saneamento do Paraná - Sanepar</v>
    <v>Companhia de Saneamento do Paraná - Sanepar</v>
    <v>7.95</v>
    <v>7.88</v>
    <v>Rua Engenheiros Reboucas, 1376, Reboucas, CURITIBA, PARANA, 80.215-900 BR</v>
    <v>Water Utilities</v>
    <v>SAPR3</v>
    <v>Ações</v>
    <v>Companhia de Saneamento do Paraná - Sanepar (BVMF:SAPR3)</v>
    <v>-0.11</v>
    <v>-1.3767E-2</v>
    <v>113200</v>
  </rv>
  <rv s="2">
    <v>110</v>
  </rv>
  <rv s="0">
    <v>https://www.bing.com/financeapi/forcetrigger?t=apltsm&amp;q=BVMF%3aABCB4&amp;form=skydnc</v>
    <v>Learn more on Bing</v>
  </rv>
  <rv s="8">
    <v>pt-BR</v>
    <v>apltsm</v>
    <v>268435456</v>
    <v>1</v>
    <v>Da plataforma Refinitiv</v>
    <v>14</v>
    <v>15</v>
    <v>Banco ABC Brasil S.A (BVMF:ABCB4)</v>
    <v>12</v>
    <v>16</v>
    <v>Finance</v>
    <v>5</v>
    <v>22.35</v>
    <v>17.850000000000001</v>
    <v>BVMF</v>
    <v>121695200</v>
    <v>21.93</v>
    <v>1983</v>
    <v>21.42</v>
    <v>0.90100000000000002</v>
    <v>B3 - Brazil Stock Exchange</v>
    <v>2612795000</v>
    <v>O Banco ABC Brasil S.A. é uma instituição brasileira que atua no setor bancário. Suas atividades comerciais se concentram na gestão de empréstimos e outras operações de crédito, serviços de depósito e contas correntes para grandes e médias empresas e clientes institucionais. Além disso, o Banco é responsável pela promoção de operações de mercado de capitais e outros serviços bancários. O portfólio de produtos e serviços do Banco inclui empréstimos em moeda local e em moeda estrangeira, vários tipos de garantias, financiamento de comércio internacional, operações com derivativos, financiamento de investimentos, bem como consultoria em fusões e aquisições (F&amp;A), entre outros. O Banco atua por meio de uma rede de filiais no Brasil e no exterior através de uma filial no exterior localizada nas Ilhas Cayman. Suas subsidiárias incluem a ABC Brasil Administração e Participações Ltda. e a ABC Brasil Distribuidora de Títulos e Valores Mobiliários S.A. O Banco é indiretamente controlado pela Arab Banking Corporation BSC.</v>
    <v>BVMF</v>
    <v>21.47</v>
    <v>441</v>
    <v>45884.958333333336</v>
    <v>112</v>
    <v>368160</v>
    <v>BRL</v>
    <v>Banco ABC Brasil S.A</v>
    <v>Banco ABC Brasil S.A</v>
    <v>21.42</v>
    <v>21.93</v>
    <v>Av. Cidade Jardim, 803 2 andar, Itaim Bibi, SAO PAULO, SAO PAULO, 01.453-000 BR</v>
    <v>Banking Services</v>
    <v>ABCB4</v>
    <v>Ações</v>
    <v>Banco ABC Brasil S.A (BVMF:ABCB4)</v>
    <v>0.46</v>
    <v>2.1425E-2</v>
    <v>325400</v>
  </rv>
  <rv s="2">
    <v>113</v>
  </rv>
  <rv s="0">
    <v>https://www.bing.com/financeapi/forcetrigger?t=apm5c7&amp;q=BVMF%3aBRSR6&amp;form=skydnc</v>
    <v>Learn more on Bing</v>
  </rv>
  <rv s="8">
    <v>pt-BR</v>
    <v>apm5c7</v>
    <v>268435456</v>
    <v>1</v>
    <v>Da plataforma Refinitiv</v>
    <v>14</v>
    <v>15</v>
    <v>BANCO DO ESTADO DO RIO GRANDE DO SUL S.A. (BVMF:BRSR6)</v>
    <v>12</v>
    <v>16</v>
    <v>Finance</v>
    <v>5</v>
    <v>12.8</v>
    <v>9.1199999999999992</v>
    <v>BVMF</v>
    <v>408974500</v>
    <v>11.98</v>
    <v>1928</v>
    <v>11.42</v>
    <v>1.0760000000000001</v>
    <v>B3 - Brazil Stock Exchange</v>
    <v>4665634000</v>
    <v>O Banco do Estado do Rio Grande do Sul S.A. é um banco comercial brasileiro que presta serviços bancários pessoais e corporativos. O Banrisul oferece uma variedade de produtos e serviços financeiros, como empréstimos pessoais e imobiliários, cartões de crédito e de débito, corretagem de títulos, gestão de portfólio, locação de veículos e equipamentos, serviços de investimento, apoio ao comércio internacional, e seguros de vida e patrimonial, entre outros.</v>
    <v>BVMF</v>
    <v>10.95</v>
    <v>9364</v>
    <v>45884.958333333336</v>
    <v>115</v>
    <v>846410</v>
    <v>BRL</v>
    <v>BANCO DO ESTADO DO RIO GRANDE DO SUL S.A.</v>
    <v>BANCO DO ESTADO DO RIO GRANDE DO SUL S.A.</v>
    <v>11.6</v>
    <v>11.82</v>
    <v>Rua Capitao Montanha, 177, Centro, PORTO ALEGRE, RIO GRANDE DO SUL, 90.018-900 BR</v>
    <v>Banking Services</v>
    <v>BRSR6</v>
    <v>Ações</v>
    <v>BANCO DO ESTADO DO RIO GRANDE DO SUL S.A. (BVMF:BRSR6)</v>
    <v>0.87</v>
    <v>7.9451999999999995E-2</v>
    <v>2921200</v>
  </rv>
  <rv s="2">
    <v>116</v>
  </rv>
  <rv s="0">
    <v>https://www.bing.com/financeapi/forcetrigger?t=c3uxhw&amp;q=BVMF%3aPORT3&amp;form=skydnc</v>
    <v>Learn more on Bing</v>
  </rv>
  <rv s="9">
    <v>pt-BR</v>
    <v>c3uxhw</v>
    <v>268435456</v>
    <v>1</v>
    <v>Da plataforma Refinitiv</v>
    <v>17</v>
    <v>18</v>
    <v>Wilson Sons S.A. (BVMF:PORT3)</v>
    <v>12</v>
    <v>19</v>
    <v>Finance</v>
    <v>5</v>
    <v>17.89</v>
    <v>14.8</v>
    <v>BVMF</v>
    <v>442931900</v>
    <v>17.87</v>
    <v>1971</v>
    <v>17.79</v>
    <v>1.0527</v>
    <v>B3 - Brazil Stock Exchange</v>
    <v>7888617138</v>
    <v>A Wilson Sons SA é uma operadora integrada de logística portuária e marítima com sede no Brasil. A Companhia tem cobertura nacional e oferece soluções completas que apoiam o comércio nacional e internacional, bem como a indústria de petróleo e gás. A gama de serviços da Companhia está dividida em seis segmentos operacionais, Terminais de Contentores, Agência de Remessa e Remessa, Bases de Apoio Offshore, Logística Internacional, Estaleiros e Navios de Apoio Offshore. A Willson Sons presta seus serviços a clientes como armadores, importadores e exportadores, indústria de petróleo e gás, projetos de energia renovável, setor do agronegócio, bem como outros atores em diferentes segmentos da economia. A Companhia possui diversas subsidiárias, incluindo Wilson Sons Estaleiros Ltda, Allink Transportes Internacionais Ltda e Wilport Operadores Portuarios Ltda.</v>
    <v>BVMF</v>
    <v>17.79</v>
    <v>45884.838596250003</v>
    <v>118</v>
    <v>1194200</v>
    <v>BRL</v>
    <v>Wilson Sons S.A.</v>
    <v>Wilson Sons S.A.</v>
    <v>17.79</v>
    <v>17.809999999999999</v>
    <v>Praia de Botafogo 186, 4 andar, Botafogo, RIO DE JANEIRO, RIO DE JANEIRO, 22.250-145 BR</v>
    <v>Transport Infrastructure</v>
    <v>PORT3</v>
    <v>Ações</v>
    <v>Wilson Sons S.A. (BVMF:PORT3)</v>
    <v>0.02</v>
    <v>1.124E-3</v>
    <v>425100</v>
  </rv>
  <rv s="2">
    <v>119</v>
  </rv>
  <rv s="0">
    <v>https://www.bing.com/financeapi/forcetrigger?t=apn4rw&amp;q=BVMF%3aPINE4&amp;form=skydnc</v>
    <v>Learn more on Bing</v>
  </rv>
  <rv s="8">
    <v>pt-BR</v>
    <v>apn4rw</v>
    <v>268435456</v>
    <v>1</v>
    <v>Da plataforma Refinitiv</v>
    <v>14</v>
    <v>15</v>
    <v>Banco Pine S.A. (BVMF:PINE4)</v>
    <v>12</v>
    <v>16</v>
    <v>Finance</v>
    <v>5</v>
    <v>6.4</v>
    <v>3.77</v>
    <v>BVMF</v>
    <v>226739600</v>
    <v>6.24</v>
    <v>1997</v>
    <v>6.05</v>
    <v>1.2259</v>
    <v>B3 - Brazil Stock Exchange</v>
    <v>1385111000</v>
    <v>O BANCO PINE S.A. é um banco sediado no Brasil, que atua no fornecimento de produtos bancários comerciais. Especializa-se no fornecimento de serviços financeiros para empresas, como vários tipos de crédito, cartões de crédito, financiamento do comércio, garantias, banco de investimento, ativos e gestão de patrimônio, serviços de consultoria financeira, produtos de tesouraria e fundos de pensão, dentre outros. Em 31 de dezembro de 2011, a empresa tinha várias subsidiárias, inclusive a Pine Investimentos Distribuidora de Títulos e Valores Mobiliários Ltda. (Pine Investimentos), a BP Empreendimentos e Participações S.A. (BP Empreendimentos), a BP Promotora de Serviços Bancários Ltda. (BP Promotora), a Pine Corretora de Seguros Ltda. (Pine Corretora) e a Pine Assessoria e Consultoria Ltda. (Pine Assessoria).</v>
    <v>BVMF</v>
    <v>6.16</v>
    <v>393</v>
    <v>45884.958333333336</v>
    <v>121</v>
    <v>249230</v>
    <v>BRL</v>
    <v>Banco Pine S.A.</v>
    <v>Banco Pine S.A.</v>
    <v>6.16</v>
    <v>6.12</v>
    <v>Av. Presidente Juscelino Kubitschek, 1830- Salas 44, 54 e 64 4, 5 e 6 andares, Vila Nova Conceicao, SAO PAULO, SAO PAULO, 04.543-000 BR</v>
    <v>Banking Services</v>
    <v>PINE4</v>
    <v>Ações</v>
    <v>Banco Pine S.A. (BVMF:PINE4)</v>
    <v>-0.04</v>
    <v>-6.4939999999999998E-3</v>
    <v>248700</v>
  </rv>
  <rv s="2">
    <v>122</v>
  </rv>
  <rv s="0">
    <v>https://www.bing.com/financeapi/forcetrigger?t=apms4c&amp;q=BVMF%3aITSA3&amp;form=skydnc</v>
    <v>Learn more on Bing</v>
  </rv>
  <rv s="8">
    <v>pt-BR</v>
    <v>apms4c</v>
    <v>268435456</v>
    <v>1</v>
    <v>Da plataforma Refinitiv</v>
    <v>14</v>
    <v>15</v>
    <v>ITAÚSA S.A. (BVMF:ITSA3)</v>
    <v>12</v>
    <v>16</v>
    <v>Finance</v>
    <v>5</v>
    <v>11.34</v>
    <v>8.06</v>
    <v>BVMF</v>
    <v>10993810000</v>
    <v>11.08</v>
    <v>1966</v>
    <v>10.94</v>
    <v>1.1744000000000001</v>
    <v>B3 - Brazil Stock Exchange</v>
    <v>121000700000</v>
    <v>A Itausa SA, anteriormente a Itausa Investimentos, é uma holding de investimentos sediada no Brasil que atua através de suas subsidiárias. As atividades do Grupo estão divididas em dois setores: Financeiro e não financeiro. O setor financeiro inclui o Itau Unibanco, que fornece uma ampla gama de serviços e produtos bancários e não bancários a uma base de clientes diversificada, em três segmentos de negócios: Varejo, Negócios por Atacado e Atividades com o Mercado e Corporação. O setor não financeiro inclui a Aegea, prestadora de serviços de saneamento básico de utilidade pública, bem como a Dexco, que atua em duas áreas de negócio: Madeira e Acabamentos de Construção. A Itausa SA opera em mais de 50 países.</v>
    <v>BVMF</v>
    <v>10.98</v>
    <v>127000</v>
    <v>45884.958333333336</v>
    <v>124</v>
    <v>18287870</v>
    <v>BRL</v>
    <v>ITAÚSA S.A.</v>
    <v>ITAÚSA S.A.</v>
    <v>11.02</v>
    <v>10.97</v>
    <v>Avenida Paulista, 1938, 5 andar, Bela Vista, SAO PAULO, SAO PAULO, 01.310-200 BR</v>
    <v>Banking Services</v>
    <v>ITSA3</v>
    <v>Ações</v>
    <v>ITAÚSA S.A. (BVMF:ITSA3)</v>
    <v>-0.01</v>
    <v>-9.1069999999999996E-4</v>
    <v>96000</v>
  </rv>
  <rv s="2">
    <v>125</v>
  </rv>
  <rv s="0">
    <v>https://www.bing.com/financeapi/forcetrigger?t=apmx3m&amp;q=BVMF%3aMEAL3&amp;form=skydnc</v>
    <v>Learn more on Bing</v>
  </rv>
  <rv s="13">
    <v>pt-BR</v>
    <v>apmx3m</v>
    <v>268435456</v>
    <v>1</v>
    <v>Da plataforma Refinitiv</v>
    <v>26</v>
    <v>27</v>
    <v>International Meal Company Alimentação S.A. (BVMF:MEAL3)</v>
    <v>12</v>
    <v>28</v>
    <v>Finance</v>
    <v>5</v>
    <v>1.75</v>
    <v>0.91</v>
    <v>BVMF</v>
    <v>286676500</v>
    <v>1.31</v>
    <v>1.25</v>
    <v>2.06</v>
    <v>B3 - Brazil Stock Exchange</v>
    <v>369812685</v>
    <v>A Alimentacao SA, anteriormente conhecida como RA Catering Ltda, é uma empresa brasileira que atua no setor de restaurantes de fast-food. A empresa está ativa na operação de restaurantes, bares e cafés em auto-estradas, aeroportos e centros comerciais. A empresa também fornece serviços de catering para as companhias aéreas. Tem operações na América Latina. A empresa opera lojas em centros comerciais sob as marcas Viena, Viena Express, Grano, Viena K Express, Viena Cafe, V Cafe e Viena Snacks, em rodovias sob a bandeira Frango Assado, e em aeroportos sob as marcas Aeromeals, Black Coffee, Brunella e Bistrot Mosaico, entre outros.</v>
    <v>BVMF</v>
    <v>1.3</v>
    <v>8427</v>
    <v>45884.958391203705</v>
    <v>127</v>
    <v>239370</v>
    <v>BRL</v>
    <v>International Meal Company Alimentação S.A.</v>
    <v>International Meal Company Alimentação S.A.</v>
    <v>1.31</v>
    <v>1.29</v>
    <v>Avenida Doutora Ruth Cardoso, 4777, 12 andar,conjunto A, Jd Univ. Pinheiros, SAO PAULO, SAO PAULO, 05.477-902 BR</v>
    <v>Hotels &amp; Entertainment Services</v>
    <v>MEAL3</v>
    <v>Ações</v>
    <v>International Meal Company Alimentação S.A. (BVMF:MEAL3)</v>
    <v>-0.01</v>
    <v>-7.6920000000000001E-3</v>
    <v>308400</v>
  </rv>
  <rv s="2">
    <v>128</v>
  </rv>
  <rv s="0">
    <v>https://www.bing.com/financeapi/forcetrigger?t=aplz4c&amp;q=BVMF%3aBBSE3&amp;form=skydnc</v>
    <v>Learn more on Bing</v>
  </rv>
  <rv s="8">
    <v>pt-BR</v>
    <v>aplz4c</v>
    <v>268435456</v>
    <v>1</v>
    <v>Da plataforma Refinitiv</v>
    <v>14</v>
    <v>15</v>
    <v>BB Seguridade Participações S.A. (BVMF:BBSE3)</v>
    <v>12</v>
    <v>16</v>
    <v>Finance</v>
    <v>5</v>
    <v>42.77</v>
    <v>31.36</v>
    <v>BVMF</v>
    <v>2000000000</v>
    <v>33.130000000000003</v>
    <v>2012</v>
    <v>32.729999999999997</v>
    <v>0.55789999999999995</v>
    <v>B3 - Brazil Stock Exchange</v>
    <v>70640000000</v>
    <v>A BB Seguridade Participações S.A. é uma empresa brasileira que atua no setor de seguros. As atividades da empresa se dividem em dois segmentos: Seguros e Corretagem. A divisão Seguros oferece seguros de vida, propriedade e acidentes, veículos, riscos especiais, financeiro e transporte, planos odontológicos, de previdência privada e de capitalização, bem como resseguro. A divisão Corretagem concentra-se na corretagem de seguros, gestão dos planos de previdência e capitalização, bem como na promoção de produtos de seguros e resseguros. Além disso, presta consultoria relacionada à seleção de seguros. As subsidiárias da empresa incluem a BB Seguros Participações S.A. e a BB Cor Participações S.A. A empresa é controlada pelo BANCO DO BRASIL S.A.</v>
    <v>BVMF</v>
    <v>33.380000000000003</v>
    <v>268</v>
    <v>45884.958333333336</v>
    <v>130</v>
    <v>8079210</v>
    <v>BRL</v>
    <v>BB Seguridade Participações S.A.</v>
    <v>BB Seguridade Participações S.A.</v>
    <v>33</v>
    <v>32.79</v>
    <v>SAUN, Quadra 05, Bloco B, 3 andar Edificio Banco do Br, Asa Norte, BRASILIA, DISTRITO FEDERAL, 70.040-912 BR</v>
    <v>Insurance</v>
    <v>BBSE3</v>
    <v>Ações</v>
    <v>BB Seguridade Participações S.A. (BVMF:BBSE3)</v>
    <v>-0.59</v>
    <v>-1.7675E-2</v>
    <v>9398300</v>
  </rv>
  <rv s="2">
    <v>131</v>
  </rv>
  <rv s="0">
    <v>https://www.bing.com/financeapi/forcetrigger?t=apmnxm&amp;q=BVMF%3aGOAU3&amp;form=skydnc</v>
    <v>Learn more on Bing</v>
  </rv>
  <rv s="8">
    <v>pt-BR</v>
    <v>apmnxm</v>
    <v>268435456</v>
    <v>1</v>
    <v>Da plataforma Refinitiv</v>
    <v>14</v>
    <v>15</v>
    <v>METALURGICA GERDAU S.A. (BVMF:GOAU3)</v>
    <v>12</v>
    <v>16</v>
    <v>Finance</v>
    <v>5</v>
    <v>11.72</v>
    <v>7.9</v>
    <v>BVMF</v>
    <v>993705800</v>
    <v>9.16</v>
    <v>1901</v>
    <v>8.89</v>
    <v>0.68500000000000005</v>
    <v>B3 - Brazil Stock Exchange</v>
    <v>9034818000</v>
    <v>A Metalúrgica Gerdau S.A., anteriormente Metalúrgica Hugo Gerdau S.A., é uma empresa brasileira que se dedica ao setor de produção de aço. A Empresa se concentra na fabricação de itens de aço longo e plano, essencialmente através do processo de fabricação em fornos elétricos, a partir de sucata de metal e ferro-gusa comprado, bem como na produção de aço a partir de minério de ferro em alto-forno e por redução direta. Suas atividades se dividem em quatro segmentos: Operações no Brasil, Operações na América do Norte, Operações na América Latina e Unidade de aço especial. Seus produtos são distribuídos em diversos setores, como da construção civil, agricultura e indústria automotiva, e a Empresa opera fábricas no Brasil, Argentina, Chile, Colômbia, México, Peru, Venezuela, Estados Unidos, Canadá, Espanha e Índia, entre outros.</v>
    <v>BVMF</v>
    <v>9.1300000000000008</v>
    <v>30000</v>
    <v>45884.958333333336</v>
    <v>133</v>
    <v>7424690</v>
    <v>BRL</v>
    <v>METALURGICA GERDAU S.A.</v>
    <v>METALURGICA GERDAU S.A.</v>
    <v>9.16</v>
    <v>9.01</v>
    <v>Avenida Doutora Ruth Cardoso, 8.501,8 andar, Pinheiros, SAO PAULO, SAO PAULO, 05.425-070 BR</v>
    <v>Metals &amp; Mining</v>
    <v>GOAU3</v>
    <v>Ações</v>
    <v>METALURGICA GERDAU S.A. (BVMF:GOAU3)</v>
    <v>-0.12</v>
    <v>-1.3143E-2</v>
    <v>66400</v>
  </rv>
  <rv s="2">
    <v>134</v>
  </rv>
  <rv s="0">
    <v>https://www.bing.com/financeapi/forcetrigger?t=apmscw&amp;q=BVMF%3aITUB4&amp;form=skydnc</v>
    <v>Learn more on Bing</v>
  </rv>
  <rv s="8">
    <v>pt-BR</v>
    <v>apmscw</v>
    <v>268435456</v>
    <v>1</v>
    <v>Da plataforma Refinitiv</v>
    <v>14</v>
    <v>15</v>
    <v>Itaú Unibanco Holding S.A. (BVMF:ITUB4)</v>
    <v>12</v>
    <v>16</v>
    <v>Finance</v>
    <v>5</v>
    <v>38.270000000000003</v>
    <v>25.55</v>
    <v>BVMF</v>
    <v>10784550000</v>
    <v>37.83</v>
    <v>1943</v>
    <v>37.35</v>
    <v>1.2503</v>
    <v>B3 - Brazil Stock Exchange</v>
    <v>385207300000</v>
    <v>O Itau Unibanco Holding SA, anteriormente Banco Frances e Brasileiro SA, é uma provedora brasileira de serviços e produtos bancários e não bancários diversificados. As atividades da Companhia estão divididas em três segmentos de negócios: Varejo, Negócios por Atacado e Atividades com o Mercado e Corporações. A oferta do segmento de Negócios de Varejo inclui empréstimos pessoais, cartões de crédito, empréstimos deduzidos da folha de pagamento, financiamento de veículos, empréstimos hipotecários, seguros, planos de pensões e produtos de obrigações premium. O segmento de Negócios por Atacado oferece serviços e produtos para clientes bancários privados, como gestão de ativos, soluções de mercado de capitais, atividades bancárias corporativas e de investimento. As atividades com o segmento de Negócios Mercado e Corporações gerenciam os rendimentos de juros associados ao superávit de capital da Companhia, superávit de dívida subordinado e saldo líquido de créditos fiscais e débitos. O Itau Unibanco Holding atende pessoas físicas e clientes corporativos.</v>
    <v>BVMF</v>
    <v>37.619999999999997</v>
    <v>100600</v>
    <v>45884.958333333336</v>
    <v>136</v>
    <v>26180200</v>
    <v>BRL</v>
    <v>Itaú Unibanco Holding S.A.</v>
    <v>Itaú Unibanco Holding S.A.</v>
    <v>37.49</v>
    <v>37.49</v>
    <v>Praca Alfredo Egydio de Souza Aranha, 100, T. Olavo Setubal, Piso Itau Unibanco, Parque Jabaquara, SAO PAULO, SAO PAULO, 04.344-902 BR</v>
    <v>Banking Services</v>
    <v>ITUB4</v>
    <v>Ações</v>
    <v>Itaú Unibanco Holding S.A. (BVMF:ITUB4)</v>
    <v>-0.13</v>
    <v>-3.4560000000000003E-3</v>
    <v>16990400</v>
  </rv>
  <rv s="2">
    <v>137</v>
  </rv>
  <rv s="0">
    <v>https://www.bing.com/financeapi/forcetrigger?t=apluur&amp;q=BVMF%3aAGRO3&amp;form=skydnc</v>
    <v>Learn more on Bing</v>
  </rv>
  <rv s="9">
    <v>pt-BR</v>
    <v>apluur</v>
    <v>268435456</v>
    <v>1</v>
    <v>Da plataforma Refinitiv</v>
    <v>17</v>
    <v>18</v>
    <v>Brasilagro - Companhia Brasileira de Propriedades Agrícolas (BVMF:AGRO3)</v>
    <v>12</v>
    <v>19</v>
    <v>Finance</v>
    <v>5</v>
    <v>25.42</v>
    <v>19.61</v>
    <v>BVMF</v>
    <v>102683400</v>
    <v>20.329999999999998</v>
    <v>2005</v>
    <v>20.100000000000001</v>
    <v>0.67430000000000001</v>
    <v>B3 - Brazil Stock Exchange</v>
    <v>2074206000</v>
    <v>BrasilAgro - Companhia Brasileira de Propriedades Agricolas é uma empresa brasileira. Seu core business consiste na aquisição, desenvolvimento, operação e venda de propriedades rurais adequadas para atividades agrícolas. As atividades da Companhia são realizadas por meio de um segmento operacional: Comercialização de imóveis, por meio de compra, venda ou locação, e produção e comercialização de produtos agrícolas. BrasilAgro é produtora de grãos, algodão, cana-de-açúcar e pecuária. A Companhia gerencia ativamente suas operações, combinando os retornos gerados pelas propriedades e operações da BrasilAgro, enquanto mitiga os riscos climáticos e agrícolas por meio da diversificação geográfica e da obtenção de altos rendimentos nas propriedades rurais.</v>
    <v>BVMF</v>
    <v>20.2</v>
    <v>45884.958333333336</v>
    <v>139</v>
    <v>119310</v>
    <v>BRL</v>
    <v>Brasilagro - Companhia Brasileira de Propriedades Agrícolas</v>
    <v>Brasilagro - Companhia Brasileira de Propriedades Agrícolas</v>
    <v>20.100000000000001</v>
    <v>20.21</v>
    <v>Avenida Reboucas, n. 2.984, Conj, 61 e 62 6 andar, Pinheiros, SAO PAULO, SAO PAULO, 05.402-500 BR</v>
    <v>Food &amp; Tobacco</v>
    <v>AGRO3</v>
    <v>Ações</v>
    <v>Brasilagro - Companhia Brasileira de Propriedades Agrícolas (BVMF:AGRO3)</v>
    <v>0.01</v>
    <v>4.95E-4</v>
    <v>85600</v>
  </rv>
  <rv s="2">
    <v>140</v>
  </rv>
  <rv s="0">
    <v>https://www.bing.com/financeapi/forcetrigger?t=bskymw&amp;q=BVMF%3aBMGB4&amp;form=skydnc</v>
    <v>Learn more on Bing</v>
  </rv>
  <rv s="14">
    <v>pt-BR</v>
    <v>bskymw</v>
    <v>268435456</v>
    <v>1</v>
    <v>Da plataforma Refinitiv</v>
    <v>29</v>
    <v>30</v>
    <v>BANCO BMG S.A. (BVMF:BMGB4)</v>
    <v>12</v>
    <v>31</v>
    <v>Finance</v>
    <v>5</v>
    <v>4.18</v>
    <v>3.14</v>
    <v>BVMF</v>
    <v>216251500</v>
    <v>3.62</v>
    <v>3.57</v>
    <v>1.2672000000000001</v>
    <v>B3 - Brazil Stock Exchange</v>
    <v>776342885</v>
    <v>O Banco BMG SA é uma instituição financeira sediada no Brasil. Ele fornece aos clientes uma variedade de produtos e serviços. Sua oferta de varejo inclui cartão de crédito consignado, empréstimo direto por dívida, exclusivo para aposentados e pensionistas da previdência social e pensionistas e servidores públicos, crédito digital pessoal e seguro de varejo por meio de uma parceria. Para clientes corporativos, o Banco oferece serviços financeiros estruturados, instrumentos derivativos e seguros de garantia para empresas de médio e grande porte. Também fornece produtos de investimento de renda fixa para todos os clientes. Opera através de um número diversificado de canais de vendas, tanto físicos quanto digitais, como banco digital, agências bancárias, correspondentes bancários, entre outros.</v>
    <v>BVMF</v>
    <v>3.59</v>
    <v>45884.958391203705</v>
    <v>142</v>
    <v>360660</v>
    <v>BRL</v>
    <v>BANCO BMG S.A.</v>
    <v>BANCO BMG S.A.</v>
    <v>3.61</v>
    <v>3.59</v>
    <v>Avenida Presidente Juscelino Kubitschek, N 1830, 10, 11, 13 E 14 Andares - Parte Cond Ed S Luiz, Vila Nova Conceicao, SAO PAULO, SAO PAULO, 04.543-000 BR</v>
    <v>Banking Services</v>
    <v>BMGB4</v>
    <v>Ações</v>
    <v>BANCO BMG S.A. (BVMF:BMGB4)</v>
    <v>0</v>
    <v>0</v>
    <v>335400</v>
  </rv>
  <rv s="2">
    <v>143</v>
  </rv>
  <rv s="0">
    <v>https://www.bing.com/financeapi/forcetrigger?t=c2yyw7&amp;q=BVMF%3aLAND3&amp;form=skydnc</v>
    <v>Learn more on Bing</v>
  </rv>
  <rv s="9">
    <v>pt-BR</v>
    <v>c2yyw7</v>
    <v>268435456</v>
    <v>1</v>
    <v>Da plataforma Refinitiv</v>
    <v>17</v>
    <v>18</v>
    <v>Terra Santa Propriedades Agrícolas S.A. (BVMF:LAND3)</v>
    <v>12</v>
    <v>19</v>
    <v>Finance</v>
    <v>5</v>
    <v>15.91</v>
    <v>9.57</v>
    <v>BVMF</v>
    <v>96226960</v>
    <v>10.199999999999999</v>
    <v>2021</v>
    <v>9.9499999999999993</v>
    <v>-0.40839999999999999</v>
    <v>B3 - Brazil Stock Exchange</v>
    <v>971892296</v>
    <v>A Terra Santa Propriedades Agrícolas SA, anteriormente conhecida como TS Agro SA, é uma empresa sediada no Brasil focada na aquisição, administração e arrendamento de propriedades em áreas rurais. A Companhia possui um grande número de propriedades agrícolas destinadas a lavouras e pastagens, além de arrendar seu portfólio de terras para terceiros, geralmente a longo prazo, por no mínimo três anos. A Terra Santa Propriedades Agrícolas possui uma licença de operação que a permite administrar a Fazenda Terra Santa e a Fazenda Iporanga. A Companhia possui sete fazendas localizadas em diferentes municípios do Mato Grosso. A Terra Santa Propriedades Agrícolas SA possui diversas subsidiárias, incluindo a TS Brasil SA, Fazenda São José SA, Fazenda Iporanga SA e a Fazenda Boa Vista SA.</v>
    <v>BVMF</v>
    <v>10.050000000000001</v>
    <v>45884.958391203705</v>
    <v>145</v>
    <v>21220</v>
    <v>BRL</v>
    <v>Terra Santa Propriedades Agrícolas S.A.</v>
    <v>Terra Santa Propriedades Agrícolas S.A.</v>
    <v>9.9499999999999993</v>
    <v>10.1</v>
    <v>Praca General Gentil Falcao, 108, 8o andar Cj. 81, Sala 4, Cidade Moncoes, SAO PAULO, SAO PAULO, 04.571-150 BR</v>
    <v>Real Estate Operations</v>
    <v>LAND3</v>
    <v>Ações</v>
    <v>Terra Santa Propriedades Agrícolas S.A. (BVMF:LAND3)</v>
    <v>0.05</v>
    <v>4.9750000000000003E-3</v>
    <v>11200</v>
  </rv>
  <rv s="2">
    <v>146</v>
  </rv>
  <rv s="0">
    <v>https://www.bing.com/financeapi/forcetrigger?t=apmnm7&amp;q=BVMF%3aGGBR4&amp;form=skydnc</v>
    <v>Learn more on Bing</v>
  </rv>
  <rv s="8">
    <v>pt-BR</v>
    <v>apmnm7</v>
    <v>268435456</v>
    <v>1</v>
    <v>Da plataforma Refinitiv</v>
    <v>14</v>
    <v>15</v>
    <v>GERDAU S.A. (BVMF:GGBR4)</v>
    <v>12</v>
    <v>16</v>
    <v>Finance</v>
    <v>5</v>
    <v>20.85</v>
    <v>13.53</v>
    <v>BVMF</v>
    <v>2013814000</v>
    <v>16.440000000000001</v>
    <v>1961</v>
    <v>16.079999999999998</v>
    <v>0.64180000000000004</v>
    <v>B3 - Brazil Stock Exchange</v>
    <v>31683440000</v>
    <v>A Gerdau SA é uma fabricante brasileira de produtos siderúrgicos. A empresa está envolvida na produção e comercialização de produtos siderúrgicos em geral, através de suas Usinas localizadas na Argentina, Brasil, Canadá, Colômbia, Estados Unidos, América, e outras. México, Peru, República Dominicana, Uruguai e Venezuela. O portfólio de produtos da empresa inclui aço bruto; produtos acabados para a indústria da construção civil, como vergalhões, barras de arame, formas estruturais, bobinas laminadas a quente e placas pesadas; produtos industriais acabados, como barras de aço laminadas comerciais, perfis leves e fios; produtos agrícolas, como estacas, arame liso e arame farpado; e itens de aço especiais. As atividades da Companhia incluem também operações de minas de minério de ferro localizadas no estado de Minas Gerais.</v>
    <v>BVMF</v>
    <v>16.3</v>
    <v>25557</v>
    <v>45884.958333333336</v>
    <v>148</v>
    <v>9238500</v>
    <v>BRL</v>
    <v>GERDAU S.A.</v>
    <v>GERDAU S.A.</v>
    <v>16.309999999999999</v>
    <v>16.23</v>
    <v>Avenida Doutora Ruth Cardoso, 8.501, 8 andar, Pinheiros, SAO PAULO, SAO PAULO, 05.425-070 BR</v>
    <v>Metals &amp; Mining</v>
    <v>GGBR4</v>
    <v>Ações</v>
    <v>GERDAU S.A. (BVMF:GGBR4)</v>
    <v>-7.0000000000000007E-2</v>
    <v>-4.2940000000000001E-3</v>
    <v>6936800</v>
  </rv>
  <rv s="2">
    <v>149</v>
  </rv>
  <rv s="0">
    <v>https://www.bing.com/financeapi/forcetrigger?t=apms77&amp;q=BVMF%3aITSA4&amp;form=skydnc</v>
    <v>Learn more on Bing</v>
  </rv>
  <rv s="8">
    <v>pt-BR</v>
    <v>apms77</v>
    <v>268435456</v>
    <v>1</v>
    <v>Da plataforma Refinitiv</v>
    <v>14</v>
    <v>15</v>
    <v>ITAÚSA S.A. (BVMF:ITSA4)</v>
    <v>12</v>
    <v>16</v>
    <v>Finance</v>
    <v>5</v>
    <v>11.34</v>
    <v>7.86</v>
    <v>BVMF</v>
    <v>10993810000</v>
    <v>11.08</v>
    <v>1966</v>
    <v>10.9</v>
    <v>1.1744000000000001</v>
    <v>B3 - Brazil Stock Exchange</v>
    <v>121000700000</v>
    <v>A Itausa SA, anteriormente a Itausa Investimentos, é uma holding de investimentos sediada no Brasil que atua através de suas subsidiárias. As atividades do Grupo estão divididas em dois setores: Financeiro e não financeiro. O setor financeiro inclui o Itau Unibanco, que fornece uma ampla gama de serviços e produtos bancários e não bancários a uma base de clientes diversificada, em três segmentos de negócios: Varejo, Negócios por Atacado e Atividades com o Mercado e Corporação. O setor não financeiro inclui a Aegea, prestadora de serviços de saneamento básico de utilidade pública, bem como a Dexco, que atua em duas áreas de negócio: Madeira e Acabamentos de Construção. A Itausa SA opera em mais de 50 países.</v>
    <v>BVMF</v>
    <v>11.02</v>
    <v>127000</v>
    <v>45884.958333333336</v>
    <v>151</v>
    <v>18287870</v>
    <v>BRL</v>
    <v>ITAÚSA S.A.</v>
    <v>ITAÚSA S.A.</v>
    <v>11</v>
    <v>11.03</v>
    <v>Avenida Paulista, 1938, 5 andar, Bela Vista, SAO PAULO, SAO PAULO, 01.310-200 BR</v>
    <v>Banking Services</v>
    <v>ITSA4</v>
    <v>Ações</v>
    <v>ITAÚSA S.A. (BVMF:ITSA4)</v>
    <v>0.01</v>
    <v>9.0740000000000005E-4</v>
    <v>82046300</v>
  </rv>
  <rv s="2">
    <v>152</v>
  </rv>
  <rv s="0">
    <v>https://www.bing.com/financeapi/forcetrigger?t=az65xm&amp;q=BVMF%3aSMFT3&amp;form=skydnc</v>
    <v>Learn more on Bing</v>
  </rv>
  <rv s="8">
    <v>pt-BR</v>
    <v>az65xm</v>
    <v>268435456</v>
    <v>1</v>
    <v>Da plataforma Refinitiv</v>
    <v>14</v>
    <v>15</v>
    <v>Smartfit Escola de Ginástica e Dança S.A. (BVMF:SMFT3)</v>
    <v>12</v>
    <v>16</v>
    <v>Finance</v>
    <v>5</v>
    <v>25.32</v>
    <v>16.329999999999998</v>
    <v>BVMF</v>
    <v>597250100</v>
    <v>23.78</v>
    <v>2005</v>
    <v>23.22</v>
    <v>2.1394000000000002</v>
    <v>B3 - Brazil Stock Exchange</v>
    <v>14077184857</v>
    <v>A Smartfit Escola de Ginástica e Danca SA é uma empresa brasileira envolvida no setor de fitness. A empresa administra, opera e mantém uma rede de fitness com sede no Brasil, bem como no Peru, México, Colômbia, Chile, Argentina, México, México, Colômbia, México, México, Colômbia, Chile, Argentina e México. Paraguai, Equador, Guatemala, Panamá e República Dominicana. A empresa oferece uma variedade de equipamentos, incluindo máquinas de remo, esteiras e equipamentos de musculação. Além disso, oferece diferentes serviços entre os quais estão uma variedade de aulas, como aulas de dança, ioga e treinamento em grupo. As atividades da empresa são divididas em três linhas de negócios: Alto Valor/Baixo Preço, que inclui academias sob a marca Smart Fit; Premium, que opera academias sob as marcas Bio Ritmo e O2; e Outros/Novos Negócios, que compreende royalties cobrados a franqueados e novos modelos e marcas de fitness que a empresa está desenvolvendo.</v>
    <v>BVMF</v>
    <v>23.36</v>
    <v>3838</v>
    <v>45884.958333333336</v>
    <v>154</v>
    <v>5273370</v>
    <v>BRL</v>
    <v>Smartfit Escola de Ginástica e Dança S.A.</v>
    <v>Smartfit Escola de Ginástica e Dança S.A.</v>
    <v>23.35</v>
    <v>23.57</v>
    <v>Avenida Paulista, n.1294, 2 andar, Bela Vista,, SAO PAULO, SAO PAULO, 01.310-100 BR</v>
    <v>Hotels &amp; Entertainment Services</v>
    <v>SMFT3</v>
    <v>Ações</v>
    <v>Smartfit Escola de Ginástica e Dança S.A. (BVMF:SMFT3)</v>
    <v>0.21</v>
    <v>8.9899999999999997E-3</v>
    <v>3330900</v>
  </rv>
  <rv s="2">
    <v>155</v>
  </rv>
  <rv s="0">
    <v>https://www.bing.com/financeapi/forcetrigger?t=apmlc7&amp;q=BVMF%3aFLRY3&amp;form=skydnc</v>
    <v>Learn more on Bing</v>
  </rv>
  <rv s="8">
    <v>pt-BR</v>
    <v>apmlc7</v>
    <v>268435456</v>
    <v>1</v>
    <v>Da plataforma Refinitiv</v>
    <v>14</v>
    <v>15</v>
    <v>Fleury S.A. (BVMF:FLRY3)</v>
    <v>12</v>
    <v>16</v>
    <v>Finance</v>
    <v>5</v>
    <v>15.58</v>
    <v>10.39</v>
    <v>BVMF</v>
    <v>547191000</v>
    <v>14.22</v>
    <v>1964</v>
    <v>13.72</v>
    <v>0.60440000000000005</v>
    <v>B3 - Brazil Stock Exchange</v>
    <v>7704449280</v>
    <v>A Fleury SA é uma empresa sediada no Brasil que presta serviços de laboratório médico. As atividades da Companhia estão divididas em três linhas de negócios: Centros de Atendimento ao Paciente (PSC), B2B e Diagnóstico Odontológico. A divisão PCS oferece diagnóstico médico privado. A divisão B2B é responsável pela análise clínica e diagnóstico por imagem em hospitais parceiros, além de testes para laboratórios, hospitais e clínicas em todo o Brasil. A divisão de Diagnóstico Odontológico fornece imagens de diagnóstico odontológico por meio da Papaiz Associados Diagnosticos por Imagem SA, uma joint venture com a Odontoprev SA. A Companhia opera através de várias marcas, como Fleury Medicina e Saúde, Clínica Felippe Mattoso e Weinmann, a + Medicina Diagnóstica, Diagnoson a +, Diagmax e Inlab, entre outras.</v>
    <v>BVMF</v>
    <v>13.94</v>
    <v>27500</v>
    <v>45884.958356481482</v>
    <v>157</v>
    <v>3176190</v>
    <v>BRL</v>
    <v>Fleury S.A.</v>
    <v>Fleury S.A.</v>
    <v>13.91</v>
    <v>14.08</v>
    <v>Av. General Valdomiro de Lima, 508, Jabaquara, SAO PAULO, SAO PAULO, 04.344-070 BR</v>
    <v>Healthcare Providers &amp; Services</v>
    <v>FLRY3</v>
    <v>Ações</v>
    <v>Fleury S.A. (BVMF:FLRY3)</v>
    <v>0.14000000000000001</v>
    <v>1.0043E-2</v>
    <v>2576200</v>
  </rv>
  <rv s="2">
    <v>158</v>
  </rv>
  <rv s="0">
    <v>https://www.bing.com/financeapi/forcetrigger?t=apna3m&amp;q=BVMF%3aROMI3&amp;form=skydnc</v>
    <v>Learn more on Bing</v>
  </rv>
  <rv s="8">
    <v>pt-BR</v>
    <v>apna3m</v>
    <v>268435456</v>
    <v>1</v>
    <v>Da plataforma Refinitiv</v>
    <v>14</v>
    <v>15</v>
    <v>ROMI S.A. (BVMF:ROMI3)</v>
    <v>12</v>
    <v>16</v>
    <v>Finance</v>
    <v>5</v>
    <v>10.82</v>
    <v>7.44</v>
    <v>BVMF</v>
    <v>93170750</v>
    <v>7.66</v>
    <v>1938</v>
    <v>7.44</v>
    <v>0.61370000000000002</v>
    <v>B3 - Brazil Stock Exchange</v>
    <v>706234285</v>
    <v>A Romi SA, anteriormente Industrias Romi SA, é uma fabricante brasileira de máquinas-ferramentas e equipamentos de processamento de plástico. As operações da empresa são organizadas em três unidades de negócio: Máquinas ROMI, que compreende linhas de Máquinas-Ferramentas e Máquinas para Processamento de Plástico; a unidade de Máquinas Burkhardt Weber, que inclui centros de usinagem horizontais e máquinas para aplicações especiais, bem como a unidade de Castings e Peças usinadas, capaz de produzir aproximadamente 50 000 toneladas/ano de peças de ferro cinza, nodular ou vermicular. A empresa fornece indústrias como fabricação de componentes automotivos, bens de consumo, máquinas e implementos agrícolas, educação, máquinas e equipamentos industriais. A Romi SA exporta seus produtos para todos os continentes.</v>
    <v>BVMF</v>
    <v>7.6</v>
    <v>2806</v>
    <v>45884.958333333336</v>
    <v>160</v>
    <v>127090</v>
    <v>BRL</v>
    <v>ROMI S.A.</v>
    <v>ROMI S.A.</v>
    <v>7.66</v>
    <v>7.58</v>
    <v>Rodovia Luis de Queiroz (SP 304), s/n, KM 141,5, Dist. Industrial Sul, SANTA BARBARA D'OESTE, SAO PAULO, 13.459-057 BR</v>
    <v>Machinery, Equipment &amp; Components</v>
    <v>ROMI3</v>
    <v>Ações</v>
    <v>ROMI S.A. (BVMF:ROMI3)</v>
    <v>-0.02</v>
    <v>-2.6319999999999998E-3</v>
    <v>140000</v>
  </rv>
  <rv s="2">
    <v>161</v>
  </rv>
  <rv s="0">
    <v>https://www.bing.com/financeapi/forcetrigger?t=apnew7&amp;q=BVMF%3aTAEE4&amp;form=skydnc</v>
    <v>Learn more on Bing</v>
  </rv>
  <rv s="8">
    <v>pt-BR</v>
    <v>apnew7</v>
    <v>268435456</v>
    <v>1</v>
    <v>Da plataforma Refinitiv</v>
    <v>14</v>
    <v>15</v>
    <v>Transmissora Aliança de Energia Elétrica S/A (BVMF:TAEE4)</v>
    <v>12</v>
    <v>16</v>
    <v>Finance</v>
    <v>5</v>
    <v>12.24</v>
    <v>10.24</v>
    <v>BVMF</v>
    <v>344498900</v>
    <v>11.46</v>
    <v>2006</v>
    <v>11.26</v>
    <v>0.71150000000000002</v>
    <v>B3 - Brazil Stock Exchange</v>
    <v>11482150000</v>
    <v>Transmissora Alianca de Energia Elétrica S/A, anteriormente Terna Participações SA é uma empresa brasileira de energia. Opera através de um segmento operacional - a transmissão de energia elétrica. A Empresa dedica-se exclusivamente à construção, operação e manutenção de ativos de transmissão. O portfólio da Transmissora Alianca de Energia Eletrica inclui mais de 14 000 km de linhas em operação e mais de 110 subestações. Além disso, possui ativos em operação com tensões entre 230 e 525kV e está presente em todas as 5 regiões do Brasil. A Companhia possui inúmeras subsidiárias, como a Brasnorte Transmissora de Energia S/A, a Ananai Transmissora de Energia Elétrica S/A e a Companhia Transudeste de Transmissao.</v>
    <v>BVMF</v>
    <v>11.2</v>
    <v>854</v>
    <v>45884.958333333336</v>
    <v>163</v>
    <v>2357510</v>
    <v>BRL</v>
    <v>Transmissora Aliança de Energia Elétrica S/A</v>
    <v>Transmissora Aliança de Energia Elétrica S/A</v>
    <v>11.3</v>
    <v>11.3</v>
    <v>Av. das Americas, 2480 Bloco 6, Barra da Tijuca, RIO DE JANEIRO, RIO DE JANEIRO, 22.640-101 BR</v>
    <v>Electrical Utilities &amp; IPPs</v>
    <v>TAEE4</v>
    <v>Ações</v>
    <v>Transmissora Aliança de Energia Elétrica S/A (BVMF:TAEE4)</v>
    <v>0.1</v>
    <v>8.9289999999999994E-3</v>
    <v>143900</v>
  </rv>
  <rv s="2">
    <v>164</v>
  </rv>
  <rv s="0">
    <v>https://www.bing.com/financeapi/forcetrigger?t=apn827&amp;q=BVMF%3aRAIL3&amp;form=skydnc</v>
    <v>Learn more on Bing</v>
  </rv>
  <rv s="8">
    <v>pt-BR</v>
    <v>apn827</v>
    <v>268435456</v>
    <v>1</v>
    <v>Da plataforma Refinitiv</v>
    <v>14</v>
    <v>15</v>
    <v>RUMO S.A. (BVMF:RAIL3)</v>
    <v>12</v>
    <v>16</v>
    <v>Finance</v>
    <v>5</v>
    <v>23.38</v>
    <v>15.09</v>
    <v>BVMF</v>
    <v>1854869000</v>
    <v>16.04</v>
    <v>1997</v>
    <v>15.65</v>
    <v>0.80279999999999996</v>
    <v>B3 - Brazil Stock Exchange</v>
    <v>29603709240</v>
    <v>A Rumo SA é uma empresa sediada no Brasil que atua principalmente no setor de transporte de cargas. Por meio de suas subsidiárias, a Companhia atua no segmento de transporte ferroviário nas regiões Sul e Centro-Oeste do Brasil, com rede ferroviária composta por cinco concessões com aproximadamente 13.500 km de trilhos. A Rumo SA gerencia também terminais de transbordo localizados nos estados de Mato Grosso, São Paulo, Paraná e Rio Grande do Sul, bem como a elevação de portos no terminal de Porto de Santos. Além disso, por meio da Brado Logística e Participações SA, atua nas operações de contêineres. A Companhia oferece transporte de commodities agrícolas, combustíveis e bens finais, transporte intermodal de mercadorias, serviços integrados de armazenagem, operações portuárias e movimentação de mercadorias, entre outros.</v>
    <v>BVMF</v>
    <v>16.04</v>
    <v>8602</v>
    <v>45884.958333333336</v>
    <v>166</v>
    <v>11585950</v>
    <v>BRL</v>
    <v>RUMO S.A.</v>
    <v>RUMO S.A.</v>
    <v>15.88</v>
    <v>15.96</v>
    <v>Rua Emilio Bertolini, 100 - Cajuru, CURITIBA, PARANA, 82.920-030 BR</v>
    <v>Freight &amp; Logistics Services</v>
    <v>RAIL3</v>
    <v>Ações</v>
    <v>RUMO S.A. (BVMF:RAIL3)</v>
    <v>-0.08</v>
    <v>-4.9880000000000002E-3</v>
    <v>10538900</v>
  </rv>
  <rv s="2">
    <v>167</v>
  </rv>
  <rv s="0">
    <v>https://www.bing.com/financeapi/forcetrigger?t=apmeec&amp;q=BVMF%3aCYRE3&amp;form=skydnc</v>
    <v>Learn more on Bing</v>
  </rv>
  <rv s="9">
    <v>pt-BR</v>
    <v>apmeec</v>
    <v>268435456</v>
    <v>1</v>
    <v>Da plataforma Refinitiv</v>
    <v>17</v>
    <v>18</v>
    <v>Cyrela Brazil Realty S.A. Empreendimentos e Participações (BVMF:CYRE3)</v>
    <v>12</v>
    <v>19</v>
    <v>Finance</v>
    <v>5</v>
    <v>27.02</v>
    <v>15.44</v>
    <v>BVMF</v>
    <v>384000000</v>
    <v>25.88</v>
    <v>1993</v>
    <v>24.1</v>
    <v>1.6384000000000001</v>
    <v>B3 - Brazil Stock Exchange</v>
    <v>9907200000</v>
    <v>A Cyrela Brazil Realty S.A. Empreendimentos e Participações, anteriormente denominada Cyrela Brasil Realty SA Empreendimentos e Participações, é uma empresa brasileira envolvida no setor imobiliário. A Empresa está envolvida principalmente na construção, incorporação, corretagem e venda de imóveis residenciais. Além disso, ela fornece serviços de desmembramento de terrenos e serviços complementares para seus clientes. Em 31 de dezembro de 2011, a Empresa possuía diversas subsidiárias, incluindo a ABC Realty de Investimento Imobiliário Ltda., a Andorra Empreendimentos Imobiliários Ltda., a BR-Serviços e Investimentos Ltda.-Bahamas, a Barão de Miracema Empreendimentos Imobiliários Ltda., a Boa Vista Empreendimentos Imobiliários Spe Ltda., a Bretanha Empreendimentos Imobiliários Ltda. e a Cabo Frio Empreendimentos Imobiliários Ltda., entre outras.</v>
    <v>BVMF</v>
    <v>25.19</v>
    <v>45884.958356481482</v>
    <v>169</v>
    <v>5802240</v>
    <v>BRL</v>
    <v>Cyrela Brazil Realty S.A. Empreendimentos e Participações</v>
    <v>Cyrela Brazil Realty S.A. Empreendimentos e Participações</v>
    <v>24.42</v>
    <v>25.8</v>
    <v>Rua do Rocio,109, 2 andar Sala01 Parte, Vila Olimpia, SAO PAULO, SAO PAULO, 04.552-000 BR</v>
    <v>Real Estate Operations</v>
    <v>CYRE3</v>
    <v>Ações</v>
    <v>Cyrela Brazil Realty S.A. Empreendimentos e Participações (BVMF:CYRE3)</v>
    <v>0.61</v>
    <v>2.4216000000000001E-2</v>
    <v>9220500</v>
  </rv>
  <rv s="2">
    <v>170</v>
  </rv>
  <rv s="0">
    <v>https://www.bing.com/financeapi/forcetrigger?t=c1s56h&amp;q=BVMF%3aCXSE3&amp;form=skydnc</v>
    <v>Learn more on Bing</v>
  </rv>
  <rv s="8">
    <v>pt-BR</v>
    <v>c1s56h</v>
    <v>268435456</v>
    <v>1</v>
    <v>Da plataforma Refinitiv</v>
    <v>14</v>
    <v>15</v>
    <v>Caixa Seguridade Participações S.A (BVMF:CXSE3)</v>
    <v>12</v>
    <v>16</v>
    <v>Finance</v>
    <v>5</v>
    <v>16.13</v>
    <v>12.93</v>
    <v>BVMF</v>
    <v>3000000000</v>
    <v>13.83</v>
    <v>2015</v>
    <v>13.52</v>
    <v>0.95660000000000001</v>
    <v>B3 - Brazil Stock Exchange</v>
    <v>40860000000</v>
    <v>A Caixa Seguridade Participações SA é uma holding brasileira que consolida os investimentos DA Caixa em empresas nos setores de seguros, pensões privadas, capitalização, consórcio, assistência, etc. e os setores de corretagem de seguros e atua principalmente através do sistema de bancassurance na rede de distribuição DA CAIXA. A Companhia tem o direito exclusivo de acessar a base de clientes DA CAIXA e explorar economicamente a MARCA CAIXA e sua rede de agências próprias, concessionárias de loteria, correspondentes bancários, internet banking, caixas eletrônicos e outros canais de distribuição. A Companhia é controlada pela Caixa Econômica Federal.</v>
    <v>BVMF</v>
    <v>13.77</v>
    <v>135</v>
    <v>45884.958356481482</v>
    <v>172</v>
    <v>4798430</v>
    <v>BRL</v>
    <v>Caixa Seguridade Participações S.A</v>
    <v>Caixa Seguridade Participações S.A</v>
    <v>13.8</v>
    <v>13.62</v>
    <v>SAUS Quadra 3 Bloco E, 3 andar, Asa Sul, BRASILIA, DISTRITO FEDERAL, 70.070-030 BR</v>
    <v>Insurance</v>
    <v>CXSE3</v>
    <v>Ações</v>
    <v>Caixa Seguridade Participações S.A (BVMF:CXSE3)</v>
    <v>-0.15</v>
    <v>-1.0893E-2</v>
    <v>3801900</v>
  </rv>
  <rv s="2">
    <v>173</v>
  </rv>
  <rv s="0">
    <v>https://www.bing.com/financeapi/forcetrigger?t=c1rkkr&amp;q=BVMF%3aALLD3&amp;form=skydnc</v>
    <v>Learn more on Bing</v>
  </rv>
  <rv s="9">
    <v>pt-BR</v>
    <v>c1rkkr</v>
    <v>268435456</v>
    <v>1</v>
    <v>Da plataforma Refinitiv</v>
    <v>17</v>
    <v>18</v>
    <v>Allied Tecnologia S.A. (BVMF:ALLD3)</v>
    <v>12</v>
    <v>19</v>
    <v>Finance</v>
    <v>5</v>
    <v>10.220000000000001</v>
    <v>6.17</v>
    <v>BVMF</v>
    <v>94507240</v>
    <v>9.25</v>
    <v>2014</v>
    <v>9.02</v>
    <v>1.2545999999999999</v>
    <v>B3 - Brazil Stock Exchange</v>
    <v>864741246</v>
    <v>A Allied Tecnologia SA é uma empresa brasileira envolvida no negócio de eletrônicos de consumo. A empresa opera através de 3 canais de vendas: Varejo físico, varejo digital e distribuição. A empresa vende um portfólio de produtos eletrônicos de consumo, representando marcas como Apple, HP, Samsung, Motorola, Microsoft, Lenovo, entre outros, em mais de 10 categorias de produtos. A empresa também oferece uma variedade de serviços complementares, incluindo seguros de telefonia móvel, planos de operadoras, trade-in de aparelhos e serviços financeiros. A plataforma de digitalização da Companhia para varejo, SAV, está presente em vários pontos de venda, incluindo a Magazine Luiza, Lojas Americanas, Eletrosom, Lojas Samsung, etc. G. Barbosa, Carrefour, BIG, Motorola, Grupo Avenida e Oi.</v>
    <v>BVMF</v>
    <v>8.99</v>
    <v>45884.958391203705</v>
    <v>175</v>
    <v>218470</v>
    <v>BRL</v>
    <v>Allied Tecnologia S.A.</v>
    <v>Allied Tecnologia S.A.</v>
    <v>9.02</v>
    <v>9.15</v>
    <v>Rodovia Vice-Prefeito Hermenegildo Tonolli, 1.500 Lote GLA2/Galpao 04B, Distrito Industrial, JUNDIAI, SAO PAULO, 13.213-086 BR</v>
    <v>Computers, Phones &amp; Household Electronics</v>
    <v>ALLD3</v>
    <v>Ações</v>
    <v>Allied Tecnologia S.A. (BVMF:ALLD3)</v>
    <v>0.16</v>
    <v>1.7798000000000001E-2</v>
    <v>461900</v>
  </rv>
  <rv s="2">
    <v>176</v>
  </rv>
  <rv s="0">
    <v>https://www.bing.com/financeapi/forcetrigger?t=apmofr&amp;q=BVMF%3aDEXP3&amp;form=skydnc</v>
    <v>Learn more on Bing</v>
  </rv>
  <rv s="9">
    <v>pt-BR</v>
    <v>apmofr</v>
    <v>268435456</v>
    <v>1</v>
    <v>Da plataforma Refinitiv</v>
    <v>17</v>
    <v>18</v>
    <v>DEXXOS PARTICIPAÇÕES S.A. (BVMF:DEXP3)</v>
    <v>12</v>
    <v>19</v>
    <v>Finance</v>
    <v>5</v>
    <v>9.7799999999999994</v>
    <v>6.93</v>
    <v>BVMF</v>
    <v>103538800</v>
    <v>8.4600000000000009</v>
    <v>1997</v>
    <v>8.27</v>
    <v>0.98499999999999999</v>
    <v>B3 - Brazil Stock Exchange</v>
    <v>865584700</v>
    <v>A Dexxos Participações SA, anteriormente GPC Participações SA, é uma holding sediada no Brasil. As atividades da Companhia são realizadas através de dois segmentos operacionais: Produtos químicos e Tubos de Aço. O segmento Chemicals é responsável pela fabricação de resinas termofixas para a indústria de painéis de madeira reconstituída (aglomerado/madeira compensada e painéis de fibras de média densidade (MDF)), bem como pela produção de formaldeído. Também produz hexame, e revenda metanol e outros produtos químicos. O segmento de Tubos de Aço é responsável por explorar a indústria siderúrgica, especialmente para a produção de tubos para os mercados de construção civil, petróleo, gás, infraestrutura e automóveis. As subsidiárias da Companhia incluem Apolo Tubos e Equipamentos SA e GPC Química SA.</v>
    <v>BVMF</v>
    <v>8.36</v>
    <v>45884.958391203705</v>
    <v>178</v>
    <v>98780</v>
    <v>BRL</v>
    <v>DEXXOS PARTICIPAÇÕES S.A.</v>
    <v>DEXXOS PARTICIPAÇÕES S.A.</v>
    <v>8.3800000000000008</v>
    <v>8.4</v>
    <v>Rua Do Passeio 70 5 Andar, Centro, RIO DE JANEIRO, RIO DE JANEIRO, 20.021-290 BR</v>
    <v>Chemicals</v>
    <v>DEXP3</v>
    <v>Ações</v>
    <v>DEXXOS PARTICIPAÇÕES S.A. (BVMF:DEXP3)</v>
    <v>0.04</v>
    <v>4.7850000000000002E-3</v>
    <v>47700</v>
  </rv>
  <rv s="2">
    <v>179</v>
  </rv>
  <rv s="0">
    <v>https://www.bing.com/financeapi/forcetrigger?t=apnkjc&amp;q=BVMF%3aVLID3&amp;form=skydnc</v>
    <v>Learn more on Bing</v>
  </rv>
  <rv s="8">
    <v>pt-BR</v>
    <v>apnkjc</v>
    <v>268435456</v>
    <v>1</v>
    <v>Da plataforma Refinitiv</v>
    <v>14</v>
    <v>15</v>
    <v>VALID SOLUÇÕES S.A. (BVMF:VLID3)</v>
    <v>12</v>
    <v>16</v>
    <v>Finance</v>
    <v>5</v>
    <v>28.1</v>
    <v>18.05</v>
    <v>BVMF</v>
    <v>81836380</v>
    <v>20.8</v>
    <v>1957</v>
    <v>20.440000000000001</v>
    <v>1.3487</v>
    <v>B3 - Brazil Stock Exchange</v>
    <v>1691557974</v>
    <v>A Valid Soluções SA, anteriormente Valid Soluções e Serviços de Segurança em Meios de Pagamento e Identificação SA, é uma empresa sediada no Brasil que atua principalmente na prestação de serviços impressos. As atividades da Companhia estão divididas em quatro segmentos de negócios: Meios de Pagamento, Identificação, Telecomunicações e Certificação Digital. A divisão de Meios de Pagamento produz cartões, que são utilizados diariamente para pagamentos, identificação, cartões de presente, vouchers e ingressos, entre outros. A divisão de Identificação fornece soluções físicas e eletrônicas, como captura, armazenamento e gerenciamento de dados, impressão de segurança, bem como reconhecimento e impressão digital. A divisão de Telecomunicações fornece bilhetes de loteria instantâneos, cartões pré-pagos e bilhetes de transporte público, entre outros. A divisão de Certificação Digital fornece tecnologia e serviços de suporte para certificados digitais certificados pelo governo.</v>
    <v>BVMF</v>
    <v>20.29</v>
    <v>5000</v>
    <v>45884.958333333336</v>
    <v>181</v>
    <v>360620</v>
    <v>BRL</v>
    <v>VALID SOLUÇÕES S.A.</v>
    <v>VALID SOLUÇÕES S.A.</v>
    <v>20.5</v>
    <v>20.67</v>
    <v>R Laura Maiello Kook 511, Ipanema Das Pedras, SOROCABA, SAO PAULO, 18.052-445 BR</v>
    <v>Professional &amp; Commercial Services</v>
    <v>VLID3</v>
    <v>Ações</v>
    <v>VALID SOLUÇÕES S.A. (BVMF:VLID3)</v>
    <v>0.38</v>
    <v>1.8728000000000002E-2</v>
    <v>249000</v>
  </rv>
  <rv s="2">
    <v>182</v>
  </rv>
  <rv s="0">
    <v>https://www.bing.com/financeapi/forcetrigger?t=apmphw&amp;q=BVMF%3aHAGA3&amp;form=skydnc</v>
    <v>Learn more on Bing</v>
  </rv>
  <rv s="9">
    <v>pt-BR</v>
    <v>apmphw</v>
    <v>268435456</v>
    <v>1</v>
    <v>Da plataforma Refinitiv</v>
    <v>17</v>
    <v>18</v>
    <v>HAGA S.A. INDUSTRIA E COMERCIO (BVMF:HAGA3)</v>
    <v>12</v>
    <v>19</v>
    <v>Finance</v>
    <v>5</v>
    <v>2.8</v>
    <v>1.75</v>
    <v>BVMF</v>
    <v>11900000</v>
    <v>1.92</v>
    <v>1937</v>
    <v>1.92</v>
    <v>1.0219</v>
    <v>B3 - Brazil Stock Exchange</v>
    <v>16779000</v>
    <v>A Haga SA Indústria e Comércio é uma empresa sediada no Brasil que se dedica principalmente à fabricação de artigos de ferro e metal. A empresa dedica-se à produção, comercialização e exportação de fechaduras, chaves, dobradiças e cadeados para o sector da construção, bem como para a indústria naval, industrial e moveleira. A Haga vende seus produtos sob a marca Haga. Os produtos da Empresa estão organizados em várias linhas, como Design, Inox, Futura, Classic, Standard e Colonial, entre outras. A Companhia possui seu parque fabril na cidade de Nova Friburgo, localizada no estado do Rio de Janeiro. Em 31 de dezembro de 2011, sua subsidiária era Fullmetal Industria e Comercio SA. Em 19 de março de 2012, o processo de liquidação da Companhia foi encerrado e todas as obrigações foram declaradas extintas.</v>
    <v>BVMF</v>
    <v>1.91</v>
    <v>45884.958333333336</v>
    <v>184</v>
    <v>2860</v>
    <v>BRL</v>
    <v>HAGA S.A. INDUSTRIA E COMERCIO</v>
    <v>HAGA S.A. INDUSTRIA E COMERCIO</v>
    <v>1.92</v>
    <v>1.92</v>
    <v>Avenida Engenheiro Hans Gaiser, 26,Predio, Centro, NOVA FRIBURGO, RIO DE JANEIRO, 28.605-220 BR</v>
    <v>Specialty Retailers</v>
    <v>HAGA3</v>
    <v>Ações</v>
    <v>HAGA S.A. INDUSTRIA E COMERCIO (BVMF:HAGA3)</v>
    <v>0.01</v>
    <v>5.2359999999999993E-3</v>
    <v>200</v>
  </rv>
  <rv s="2">
    <v>185</v>
  </rv>
  <rv s="0">
    <v>https://www.bing.com/financeapi/forcetrigger?t=bwn8hw&amp;q=BVMF%3aRRRP3&amp;form=skydnc</v>
    <v>Learn more on Bing</v>
  </rv>
  <rv s="8">
    <v>pt-BR</v>
    <v>bwn8hw</v>
    <v>268435456</v>
    <v>1</v>
    <v>Da plataforma Refinitiv</v>
    <v>14</v>
    <v>15</v>
    <v>Brava Energia S.A. (BVMF:BRAV3)</v>
    <v>12</v>
    <v>16</v>
    <v>Finance</v>
    <v>5</v>
    <v>29.84</v>
    <v>15.26</v>
    <v>BVMF</v>
    <v>464187500</v>
    <v>20</v>
    <v>2010</v>
    <v>19.440000000000001</v>
    <v>1.2114</v>
    <v>B3 - Brazil Stock Exchange</v>
    <v>9070223750</v>
    <v>A Brava Energia SA, anteriormente 3R Petroleum Oleo e Gás SA, é uma empresa pública com sede no Brasil que atua na indústria integrada de petróleo e gás. A empresa tem como foco a exploração, produção e comercialização de petróleo e gás natural, incluindo derivados, qualificados para operar ativos em campos terrestres e offshore (mar), incluindo campos de pré-sal. A Companhia é uma holding, com várias subsidiárias operacionais, operando no segmento Upstream, e a Midstream e downstream da cadeia de petróleo e gás. O segmento Upstream inclui as atividades de exploração, produção e comercialização de petróleo e gás. O segmento Midstream &amp; downstream inclui o fluxo, tratamento, processamento e comercialização de produtos de petróleo e gás.</v>
    <v>BVMF</v>
    <v>19.940000000000001</v>
    <v>531</v>
    <v>45884.958356481482</v>
    <v>187</v>
    <v>9253530</v>
    <v>BRL</v>
    <v>Brava Energia S.A.</v>
    <v>Brava Energia S.A.</v>
    <v>19.940000000000001</v>
    <v>19.54</v>
    <v>Praia de Botafogo, 186, SL 1401, 1501, Botafogo, Rio De Janeiro, RIO DE JANEIRO, 22.250-145 BR</v>
    <v>Oil &amp; Gas</v>
    <v>BRAV3</v>
    <v>Ações</v>
    <v>Brava Energia S.A. (BVMF:BRAV3)</v>
    <v>-0.4</v>
    <v>-2.0059999999999998E-2</v>
    <v>6510300</v>
  </rv>
  <rv s="2">
    <v>188</v>
  </rv>
  <rv s="0">
    <v>https://www.bing.com/financeapi/forcetrigger?t=apmxqh&amp;q=BVMF%3aMILS3&amp;form=skydnc</v>
    <v>Learn more on Bing</v>
  </rv>
  <rv s="8">
    <v>pt-BR</v>
    <v>apmxqh</v>
    <v>268435456</v>
    <v>1</v>
    <v>Da plataforma Refinitiv</v>
    <v>14</v>
    <v>15</v>
    <v>Mills Locação, Serviços e Logística S.A (BVMF:MILS3)</v>
    <v>12</v>
    <v>16</v>
    <v>Finance</v>
    <v>5</v>
    <v>12.42</v>
    <v>8.06</v>
    <v>BVMF</v>
    <v>234178200</v>
    <v>12.3</v>
    <v>1980</v>
    <v>12.03</v>
    <v>1.52</v>
    <v>B3 - Brazil Stock Exchange</v>
    <v>2854632258</v>
    <v>A Mills Locacao Servicos e Logistica SA é uma empresa sediada no Brasil. A Companhia e suas subsidiárias operam no mercado de locação de máquinas e equipamentos e construção de alta complexidade. Suas principais atividades incluem a venda e aluguel de empilhadeiras e porta-paletes, bem como peças e componentes, assistência técnica e manutenção desses equipamentos. Eles também se envolvem na venda e aluguel de tratores, escavadeiras, carregadeiras e motoniveladoras, juntamente com peças e componentes, assistência técnica e serviços de manutenção. Além disso, a Mills está envolvida nas vendas, aluguel e distribuição de plataformas de trabalho aéreo e manipuladores telescópicos, incluindo peças e componentes, assistência técnica e serviços de manutenção. A Companhia também fornece locação e vendas, incluindo importação e exportação, de estruturas tubulares de aço e alumínio, escoramento e equipamentos de acesso para construção civil, juntamente com formas de concreto reutilizáveis e serviços de engenharia relacionados.</v>
    <v>BVMF</v>
    <v>12.12</v>
    <v>1205</v>
    <v>45884.958333333336</v>
    <v>190</v>
    <v>614590</v>
    <v>BRL</v>
    <v>Mills Locação, Serviços e Logística S.A</v>
    <v>Mills Locação, Serviços e Logística S.A</v>
    <v>12.09</v>
    <v>12.19</v>
    <v>Avenida Dra. Ruth Cardoso, n 7815 - CJ 401-B, Pinheiros, SAO PAULO, SAO PAULO, 05.425-905 BR</v>
    <v>Professional &amp; Commercial Services</v>
    <v>MILS3</v>
    <v>Ações</v>
    <v>Mills Locação, Serviços e Logística S.A (BVMF:MILS3)</v>
    <v>7.0000000000000007E-2</v>
    <v>5.7759999999999999E-3</v>
    <v>547900</v>
  </rv>
  <rv s="2">
    <v>191</v>
  </rv>
  <rv s="0">
    <v>https://www.bing.com/financeapi/forcetrigger?t=apne6h&amp;q=BVMF%3aSTBP3&amp;form=skydnc</v>
    <v>Learn more on Bing</v>
  </rv>
  <rv s="8">
    <v>pt-BR</v>
    <v>apne6h</v>
    <v>268435456</v>
    <v>1</v>
    <v>Da plataforma Refinitiv</v>
    <v>14</v>
    <v>15</v>
    <v>SANTOS BRASIL PARTICIPAÇÕES S.A. (BVMF:STBP3)</v>
    <v>12</v>
    <v>16</v>
    <v>Finance</v>
    <v>5</v>
    <v>14.15</v>
    <v>10.52</v>
    <v>BVMF</v>
    <v>864170300</v>
    <v>14.13</v>
    <v>1998</v>
    <v>14.11</v>
    <v>1.2709999999999999</v>
    <v>B3 - Brazil Stock Exchange</v>
    <v>12193442933</v>
    <v>A SANTOS BRASIL PARTICIPAÇÕES S.A. é uma holding brasileira que presta serviços logísticos. Através de suas subsidiárias, a empresa administra e opera instalações portuárias e fornece logística integrada para transporte de carga. A empresa atua em três áreas comerciais: setor de Terminais portuários de contêiner, que inclui operadores portuários que efetuam operações de carga e descarga de navios porta-contentores e entrepostos aduaneiros que asseguram o armazenamento das cargas manuseadas em suas docas; setor de Logística, que oferece serviços de transporte e de centro de distribuição; e Terminal de veículos, que fornece carga e descarga de veículos e armazenamento de carros. Os três terminais de contêiner da empresa estão localizados nos estados de São Paulo, Pará e Santa Catarina.</v>
    <v>BVMF</v>
    <v>14.13</v>
    <v>3703</v>
    <v>45884.958333333336</v>
    <v>193</v>
    <v>3785410</v>
    <v>BRL</v>
    <v>SANTOS BRASIL PARTICIPAÇÕES S.A.</v>
    <v>SANTOS BRASIL PARTICIPAÇÕES S.A.</v>
    <v>14.12</v>
    <v>14.11</v>
    <v>Rua Joaquim Floriano, 413 - 10 andar cj 101 e 102, Itaim Bibi, SAO PAULO, SAO PAULO, 04.534-011 BR</v>
    <v>Transport Infrastructure</v>
    <v>STBP3</v>
    <v>Ações</v>
    <v>SANTOS BRASIL PARTICIPAÇÕES S.A. (BVMF:STBP3)</v>
    <v>-0.02</v>
    <v>-1.4149999999999998E-3</v>
    <v>4564100</v>
  </rv>
  <rv s="2">
    <v>194</v>
  </rv>
  <rv s="0">
    <v>https://www.bing.com/financeapi/forcetrigger?t=ayd527&amp;q=BVMF%3aVBBR3&amp;form=skydnc</v>
    <v>Learn more on Bing</v>
  </rv>
  <rv s="8">
    <v>pt-BR</v>
    <v>ayd527</v>
    <v>268435456</v>
    <v>1</v>
    <v>Da plataforma Refinitiv</v>
    <v>14</v>
    <v>15</v>
    <v>Vibra Energia S.A. (BVMF:VBBR3)</v>
    <v>12</v>
    <v>16</v>
    <v>Finance</v>
    <v>5</v>
    <v>25.31</v>
    <v>15.33</v>
    <v>BVMF</v>
    <v>1119000000</v>
    <v>21.36</v>
    <v>1971</v>
    <v>20.73</v>
    <v>1.026</v>
    <v>B3 - Brazil Stock Exchange</v>
    <v>23342340000</v>
    <v>A Vibra Energia SA, anteriormente conhecida como Petrobras Distribuidora SA, é uma empresa sediada no Brasil, envolvida na distribuição nacional de produtos petrolíferos. As atividades da Companhia estão divididas em cinco segmentos: Rede Gasoline Stations, que atua na operação de uma rede de estações de serviço de marca (propriedade da Companhia ou franqueada) que comercializam combustíveis, lubrificantes e produtos e serviços derivados de petróleo, gás natural para veículos, biocombustíveis e produtos de conveniência; Business-to-Business (B2B), que fornece combustíveis, lubrificantes e produtos e serviços associados para governos, empresas de aviação, empresas de transporte, Usinas térmicas, concessionárias e empresas de varejo; energia, focada no comércio e geração distribuída de energia; e Corporativa, abrangendo a gestão financeira corporativa.</v>
    <v>BVMF</v>
    <v>21.28</v>
    <v>3814</v>
    <v>45884.958356481482</v>
    <v>196</v>
    <v>10319620</v>
    <v>BRL</v>
    <v>Vibra Energia S.A.</v>
    <v>Vibra Energia S.A.</v>
    <v>21.1</v>
    <v>20.86</v>
    <v>Rua Correia Vasques n 250 4 andar, Cidade Nova, RIO DE JANEIRO, RIO DE JANEIRO, 20.211-140 BR</v>
    <v>Oil &amp; Gas</v>
    <v>VBBR3</v>
    <v>Ações</v>
    <v>Vibra Energia S.A. (BVMF:VBBR3)</v>
    <v>-0.42</v>
    <v>-1.9737000000000001E-2</v>
    <v>14183300</v>
  </rv>
  <rv s="2">
    <v>197</v>
  </rv>
  <rv s="0">
    <v>https://www.bing.com/financeapi/forcetrigger?t=apmm2w&amp;q=BVMF%3aFRAS3&amp;form=skydnc</v>
    <v>Learn more on Bing</v>
  </rv>
  <rv s="9">
    <v>pt-BR</v>
    <v>apmm2w</v>
    <v>268435456</v>
    <v>1</v>
    <v>Da plataforma Refinitiv</v>
    <v>17</v>
    <v>18</v>
    <v>FRAS-LE S.A. (BVMF:FRAS3)</v>
    <v>12</v>
    <v>19</v>
    <v>Finance</v>
    <v>5</v>
    <v>29.38</v>
    <v>17.5</v>
    <v>BVMF</v>
    <v>280335100</v>
    <v>22.28</v>
    <v>1954</v>
    <v>21.97</v>
    <v>0.97170000000000001</v>
    <v>B3 - Brazil Stock Exchange</v>
    <v>6243062677</v>
    <v>A Fras Le SA é uma empresa sediada no Brasil que se dedica principalmente à fabricação de materiais de fricção. A empresa se concentra no projeto, produção, comercialização, exportação e importação de materiais de fricção para sistemas de freio de veículos motorizados. A linha de produtos da Companhia inclui revestimentos de embreagens, lonas de freio, sapatas e pastilhas de freio para caminhões, ônibus, automóveis, tratores, metrôs, elevadores e aeronaves, entre outros. O portfólio de marcas da empresa inclui Fras-le e Lonaflex. Suas atividades estão divididas em dois segmentos de negócios: Montadoras, que oferece produtos para o mercado automotivo, e Replacement, que fornece materiais de fricção para o mercado de peças de reposição. A Companhia opera por meio de várias subsidiárias nas Américas, Europa, Ásia e África do Sul. A Companhia é controlada pela Randon SA Implementos e Participações.</v>
    <v>BVMF</v>
    <v>22.07</v>
    <v>45884.958333333336</v>
    <v>199</v>
    <v>747680</v>
    <v>BRL</v>
    <v>FRAS-LE S.A.</v>
    <v>FRAS-LE S.A.</v>
    <v>21.97</v>
    <v>22.27</v>
    <v>Rodovia RS 122, Km 66, n 10.945 Predio adm, Forqueta, CAXIAS DO SUL, RIO GRANDE DO SUL, 95.010-550 BR</v>
    <v>Automobiles &amp; Auto Parts</v>
    <v>FRAS3</v>
    <v>Ações</v>
    <v>FRAS-LE S.A. (BVMF:FRAS3)</v>
    <v>0.2</v>
    <v>9.0620000000000006E-3</v>
    <v>133200</v>
  </rv>
  <rv s="2">
    <v>200</v>
  </rv>
  <rv s="0">
    <v>https://www.bing.com/financeapi/forcetrigger?t=aplvu2&amp;q=BVMF%3aALUP4&amp;form=skydnc</v>
    <v>Learn more on Bing</v>
  </rv>
  <rv s="8">
    <v>pt-BR</v>
    <v>aplvu2</v>
    <v>268435456</v>
    <v>1</v>
    <v>Da plataforma Refinitiv</v>
    <v>14</v>
    <v>15</v>
    <v>Alupar Investimento S.A. (BVMF:ALUP4)</v>
    <v>12</v>
    <v>16</v>
    <v>Finance</v>
    <v>5</v>
    <v>10.3</v>
    <v>8.19</v>
    <v>BVMF</v>
    <v>109875600</v>
    <v>9.52</v>
    <v>2006</v>
    <v>9.31</v>
    <v>0.62260000000000004</v>
    <v>B3 - Brazil Stock Exchange</v>
    <v>9667956000</v>
    <v>A Alupar Investimento S.A. é uma empresa brasileira que atua principalmente no setor de concessionárias de energia elétrica. A empresa concentra-se no desenvolvimento e investimento em projetos de infraestrutura envolvendo a indústria da energia no Brasil e em outros países latino-americanos. Suas atividades se dividem em dois segmentos comerciais: Transmissão e Geração. A divisão Transmissão detém concessões de transmissão de energia elétrica no Brasil e no Chile. A divisão Geração inclui a geração de eletricidade renovável por meio de usinas hidrelétricas (UHE), pequenas usinas hidrelétricas (PUH) e parques eólicos no Brasil, Colômbia e Peru. A empresa atua por meio de diversas subsidiárias, como a Transminas Holding S.A., Windepar Holding S.A., Alupar Inversiones Peru SAC e Alupar Chile Inversiones SpA. A empresa é controlada pela Guarupart Participações Ltda.</v>
    <v>BVMF</v>
    <v>9.41</v>
    <v>906</v>
    <v>45884.958333333336</v>
    <v>202</v>
    <v>1420460</v>
    <v>BRL</v>
    <v>Alupar Investimento S.A.</v>
    <v>Alupar Investimento S.A.</v>
    <v>9.4</v>
    <v>9.52</v>
    <v>Rua Gomes de Carvalho, n 1996 16 andar, Vila Olimpia, SAO PAULO, SAO PAULO, 04.547-006 BR</v>
    <v>Electrical Utilities &amp; IPPs</v>
    <v>ALUP4</v>
    <v>Ações</v>
    <v>Alupar Investimento S.A. (BVMF:ALUP4)</v>
    <v>0.11</v>
    <v>1.1690000000000001E-2</v>
    <v>4900</v>
  </rv>
  <rv s="2">
    <v>203</v>
  </rv>
  <rv s="0">
    <v>https://www.bing.com/financeapi/forcetrigger?t=apnhim&amp;q=BVMF%3aTRIS3&amp;form=skydnc</v>
    <v>Learn more on Bing</v>
  </rv>
  <rv s="8">
    <v>pt-BR</v>
    <v>apnhim</v>
    <v>268435456</v>
    <v>1</v>
    <v>Da plataforma Refinitiv</v>
    <v>14</v>
    <v>15</v>
    <v>TRISUL S.A. (BVMF:TRIS3)</v>
    <v>12</v>
    <v>16</v>
    <v>Finance</v>
    <v>5</v>
    <v>8.1</v>
    <v>3.97</v>
    <v>BVMF</v>
    <v>186617500</v>
    <v>6.75</v>
    <v>2007</v>
    <v>6.5</v>
    <v>1.5337000000000001</v>
    <v>B3 - Brazil Stock Exchange</v>
    <v>1218612275</v>
    <v>A Trisul SA é uma empresa com sede no Brasil que atua no setor imobiliário. Foi constituída a partir da fusão de duas empresas: Incosul Incorporacao e Construcao Ltda e Tricury Construcoes e Participações Ltda. Em conjunto com suas subsidiárias, a Companhia tem por objetivo principal a construção, compra, venda e locação de edifícios residenciais, bem como aquisição e loteamento de terrenos. Atua principalmente no estado brasileiro de São Paulo. A Companhia desenvolve suas operações em cidades como São Paulo, Santos, Guarulhos e Ribeirão Preto, entre outras. Trisul Life e Trisul Lar, principais produtos desenvolvidos pela Companhia, são unidades residenciais de 45 a 65 metros quadrados. Em 31 de dezembro de 2011, a Trisul SA possuía uma série de subsidiárias, incluindo Tricury Construções e Participações Ltda, Incosul Incorporação e Construção Ltda e Ribeirao VIII Empreendimentos Imobiliarios Ltda, entre outras.</v>
    <v>BVMF</v>
    <v>6.51</v>
    <v>379</v>
    <v>45884.958391203705</v>
    <v>205</v>
    <v>332130</v>
    <v>BRL</v>
    <v>TRISUL S.A.</v>
    <v>TRISUL S.A.</v>
    <v>6.67</v>
    <v>6.53</v>
    <v>Alameda dos Jaunas, 70, Indianopolis, SAO PAULO, SAO PAULO, 01.311-902 BR</v>
    <v>Homebuilding &amp; Construction Supplies</v>
    <v>TRIS3</v>
    <v>Ações</v>
    <v>TRISUL S.A. (BVMF:TRIS3)</v>
    <v>0.02</v>
    <v>3.0719999999999996E-3</v>
    <v>352800</v>
  </rv>
  <rv s="2">
    <v>206</v>
  </rv>
  <rv s="0">
    <v>https://www.bing.com/financeapi/forcetrigger?t=apngdm&amp;q=BVMF%3aTGMA3&amp;form=skydnc</v>
    <v>Learn more on Bing</v>
  </rv>
  <rv s="8">
    <v>pt-BR</v>
    <v>apngdm</v>
    <v>268435456</v>
    <v>1</v>
    <v>Da plataforma Refinitiv</v>
    <v>14</v>
    <v>15</v>
    <v>Tegma Gestão Logística S.A (BVMF:TGMA3)</v>
    <v>12</v>
    <v>16</v>
    <v>Finance</v>
    <v>5</v>
    <v>37.130000000000003</v>
    <v>23.01</v>
    <v>BVMF</v>
    <v>66002920</v>
    <v>36.49</v>
    <v>1998</v>
    <v>35.299999999999997</v>
    <v>1.1415</v>
    <v>B3 - Brazil Stock Exchange</v>
    <v>2405146404</v>
    <v>A TEGMA GESTÃO LOGÍSTICA S.A. é uma empresa estabelecida no Brasil, que atua no setor de transportes. A empresa está envolvida principalmente em serviços de logística para a indústria automotiva. Além disso, fornece serviços de transporte para empresas que atuam em outras áreas, inclusive combustível, agronegócios, polpa e papel, produtos químicos, telecomunicações e indústria eletrônica. A empresa também fornece serviços de armazenagem. Adicionalmente, fornece serviços de inspeção de veículos importados. Através de sua subsidiária Direct Logística Integrada S.A., a empresa oferece serviços de entregas expressas. Em 31 de dezembro de 2011, as subsidiárias da empresa eram a Tegmax Comércio e Serviços Automotivos Ltda., TGI Comércio Atacadista de Peças Automotivas Ltda., Tegma Cargas Especiais Ltda., Tegma Logística Integrada S.A., PDI Comércio e Indústria e Serviços Ltda., Direct Logística Integrada S.A. e Niyati Empreendimentos e Participações Ltda. Em 1º de fevereiro de 2012, a empresa concluiu a compra da LTD Transportes Ltda.</v>
    <v>BVMF</v>
    <v>35.53</v>
    <v>5086</v>
    <v>45884.958333333336</v>
    <v>208</v>
    <v>265530</v>
    <v>BRL</v>
    <v>Tegma Gestão Logística S.A</v>
    <v>Tegma Gestão Logística S.A</v>
    <v>35.46</v>
    <v>36.44</v>
    <v>Av. Nicola Demarchi, 2000, Demarchi, SAO BERNARDO DO CAMPO, SAO PAULO, 09.820-655 BR</v>
    <v>Freight &amp; Logistics Services</v>
    <v>TGMA3</v>
    <v>Ações</v>
    <v>Tegma Gestão Logística S.A (BVMF:TGMA3)</v>
    <v>0.91</v>
    <v>2.5611999999999999E-2</v>
    <v>241500</v>
  </rv>
  <rv s="2">
    <v>209</v>
  </rv>
  <rv s="0">
    <v>https://www.bing.com/financeapi/forcetrigger?t=apn9cw&amp;q=BVMF%3aREDE3&amp;form=skydnc</v>
    <v>Learn more on Bing</v>
  </rv>
  <rv s="8">
    <v>pt-BR</v>
    <v>apn9cw</v>
    <v>268435456</v>
    <v>1</v>
    <v>Da plataforma Refinitiv</v>
    <v>14</v>
    <v>15</v>
    <v>Rede Energia Participações S.A (BVMF:REDE3)</v>
    <v>12</v>
    <v>16</v>
    <v>Finance</v>
    <v>5</v>
    <v>6.72</v>
    <v>5.63</v>
    <v>BVMF</v>
    <v>2110323000</v>
    <v>6.61</v>
    <v>1929</v>
    <v>6.55</v>
    <v>0.23419999999999999</v>
    <v>B3 - Brazil Stock Exchange</v>
    <v>13949235030</v>
    <v>A Rede Energia Participações SA, anteriormente Rede Energia SA, é uma empresa holding sediada no Brasil, que atua no setor de energia elétrica. Juntamente com suas controladas, a Companhia atua na geração, distribuição e comercialização de energia elétrica, além de outras atividades relacionadas ao setor elétrico. Atua no setor de geração por meio da usina hidroelétrica Guapore, de propriedade da controlada Tangara Energia SA, localizada nos municípios de Vale de São Domingos e Pontes e Lacerda, no estado brasileiro de Mato Grosso. A Companhia atua no setor de distribuição através de nove empresas, incluindo Centrais Elétricas Matogrossenses SA, entre outras. Por meio da sua controlada Rede Comercializadora de Energia SA, a Companhia atua na intermediação e negociação de contratos de energia com geradoras, fornecedores e consumidores livres. A controlada da Companhia, Rede Eletricidade e Serviços SA, presta serviços relacionados ao setor de energia elétrica.</v>
    <v>BVMF</v>
    <v>6.44</v>
    <v>7703</v>
    <v>45884.958333333336</v>
    <v>211</v>
    <v>2790</v>
    <v>BRL</v>
    <v>Rede Energia Participações S.A</v>
    <v>Rede Energia Participações S.A</v>
    <v>6.55</v>
    <v>6.61</v>
    <v>Praca Rui Barbosa,n 80, Centro, CATAGUASES, MINAS GERAIS, 36.770-901 BR</v>
    <v>Electrical Utilities &amp; IPPs</v>
    <v>REDE3</v>
    <v>Ações</v>
    <v>Rede Energia Participações S.A (BVMF:REDE3)</v>
    <v>0.17</v>
    <v>2.6398000000000001E-2</v>
    <v>900</v>
  </rv>
  <rv s="2">
    <v>212</v>
  </rv>
  <rv s="0">
    <v>https://www.bing.com/financeapi/forcetrigger?t=apn9u2&amp;q=BVMF%3aRNEW3&amp;form=skydnc</v>
    <v>Learn more on Bing</v>
  </rv>
  <rv s="8">
    <v>pt-BR</v>
    <v>apn9u2</v>
    <v>268435456</v>
    <v>1</v>
    <v>Da plataforma Refinitiv</v>
    <v>14</v>
    <v>15</v>
    <v>RENOVA ENERGIA S.A. - EM RECUPERAÇÃO JUDICIAL (BVMF:RNEW3)</v>
    <v>12</v>
    <v>16</v>
    <v>Finance</v>
    <v>5</v>
    <v>2.6</v>
    <v>0.84</v>
    <v>BVMF</v>
    <v>124398500</v>
    <v>1.06</v>
    <v>2006</v>
    <v>1.02</v>
    <v>1.2154</v>
    <v>B3 - Brazil Stock Exchange</v>
    <v>386252200</v>
    <v>A Renova Energia SA em Recuperacao Judicial é uma empresa brasileira que atua no desenvolvimento, implementação e operação de projetos de geração de energia a partir de fontes renováveis, incluindo eólica, pequenas Usinas hidrelétricas (PCHs) e solar, bem como no comércio de energia e atividades afins. A Empresa está envolvida na geração e comercialização de energia elétrica em todas as suas formas; produção de energia elétrica a partir de fontes naturais e renováveis; prestação de serviços logísticos a empresas de consultoria ambiental; prestação de serviços de consultoria para soluções energéticas relacionadas com a geração, comercialização, transmissão e outros negócios envolvendo energias alternativas; fornecimento de engenharia, construção, logística, desenvolvimento de estudos, desenvolvimento de energia elétrica e desenvolvimento de energia elétrica. e serviços de projeto relacionados a usinas de geração de energia, bem como sua implementação, operação, manutenção e exploração.</v>
    <v>BVMF</v>
    <v>1.04</v>
    <v>141</v>
    <v>45884.958333333336</v>
    <v>214</v>
    <v>36900</v>
    <v>BRL</v>
    <v>RENOVA ENERGIA S.A. - EM RECUPERAÇÃO JUDICIAL</v>
    <v>RENOVA ENERGIA S.A. - EM RECUPERAÇÃO JUDICIAL</v>
    <v>1.06</v>
    <v>1.04</v>
    <v>Avenida das Nacoes Unidas, n 10.989, conjunto 82, Vila Olimpia, SAO PAULO, SAO PAULO, 04.578-000 BR</v>
    <v>Electrical Utilities &amp; IPPs</v>
    <v>RNEW3</v>
    <v>Ações</v>
    <v>RENOVA ENERGIA S.A. - EM RECUPERAÇÃO JUDICIAL (BVMF:RNEW3)</v>
    <v>0</v>
    <v>0</v>
    <v>17700</v>
  </rv>
  <rv s="2">
    <v>215</v>
  </rv>
  <rv s="0">
    <v>https://www.bing.com/financeapi/forcetrigger?t=apmdz2&amp;q=BVMF%3aCVCB3&amp;form=skydnc</v>
    <v>Learn more on Bing</v>
  </rv>
  <rv s="8">
    <v>pt-BR</v>
    <v>apmdz2</v>
    <v>268435456</v>
    <v>1</v>
    <v>Da plataforma Refinitiv</v>
    <v>14</v>
    <v>15</v>
    <v>CVC Brasil Operadora e Agência de Viagens S.A. (BVMF:CVCB3)</v>
    <v>12</v>
    <v>16</v>
    <v>Finance</v>
    <v>5</v>
    <v>2.92</v>
    <v>1.33</v>
    <v>BVMF</v>
    <v>525591100</v>
    <v>2.0499999999999998</v>
    <v>2009</v>
    <v>1.98</v>
    <v>2.4430999999999998</v>
    <v>B3 - Brazil Stock Exchange</v>
    <v>1066949932</v>
    <v>A CVC Brasil Operadora e Agência de Viagens SA é uma empresa sediada no Brasil, envolvida no setor de turismo. A Companhia oferece pacotes turísticos nacionais e internacionais, cruzeiros, estadias em hotéis e resorts, passagens aéreas e passeios turísticos. Seus pacotes de viagem combinam passagens aéreas, transporte terrestre, acomodações, seguro de viagem, guias turísticos e outros serviços complementares de viagem. Além disso, organiza intercâmbios internacionais, acampamentos de idiomas e viagens para adolescentes. A Companhia vende produtos e serviços através de lojas próprias, plataformas de distribuição online e agentes independentes autorizados. Seus destinos incluem principalmente a Europa e as Américas. A Companhia possui várias subsidiárias no Brasil e na Argentina, como CVC Serviços Agencia de Viagens Ltda e CVC Turismo SAU, entre outras.</v>
    <v>BVMF</v>
    <v>2.02</v>
    <v>2000</v>
    <v>45884.958333333336</v>
    <v>217</v>
    <v>11804090</v>
    <v>BRL</v>
    <v>CVC Brasil Operadora e Agência de Viagens S.A.</v>
    <v>CVC Brasil Operadora e Agência de Viagens S.A.</v>
    <v>2.0299999999999998</v>
    <v>2.0299999999999998</v>
    <v>Rua da Catequese, 227, 11 andar, sala 111, Jardim, SANTO ANDRE, SAO PAULO, 09.090-401 BR</v>
    <v>Hotels &amp; Entertainment Services</v>
    <v>CVCB3</v>
    <v>Ações</v>
    <v>CVC Brasil Operadora e Agência de Viagens S.A. (BVMF:CVCB3)</v>
    <v>0.01</v>
    <v>4.9499999999999995E-3</v>
    <v>13487300</v>
  </rv>
  <rv s="2">
    <v>218</v>
  </rv>
  <rv s="0">
    <v>https://www.bing.com/financeapi/forcetrigger?t=bxo6p2&amp;q=BVMF%3aORVR3&amp;form=skydnc</v>
    <v>Learn more on Bing</v>
  </rv>
  <rv s="9">
    <v>pt-BR</v>
    <v>bxo6p2</v>
    <v>268435456</v>
    <v>1</v>
    <v>Da plataforma Refinitiv</v>
    <v>17</v>
    <v>18</v>
    <v>Orizon Valorização de Resíduos S.A. (BVMF:ORVR3)</v>
    <v>12</v>
    <v>19</v>
    <v>Finance</v>
    <v>5</v>
    <v>54.47</v>
    <v>36.04</v>
    <v>BVMF</v>
    <v>96126870</v>
    <v>51.92</v>
    <v>2009</v>
    <v>49</v>
    <v>0.91510000000000002</v>
    <v>B3 - Brazil Stock Exchange</v>
    <v>4988023284</v>
    <v>A Orizon Valorizacao de Residuos SA é uma empresa com sede no Brasil que atua no setor de tratamento de resíduos. As atividades da Empresa estão divididas em quatro segmentos: Destinação final de resíduos sólidos; Certificados de energia, biogás e emissões reduzidas; Processamento de resíduos; e Engenharia Ambiental. Por meio do segmento de destinação final de resíduos sólidos, a empresa administra estações de tratamento e disposição de resíduos. O segmento de certificados de energia, biogás e emissões reduzidas tem como foco o desenvolvimento de usinas bioenergéticas para obtenção e tratamento de gases de decomposição de resíduos e também é responsável pela comercialização de créditos de carbono no mercado livre. O segmento de Processamento de Resíduos desenvolve plantas para o beneficiamento de materiais industriais, para a reciclagem de resíduos sólidos urbanos e para a queima direta de resíduos para geração de energia. O segmento de Engenharia Ambiental presta serviços de recuperação de áreas degradadas, remediação e monitoramento ambiental, entre outros.</v>
    <v>BVMF</v>
    <v>48.79</v>
    <v>45884.958391203705</v>
    <v>220</v>
    <v>325190</v>
    <v>BRL</v>
    <v>Orizon Valorização de Resíduos S.A.</v>
    <v>Orizon Valorização de Resíduos S.A.</v>
    <v>49</v>
    <v>51.89</v>
    <v>Avenida das Nacoes Unidas, 12.901 8 andar, Torre Oest, Brooklin Paulista, SAO PAULO, SAO PAULO, 04.578-910 BR</v>
    <v>Professional &amp; Commercial Services</v>
    <v>ORVR3</v>
    <v>Ações</v>
    <v>Orizon Valorização de Resíduos S.A. (BVMF:ORVR3)</v>
    <v>3.1</v>
    <v>6.3537999999999997E-2</v>
    <v>1186900</v>
  </rv>
  <rv s="2">
    <v>221</v>
  </rv>
  <rv s="0">
    <v>https://www.bing.com/financeapi/forcetrigger?t=apmrxm&amp;q=BVMF%3aIRBR3&amp;form=skydnc</v>
    <v>Learn more on Bing</v>
  </rv>
  <rv s="8">
    <v>pt-BR</v>
    <v>apmrxm</v>
    <v>268435456</v>
    <v>1</v>
    <v>Da plataforma Refinitiv</v>
    <v>14</v>
    <v>15</v>
    <v>IRB-Brasil Resseguros S.A. (BVMF:IRBR3)</v>
    <v>12</v>
    <v>16</v>
    <v>Finance</v>
    <v>5</v>
    <v>57.99</v>
    <v>31.43</v>
    <v>BVMF</v>
    <v>81842890</v>
    <v>49.5</v>
    <v>1939</v>
    <v>45.91</v>
    <v>1.4115</v>
    <v>B3 - Brazil Stock Exchange</v>
    <v>3849071116</v>
    <v>IRB-Brasil Resseguros SA, anteriormente Instituto de Seguros do Brasil A IRB é uma empresa de resseguros sediada no Brasil. A Companhia possui dois segmentos operacionais, a saber, Brasil e no exterior. IRB-Brasil Resseguros oferece cobertura de riscos em diversas linhas de negócios, incluindo causalidade, Riscos Agrícolas, Propriedade, Vida e Previdência, petróleo e gás, carga e marinha, habitação, garantia e finanças. Na área de Riscos Marítimos, a cobertura da Companhia inclui toda a cadeia: Cascos, operadores portuários e construção de navios. Os produtos da linha de negócios Life &amp; Pension compreendem os segmentos de doenças graves, morte em acidentes aéreos, perda de renda e outros. A linha de negócio habitacional permite a aquisição de imóveis, garantindo a liquidação/amortização do saldo da dívida em caso de morte ou incapacidade permanente.</v>
    <v>BVMF</v>
    <v>46.41</v>
    <v>399</v>
    <v>45884.958333333336</v>
    <v>223</v>
    <v>681550</v>
    <v>BRL</v>
    <v>IRB-Brasil Resseguros S.A.</v>
    <v>IRB-Brasil Resseguros S.A.</v>
    <v>48.18</v>
    <v>47.03</v>
    <v>Av. Republica do Chile, n 330, Torre Leste, e 4 andares, Centro, RIO DE JANEIRO, RIO DE JANEIRO, 20.031-170 BR</v>
    <v>Insurance</v>
    <v>IRBR3</v>
    <v>Ações</v>
    <v>IRB-Brasil Resseguros S.A. (BVMF:IRBR3)</v>
    <v>0.62</v>
    <v>1.3359000000000001E-2</v>
    <v>2457000</v>
  </rv>
  <rv s="2">
    <v>224</v>
  </rv>
  <rv s="0">
    <v>https://www.bing.com/financeapi/forcetrigger?t=apmg1h&amp;q=BVMF%3aEALT4&amp;form=skydnc</v>
    <v>Learn more on Bing</v>
  </rv>
  <rv s="8">
    <v>pt-BR</v>
    <v>apmg1h</v>
    <v>268435456</v>
    <v>1</v>
    <v>Da plataforma Refinitiv</v>
    <v>14</v>
    <v>15</v>
    <v>ELECTRO ACO ALTONA S.A. (BVMF:EALT4)</v>
    <v>12</v>
    <v>16</v>
    <v>Finance</v>
    <v>5</v>
    <v>15.61</v>
    <v>10.98</v>
    <v>BVMF</v>
    <v>22500000</v>
    <v>12.3</v>
    <v>1924</v>
    <v>11.25</v>
    <v>0.57420000000000004</v>
    <v>B3 - Brazil Stock Exchange</v>
    <v>290602500</v>
    <v>A Electro Aço Altona S.A é uma empresa brasileira dedicada essencialmente à fabricação de peças fundidas de aço. A Empresa atua na fabricação de peças fundidas de aço para diversas indústrias, como a automotiva, da construção, mineração, transporte pesado, geração de energia, e do setor petroleiro e metalúrgico. O portfólio de produtos da Empresa é composto por peças fundidas feitas de aço carbono e aço de baixa, média e alta liga, entre outros. A Empresa divide seus negócios em dois setores: Repetitivo e Personalizado. O setor Repetitivo é responsável pela produção em série de itens para montadoras de equipamentos autopropulsores, incluindo clientes que atuam no segmento de máquinas para construção e mineração. O setor Personalizado produz conjuntos e peças personalizadas.</v>
    <v>BVMF</v>
    <v>11.75</v>
    <v>1405</v>
    <v>45884.958333333336</v>
    <v>226</v>
    <v>26200</v>
    <v>BRL</v>
    <v>ELECTRO ACO ALTONA S.A.</v>
    <v>ELECTRO ACO ALTONA S.A.</v>
    <v>11.99</v>
    <v>11.31</v>
    <v>Rua Eng. Paul Werner 925,CONTABILIDADE, itoupava Seca, BLUMENAU, SANTA CATARINA, 89.030-900 BR</v>
    <v>Metals &amp; Mining</v>
    <v>EALT4</v>
    <v>Ações</v>
    <v>ELECTRO ACO ALTONA S.A. (BVMF:EALT4)</v>
    <v>-0.44</v>
    <v>-3.7447000000000001E-2</v>
    <v>54700</v>
  </rv>
  <rv s="2">
    <v>227</v>
  </rv>
  <rv s="0">
    <v>https://www.bing.com/financeapi/forcetrigger?t=apmoww&amp;q=BVMF%3aGRND3&amp;form=skydnc</v>
    <v>Learn more on Bing</v>
  </rv>
  <rv s="8">
    <v>pt-BR</v>
    <v>apmoww</v>
    <v>268435456</v>
    <v>1</v>
    <v>Da plataforma Refinitiv</v>
    <v>14</v>
    <v>15</v>
    <v>Grendene S.A. (BVMF:GRND3)</v>
    <v>12</v>
    <v>16</v>
    <v>Finance</v>
    <v>5</v>
    <v>5.82</v>
    <v>4.55</v>
    <v>BVMF</v>
    <v>902160000</v>
    <v>5.32</v>
    <v>1971</v>
    <v>5.25</v>
    <v>0.89419999999999999</v>
    <v>B3 - Brazil Stock Exchange</v>
    <v>4781448000</v>
    <v>A GRENDENE S.A. é uma empresa no Brasil, que atua principalmente na produção e venda de calçados sintéticos para mercados nacionais e estrangeiros. As atividades da empresa são divididas em dois segmentos de negócios: calçados e móveis. A divisão de calçados desenvolve, fabrica, distribui e vende sapatos para vários usos e para todas as classes sociais, nos segmentos de mercado de massa masculino, feminino e infantil. O seu portfólio de marcas inclui Rider, Ipanema, Zaxi, Grendha, Grendene Kids e Melissa, dentre outros. A divisão de móveis concentra-se na venda, importação e exportação de móveis e suplementos feitos de plástico. A empresa comercializa seus produtos por meio de representantes comerciais, distribuidores e exportação direta. Ela opera diversas fábricas no Brasil. Controla a Grendene Argentina S.A., a MHL Calçados Ltda. e a Grendene USA Inc, dentre outras.</v>
    <v>BVMF</v>
    <v>5.3</v>
    <v>17370</v>
    <v>45884.958333333336</v>
    <v>229</v>
    <v>2861890</v>
    <v>BRL</v>
    <v>Grendene S.A.</v>
    <v>Grendene S.A.</v>
    <v>5.32</v>
    <v>5.3</v>
    <v>Avenida Pimentel Gomes 214, Expectativa, SOBRAL, CEARA, 62.040-125 BR</v>
    <v>Textiles &amp; Apparel</v>
    <v>GRND3</v>
    <v>Ações</v>
    <v>Grendene S.A. (BVMF:GRND3)</v>
    <v>0</v>
    <v>0</v>
    <v>751600</v>
  </rv>
  <rv s="2">
    <v>230</v>
  </rv>
  <rv s="0">
    <v>https://www.bing.com/financeapi/forcetrigger?t=apm3ar&amp;q=BVMF%3aBPAN4&amp;form=skydnc</v>
    <v>Learn more on Bing</v>
  </rv>
  <rv s="8">
    <v>pt-BR</v>
    <v>apm3ar</v>
    <v>268435456</v>
    <v>1</v>
    <v>Da plataforma Refinitiv</v>
    <v>14</v>
    <v>15</v>
    <v>BANCO PAN S.A. (BVMF:BPAN4)</v>
    <v>12</v>
    <v>16</v>
    <v>Finance</v>
    <v>5</v>
    <v>10.55</v>
    <v>6.14</v>
    <v>BVMF</v>
    <v>611509500</v>
    <v>8.3800000000000008</v>
    <v>1966</v>
    <v>8.16</v>
    <v>1.5057</v>
    <v>B3 - Brazil Stock Exchange</v>
    <v>5044953375</v>
    <v>O Banco Pan SA, anteriormente Banco Panamericano SA, é um banco comercial com sede no Brasil. A oferta inclui uma gama de serviços, tais como empréstimos pessoais e de automóveis, crédito imobiliário, cartões de crédito, máquinas de ponto de venda (POS), pré-pagamento, educação financeira e vários tipos de seguros. A Companhia atua através de dois segmentos principais: Finanças do Consumidor e Serviços Bancários. O segmento de Finanças do Consumidor fornece aos clientes, por exemplo, crédito pessoal e financiamento de veículos. O segmento de Serviços Bancários é responsável pela prestação de seguros, contas digitais e cartões de crédito. O Banco possui inúmeras subsidiárias, incluindo a Companhia de Securitizacao Brasileira e a Brazilian Finance &amp; Real Estate S.A.</v>
    <v>BVMF</v>
    <v>8.3699999999999992</v>
    <v>2433</v>
    <v>45884.958333333336</v>
    <v>232</v>
    <v>2384000</v>
    <v>BRL</v>
    <v>BANCO PAN S.A.</v>
    <v>BANCO PAN S.A.</v>
    <v>8.3800000000000008</v>
    <v>8.25</v>
    <v>Avenida Paulista, 1374 16 andar, Bela Vista, SAO PAULO, SAO PAULO, 01.310-100 BR</v>
    <v>Banking Services</v>
    <v>BPAN4</v>
    <v>Ações</v>
    <v>BANCO PAN S.A. (BVMF:BPAN4)</v>
    <v>-0.12</v>
    <v>-1.4336999999999999E-2</v>
    <v>1744000</v>
  </rv>
  <rv s="2">
    <v>233</v>
  </rv>
  <rv s="0">
    <v>https://www.bing.com/financeapi/forcetrigger?t=apnlim&amp;q=BVMF%3aWEGE3&amp;form=skydnc</v>
    <v>Learn more on Bing</v>
  </rv>
  <rv s="8">
    <v>pt-BR</v>
    <v>apnlim</v>
    <v>268435456</v>
    <v>1</v>
    <v>Da plataforma Refinitiv</v>
    <v>14</v>
    <v>15</v>
    <v>WEG S.A. (BVMF:WEGE3)</v>
    <v>12</v>
    <v>16</v>
    <v>Finance</v>
    <v>5</v>
    <v>58.86</v>
    <v>35.72</v>
    <v>BVMF</v>
    <v>4197318000</v>
    <v>36.799999999999997</v>
    <v>1961</v>
    <v>35.72</v>
    <v>0.34489999999999998</v>
    <v>B3 - Brazil Stock Exchange</v>
    <v>150977528460</v>
    <v>A WEG SA é uma holding sediada no Brasil que tem por objetivo principal a fabricação de equipamentos e componentes elétricos. A Companhia atua, juntamente com suas subsidiárias, na fabricação e comercialização de mercadorias, tais como motores elétricos, geradores e transformadores; redutores, redutores de engrenagem, inversores de frequência, motores de partida e dispositivos de manobra; controle e proteção de circuitos elétricos e automação industrial; soluções de tração elétrica (terrestre e marítima); soluções para geração de energia renovável e distribuída, explorando todas as oportunidades em pequenas centrais hidrelétricas e fontes de biomassa térmica, eólica e solar; no-breaks e alternadores para grupos de geradores; subestações elétricas; sistemas de equipamentos elétricos e eletrônicos industriais e tintas e vernizes industriais. Atua no Brasil, Argentina, México, Estados Unidos, Portugal, Áustria, África do Sul, Índia e China. Opera por meio da Bluffton Motor Works LLC.</v>
    <v>BVMF</v>
    <v>36.49</v>
    <v>47529</v>
    <v>45884.958333333336</v>
    <v>235</v>
    <v>8985530</v>
    <v>BRL</v>
    <v>WEG S.A.</v>
    <v>WEG S.A.</v>
    <v>36.799999999999997</v>
    <v>35.97</v>
    <v>Av. Prefeito Waldemar Grubba,3300, Vila Lalau, JARAGUA DO SUL, SANTA CATARINA, 89.256-900 BR</v>
    <v>Machinery, Equipment &amp; Components</v>
    <v>WEGE3</v>
    <v>Ações</v>
    <v>WEG S.A. (BVMF:WEGE3)</v>
    <v>-0.52</v>
    <v>-1.4250000000000001E-2</v>
    <v>7172700</v>
  </rv>
  <rv s="2">
    <v>236</v>
  </rv>
  <rv s="0">
    <v>https://www.bing.com/financeapi/forcetrigger?t=apmgoc&amp;q=BVMF%3aEGIE3&amp;form=skydnc</v>
    <v>Learn more on Bing</v>
  </rv>
  <rv s="8">
    <v>pt-BR</v>
    <v>apmgoc</v>
    <v>268435456</v>
    <v>1</v>
    <v>Da plataforma Refinitiv</v>
    <v>14</v>
    <v>15</v>
    <v>ENGIE BRASIL ENERGIA S.A. (BVMF:EGIE3)</v>
    <v>12</v>
    <v>16</v>
    <v>Finance</v>
    <v>5</v>
    <v>49.19</v>
    <v>33.65</v>
    <v>BVMF</v>
    <v>815927700</v>
    <v>39.72</v>
    <v>1998</v>
    <v>38.96</v>
    <v>0.58050000000000002</v>
    <v>B3 - Brazil Stock Exchange</v>
    <v>32106754995</v>
    <v>A ENGIE Brasil Energia S.A., anteriormente Tractebel Energia S.A., é uma concessionária de serviços públicos independente. A Companhia atua no ramo de geração e comercialização de energia elétrica. A empresa desenvolve e opera usinas de energia. A Companhia instala e opera usinas movidas a fontes convencionais de energia, como hidrelétricas, termelétricas e unidades complementares, pequenas centrais hidrelétricas e eólica, biomassa e fotovoltaica. A capacidade instalada da Companhia, incluindo suas participações em consórcios de geração de energia, é de aproximadamente 7.000 megawatts. O parque gerador em operação da Companhia é composto por 29 usinas, sendo nove hidrelétricas, sete termelétricas (três a carvão, três biomassa e uma a gás natural), três pequenas centrais hidrelétricas (PCH), nove eólicas e uma fotovoltaica Planta de energia solar. A Companhia é controlada pela ENGIE Brasil Participações Ltda.</v>
    <v>BVMF</v>
    <v>39.340000000000003</v>
    <v>1173</v>
    <v>45884.958333333336</v>
    <v>238</v>
    <v>874140</v>
    <v>BRL</v>
    <v>ENGIE BRASIL ENERGIA S.A.</v>
    <v>ENGIE BRASIL ENERGIA S.A.</v>
    <v>39.72</v>
    <v>39.35</v>
    <v>Rua Paschoal Apostolo Pitsica, 5064, Agronomica, FLORIANOPOLIS, SANTA CATARINA, 88.025-255 BR</v>
    <v>Electrical Utilities &amp; IPPs</v>
    <v>EGIE3</v>
    <v>Ações</v>
    <v>ENGIE BRASIL ENERGIA S.A. (BVMF:EGIE3)</v>
    <v>0.01</v>
    <v>2.542E-4</v>
    <v>935800</v>
  </rv>
  <rv s="2">
    <v>239</v>
  </rv>
  <rv s="0">
    <v>https://www.bing.com/financeapi/forcetrigger?t=apmsoc&amp;q=BVMF%3aJBSS3&amp;form=skydnc</v>
    <v>Learn more on Bing</v>
  </rv>
  <rv s="8">
    <v>pt-BR</v>
    <v>apmsoc</v>
    <v>268435456</v>
    <v>1</v>
    <v>Da plataforma Refinitiv</v>
    <v>14</v>
    <v>15</v>
    <v>JBS S.A. (BVMF:JBSS3)</v>
    <v>12</v>
    <v>16</v>
    <v>Finance</v>
    <v>5</v>
    <v>45.18</v>
    <v>23.88</v>
    <v>BVMF</v>
    <v>2218116000</v>
    <v>40.06</v>
    <v>1998</v>
    <v>38.4</v>
    <v>0.49909999999999999</v>
    <v>B3 - Brazil Stock Exchange</v>
    <v>86573080000</v>
    <v>A JBS SA é uma empresa brasileira que atua no setor de processamento de carne. As atividades da Companhia estão divididas em cinco segmentos de negócios: Brasil, Seara, JBS USA Beef, JBS USA Pork e PPC. O segmento Brasil é responsável pelo processamento de bovinos; produção e venda de subprodutos, como couros e couro; e produção de produtos cuja matéria-prima provém dos subprodutos do abate, como biodiesel, colágeno, higiene e limpeza. A divisão Saera concentra-se na produção e exportação de frango e porco. O segmento JBS USA Beef está envolvido na produção e distribuição de carne bovina, cordeiro e alimentos preparados nos Estados Unidos, Canadá e Austrália. A linha de porco JBS USA está envolvida no processamento e distribuição de carne suína. O PPC consiste em operações da Pilgrims Pride Corp, que está envolvida no processamento de frango e carne suína. A empresa opera no Brasil, nos Estados Unidos, no Canadá, na Austrália, no Reino Unido, França, México, Argentina e Paraguai, entre outros.</v>
    <v>BVMF</v>
    <v>38.29</v>
    <v>280000</v>
    <v>45814.958333333336</v>
    <v>241</v>
    <v>23419940</v>
    <v>BRL</v>
    <v>JBS S.A.</v>
    <v>JBS S.A.</v>
    <v>38.4</v>
    <v>39.03</v>
    <v>Av. Marginal Direita do Tiete, 500, Bloco 3 - 3 andar, Vila Jaguara, SAO PAULO, SAO PAULO, 05.118-100 BR</v>
    <v>Food &amp; Tobacco</v>
    <v>JBSS3</v>
    <v>Ações</v>
    <v>JBS S.A. (BVMF:JBSS3)</v>
    <v>0</v>
    <v>0</v>
    <v>94391100</v>
  </rv>
  <rv s="2">
    <v>242</v>
  </rv>
  <rv s="0">
    <v>https://www.bing.com/financeapi/forcetrigger?t=apn4m7&amp;q=BVMF%3aPFRM3&amp;form=skydnc</v>
    <v>Learn more on Bing</v>
  </rv>
  <rv s="8">
    <v>pt-BR</v>
    <v>apn4m7</v>
    <v>268435456</v>
    <v>1</v>
    <v>Da plataforma Refinitiv</v>
    <v>14</v>
    <v>15</v>
    <v>Profarma Distribuidora de Produtos Farmacêuticos S.A. (BVMF:PFRM3)</v>
    <v>12</v>
    <v>16</v>
    <v>Finance</v>
    <v>5</v>
    <v>9.15</v>
    <v>4.96</v>
    <v>BVMF</v>
    <v>123812800</v>
    <v>7.99</v>
    <v>1961</v>
    <v>7.72</v>
    <v>1.2751999999999999</v>
    <v>B3 - Brazil Stock Exchange</v>
    <v>989264272</v>
    <v>A A Profarma Distribuidora de Produtos Farmaceuticos SA é uma empresa sediada no Brasil que tem por objetivo principal o comércio atacadista de medicamentos. As atividades da Empresa estão divididas em dois segmentos: Distribuição Farmacêutica e Varejo. A divisão de Distribuição Farmacêutica é responsável pelo atacado de medicamentos e produtos de higiene pessoal e beleza para o varejo farmacêutico. A divisão Varejo tem como foco a gestão de uma rede de farmácias sob diversas marcas, como Drogasmil e Tamoio. Sua gama de produtos inclui medicamentos de prescrição, genéricos de venda livre (OTC), artigos de higiene pessoal e cosméticos, vacinas, produtos dermatológicos e farmacêuticos hospitalares, entre outros. As subsidiárias da Companhia incluem Farmadacta Informatica Ltda, Promovendas Representações Ltda, Interagile Propaganda e Promocoes Ltda e Locafarma Soluções de Transportes e Logística Ltda, entre outras.</v>
    <v>BVMF</v>
    <v>7.75</v>
    <v>7077</v>
    <v>45884.958333333336</v>
    <v>244</v>
    <v>213970</v>
    <v>BRL</v>
    <v>Profarma Distribuidora de Produtos Farmacêuticos S.A.</v>
    <v>Profarma Distribuidora de Produtos Farmacêuticos S.A.</v>
    <v>7.78</v>
    <v>7.99</v>
    <v>Avenida Ayrton Senna, 2150, Bloco P - 3 andar, Barra da Tijuca, RIO DE JANEIRO, RIO DE JANEIRO, 22.775-900 BR</v>
    <v>Pharmaceuticals</v>
    <v>PFRM3</v>
    <v>Ações</v>
    <v>Profarma Distribuidora de Produtos Farmacêuticos S.A. (BVMF:PFRM3)</v>
    <v>0.24</v>
    <v>3.0967999999999999E-2</v>
    <v>180800</v>
  </rv>
  <rv s="2">
    <v>245</v>
  </rv>
  <rv s="0">
    <v>https://www.bing.com/financeapi/forcetrigger?t=apmik2&amp;q=BVMF%3aEQTL3&amp;form=skydnc</v>
    <v>Learn more on Bing</v>
  </rv>
  <rv s="8">
    <v>pt-BR</v>
    <v>apmik2</v>
    <v>268435456</v>
    <v>1</v>
    <v>Da plataforma Refinitiv</v>
    <v>14</v>
    <v>15</v>
    <v>EQUATORIAL S.A. (BVMF:EQTL3)</v>
    <v>12</v>
    <v>16</v>
    <v>Finance</v>
    <v>5</v>
    <v>37.520000000000003</v>
    <v>25.65</v>
    <v>BVMF</v>
    <v>1254548000</v>
    <v>35.9</v>
    <v>1999</v>
    <v>35.03</v>
    <v>0.89590000000000003</v>
    <v>B3 - Brazil Stock Exchange</v>
    <v>45038273200</v>
    <v>A Equatorial SA, anteriormente equatorial Energia SA, é uma holding sediada no Brasil que atua no setor de energia elétrica por meio de suas subsidiárias. É uma provedora de serviços de geração, comercialização, transmissão e distribuição, bem como serviços de saneamento e telecomunicações. As operações da Equatorial estão divididas em cinco segmentos econômicos: Distribuição, Transmissão (que inclui oito linhas de transmissão), Serviços (referentes às atividades de serviços prestados pela Equatorial Servicos SA e suas subsidiárias), outros, e Geração e Marketing. As principais operações da Companhia são realizadas por meio de subsidiárias localizadas nas regiões Nordeste, Norte, Centro-Oeste, Sudeste e Sul do Brasil.</v>
    <v>BVMF</v>
    <v>35.5</v>
    <v>1178</v>
    <v>45884.958333333336</v>
    <v>247</v>
    <v>7586360</v>
    <v>BRL</v>
    <v>EQUATORIAL S.A.</v>
    <v>EQUATORIAL S.A.</v>
    <v>35.479999999999997</v>
    <v>35.9</v>
    <v>Alameda A, Quadra SQS, n 100, Loteamento Quitandinha Anexo A, sala 31, Altos do Calhau, SAO LUIS, MARANHAO, 65.070-900 BR</v>
    <v>Electrical Utilities &amp; IPPs</v>
    <v>EQTL3</v>
    <v>Ações</v>
    <v>EQUATORIAL S.A. (BVMF:EQTL3)</v>
    <v>0.4</v>
    <v>1.1268E-2</v>
    <v>5579200</v>
  </rv>
  <rv s="2">
    <v>248</v>
  </rv>
  <rv s="0">
    <v>https://www.bing.com/financeapi/forcetrigger?t=bqyxtc&amp;q=BVMF%3aNEOE3&amp;form=skydnc</v>
    <v>Learn more on Bing</v>
  </rv>
  <rv s="8">
    <v>pt-BR</v>
    <v>bqyxtc</v>
    <v>268435456</v>
    <v>1</v>
    <v>Da plataforma Refinitiv</v>
    <v>14</v>
    <v>15</v>
    <v>NEOENERGIA S.A. (BVMF:NEOE3)</v>
    <v>12</v>
    <v>16</v>
    <v>Finance</v>
    <v>5</v>
    <v>27.36</v>
    <v>17.45</v>
    <v>BVMF</v>
    <v>1213797000</v>
    <v>27.15</v>
    <v>1996</v>
    <v>26.7</v>
    <v>0.74209999999999998</v>
    <v>B3 - Brazil Stock Exchange</v>
    <v>32408379900</v>
    <v>A Neoenergia SA é uma holding sediada no Brasil que atua principalmente no setor de energia elétrica. A Companhia atua na distribuição, transmissão, geração e comercialização de energia elétrica. As subsidiárias da Companhia incluem a Companhia de Eletricidade do Estado da Bahia Coelba (COELBA), que atua na distribuição de energia elétrica no Estado da Bahia; Companhia Energética de Pernambuco CELPE, que tem por objeto a distribuição de energia elétrica no Estado de Pernambuco; Companhia Energética do Rio Grande do Norte COSERN, distribuidora de energia elétrica no Estado do Rio Grande do Norte; Afluente Geração de Energia Elétrica SA, ativa na geração de energia por meio de hidrelétricas, a Termopernambuco SA, que atua na geração de energia por meio de uma termelétrica, e a Elektro Holding SA, que tem como foco a distribuição de energia elétrica nos Estados de São Paulo e Mato Grosso do Sul, entre outros.</v>
    <v>BVMF</v>
    <v>26.85</v>
    <v>11746</v>
    <v>45884.958391203705</v>
    <v>250</v>
    <v>1546450</v>
    <v>BRL</v>
    <v>NEOENERGIA S.A.</v>
    <v>NEOENERGIA S.A.</v>
    <v>26.97</v>
    <v>26.7</v>
    <v>Praia do Flamengo, 78, 3 andar, Flamengo, RIO DE JANEIRO, RIO DE JANEIRO, 22.210-030 BR</v>
    <v>Electrical Utilities &amp; IPPs</v>
    <v>NEOE3</v>
    <v>Ações</v>
    <v>NEOENERGIA S.A. (BVMF:NEOE3)</v>
    <v>-0.15</v>
    <v>-5.587E-3</v>
    <v>676100</v>
  </rv>
  <rv s="2">
    <v>251</v>
  </rv>
  <rv s="0">
    <v>https://www.bing.com/financeapi/forcetrigger?t=apn5im&amp;q=BVMF%3aPOSI3&amp;form=skydnc</v>
    <v>Learn more on Bing</v>
  </rv>
  <rv s="8">
    <v>pt-BR</v>
    <v>apn5im</v>
    <v>268435456</v>
    <v>1</v>
    <v>Da plataforma Refinitiv</v>
    <v>14</v>
    <v>15</v>
    <v>POSITIVO TECNOLOGIA S.A. (BVMF:POSI3)</v>
    <v>12</v>
    <v>16</v>
    <v>Finance</v>
    <v>5</v>
    <v>7.07</v>
    <v>3.9</v>
    <v>BVMF</v>
    <v>141800000</v>
    <v>4.2</v>
    <v>1989</v>
    <v>4.01</v>
    <v>1.8900999999999999</v>
    <v>B3 - Brazil Stock Exchange</v>
    <v>577126000</v>
    <v>A Positivo Tecnologia SA, anteriormente Positivo Informatica SA é uma empresa de tecnologia sediada no Brasil, especializada no desenvolvimento e fabricação de tecnologia baseada em hardware. A empresa está envolvida principalmente na industrialização, comercialização e desenvolvimento de projetos na área de Tecnologia da Informação (TI); industrialização, venda e locação de software e hardware; bem como na venda de EQUIPAMENTOS DE TI, como computadores tudo-em-um, notebooks, netbooks e tablets, sistemas de software educacional e uma variedade de produtos de Internet Things (IoT). A Positivo Tecnologia também está ativa no mercado de telefonia móvel, oferecendo smartphones e telefones de feature. A Companhia atua através de três segmentos principais: Varejo, Governo e Corporativo. A Positivo Tecnologia SA possui diversas subsidiárias, incluindo a Positivo Argentina SRL, a Crienal SA e a Positivo Distribuicao e Comercio Ltda.</v>
    <v>BVMF</v>
    <v>4.1399999999999997</v>
    <v>7000</v>
    <v>45884.958391203705</v>
    <v>253</v>
    <v>912700</v>
    <v>BRL</v>
    <v>POSITIVO TECNOLOGIA S.A.</v>
    <v>POSITIVO TECNOLOGIA S.A.</v>
    <v>4.0999999999999996</v>
    <v>4.07</v>
    <v>Rua Joao Bettega, 5200, Nao aplicavel, Cidade Industrial, CURITIBA, PARANA, 81.350-000 BR</v>
    <v>Computers, Phones &amp; Household Electronics</v>
    <v>POSI3</v>
    <v>Ações</v>
    <v>POSITIVO TECNOLOGIA S.A. (BVMF:POSI3)</v>
    <v>-7.0000000000000007E-2</v>
    <v>-1.6907999999999999E-2</v>
    <v>666900</v>
  </rv>
  <rv s="2">
    <v>254</v>
  </rv>
  <rv s="0">
    <v>https://www.bing.com/financeapi/forcetrigger?t=bxk8w7&amp;q=BVMF%3aWEST3&amp;form=skydnc</v>
    <v>Learn more on Bing</v>
  </rv>
  <rv s="9">
    <v>pt-BR</v>
    <v>bxk8w7</v>
    <v>268435456</v>
    <v>1</v>
    <v>Da plataforma Refinitiv</v>
    <v>17</v>
    <v>18</v>
    <v>WESTWING COMÉRCIO VAREJISTA S.A. (BVMF:WEST3)</v>
    <v>12</v>
    <v>19</v>
    <v>Finance</v>
    <v>5</v>
    <v>9.5</v>
    <v>3.55</v>
    <v>BVMF</v>
    <v>11109350</v>
    <v>4.43</v>
    <v>2012</v>
    <v>4.43</v>
    <v>1.1282000000000001</v>
    <v>B3 - Brazil Stock Exchange</v>
    <v>49214420</v>
    <v>A Westwing Comercio Varejista SA (Westwing) é uma varejista de artigos de decoração com sede no Brasil. A empresa comercializa principalmente móveis, artigos de decoração e acessórios. O portfólio de produtos inclui sofás, camas, cadeiras, mesas, estantes, travesseiros, tapetes, papéis de parede, utensílios de cozinha, além de roupas, cosméticos e produtos infantis, entre outros. O sortimento consiste em produtos de terceiros e de marca própria. A Firma opera por meio de uma plataforma de e-commerce, composta por aplicativos móveis e um website. A plataforma permite que o Westwing atinja clientes em todas as regiões do Brasil, com centro de distribuição na cidade de Jundiaí. Além disso, a Companhia possui lojas físicas localizadas na cidade de São Paulo.</v>
    <v>BVMF</v>
    <v>4.51</v>
    <v>45884.958391203705</v>
    <v>256</v>
    <v>12040</v>
    <v>BRL</v>
    <v>WESTWING COMÉRCIO VAREJISTA S.A.</v>
    <v>WESTWING COMÉRCIO VAREJISTA S.A.</v>
    <v>4.43</v>
    <v>4.43</v>
    <v>Av. Queiroz Filho, 1700 Torre A e B (partes), Vila Hamburguesa, Sao Paulo, SAO PAULO, 05.319-000 BR</v>
    <v>Specialty Retailers</v>
    <v>WEST3</v>
    <v>Ações</v>
    <v>WESTWING COMÉRCIO VAREJISTA S.A. (BVMF:WEST3)</v>
    <v>-0.08</v>
    <v>-1.7738E-2</v>
    <v>200</v>
  </rv>
  <rv s="2">
    <v>257</v>
  </rv>
  <rv s="0">
    <v>https://www.bing.com/financeapi/forcetrigger?t=apmwu2&amp;q=BVMF%3aMDIA3&amp;form=skydnc</v>
    <v>Learn more on Bing</v>
  </rv>
  <rv s="8">
    <v>pt-BR</v>
    <v>apmwu2</v>
    <v>268435456</v>
    <v>1</v>
    <v>Da plataforma Refinitiv</v>
    <v>14</v>
    <v>15</v>
    <v>M. Dias Branco S.A. Indústria e Comércio de Alimentos (BVMF:MDIA3)</v>
    <v>12</v>
    <v>16</v>
    <v>Finance</v>
    <v>5</v>
    <v>30.29</v>
    <v>18.579999999999998</v>
    <v>BVMF</v>
    <v>339000000</v>
    <v>29.54</v>
    <v>1951</v>
    <v>28.72</v>
    <v>0.9123</v>
    <v>B3 - Brazil Stock Exchange</v>
    <v>9824220000</v>
    <v>A M Dias Branco SA Industria e Comercio de Alimentos é uma empresa brasileira que atua principalmente na indústria de processamento de alimentos. A empresa tem como foco a industrialização, venda e distribuição de produtos alimentícios derivados do trigo, principalmente biscoitos, massas e farinha de trigo. Suas atividades incluem ainda a fabricação, venda e distribuição de gorduras vegetais e margarinas, bolos, misturas de bolos, torradas embaladas e lanches. A empresa atua através de um processo de produção integrado e vertical, produzindo farinha e gorduras vegetais utilizadas para a fabricação de biscoitos e massas. O portfólio de marcas da Companhia inclui Adria, basilar, Bonsabor, Fortaleza, Isabela, pilar, Predilleto, Richester, Salsito, Treloso, Vitarella e Zabet, entre outros. Possui uma série de unidades de produção e centros de distribuição no Brasil. A Companhia é uma subsidiária da Dibra Fundo de Investimento em Participações.</v>
    <v>BVMF</v>
    <v>28.82</v>
    <v>16277</v>
    <v>45884.958333333336</v>
    <v>259</v>
    <v>825130</v>
    <v>BRL</v>
    <v>M. Dias Branco S.A. Indústria e Comércio de Alimentos</v>
    <v>M. Dias Branco S.A. Indústria e Comércio de Alimentos</v>
    <v>28.9</v>
    <v>28.98</v>
    <v>Rod Br 116 KM 18 S/N, Jabuti, EUSEBIO, CEARA, 61.760-000 BR</v>
    <v>Food &amp; Tobacco</v>
    <v>MDIA3</v>
    <v>Ações</v>
    <v>M. Dias Branco S.A. Indústria e Comércio de Alimentos (BVMF:MDIA3)</v>
    <v>0.16</v>
    <v>5.5520000000000005E-3</v>
    <v>545500</v>
  </rv>
  <rv s="2">
    <v>260</v>
  </rv>
  <rv s="0">
    <v>https://www.bing.com/financeapi/forcetrigger?t=aplym7&amp;q=BVMF%3aBBDC4&amp;form=skydnc</v>
    <v>Learn more on Bing</v>
  </rv>
  <rv s="8">
    <v>pt-BR</v>
    <v>aplym7</v>
    <v>268435456</v>
    <v>1</v>
    <v>Da plataforma Refinitiv</v>
    <v>14</v>
    <v>15</v>
    <v>Banco Bradesco S.A. (BVMF:BBDC4)</v>
    <v>12</v>
    <v>16</v>
    <v>Finance</v>
    <v>5</v>
    <v>16.86</v>
    <v>10.56</v>
    <v>BVMF</v>
    <v>10592010000</v>
    <v>16.09</v>
    <v>1943</v>
    <v>15.88</v>
    <v>1.4984</v>
    <v>B3 - Brazil Stock Exchange</v>
    <v>157856600000</v>
    <v>O Banco Bradesco SA, anteriormente Banco Brasileiro de Descontos SA, é uma empresa pública brasileira que atua no Grupo Setor de Serviços Bancários. A Companhia atua como um amplo banco comercial em termos de ativos totais, operações de crédito e volume de depósitos e financiamentos. A Companhia oferece uma gama de produtos e serviços bancários e financeiros, no Brasil e no exterior, para indivíduos e principais empresas e instituições nacionais e internacionais. Os produtos e serviços da Companhia abrangem operações bancárias e não bancárias, tais como: Empréstimos e adiantamentos, depósitos, emissão de cartões de crédito, consórcio, seguros, etc. capitalização, leasing, cobrança e processamento de pagamentos, planos de pensões complementares, gestão de ativos e serviços de intermediação e corretagem de valores mobiliários.</v>
    <v>BVMF</v>
    <v>16.010000000000002</v>
    <v>83365</v>
    <v>45884.958333333336</v>
    <v>262</v>
    <v>26874860</v>
    <v>BRL</v>
    <v>Banco Bradesco S.A.</v>
    <v>Banco Bradesco S.A.</v>
    <v>15.93</v>
    <v>16.03</v>
    <v>Nucleo Cidade de Deus s/n, Vila Yara, OSASCO, SAO PAULO, 06.029-900 BR</v>
    <v>Banking Services</v>
    <v>BBDC4</v>
    <v>Ações</v>
    <v>Banco Bradesco S.A. (BVMF:BBDC4)</v>
    <v>0.02</v>
    <v>1.2489999999999999E-3</v>
    <v>20239500</v>
  </rv>
  <rv s="2">
    <v>263</v>
  </rv>
  <rv s="0">
    <v>https://www.bing.com/financeapi/forcetrigger?t=apn75r&amp;q=BVMF%3aPSSA3&amp;form=skydnc</v>
    <v>Learn more on Bing</v>
  </rv>
  <rv s="8">
    <v>pt-BR</v>
    <v>apn75r</v>
    <v>268435456</v>
    <v>1</v>
    <v>Da plataforma Refinitiv</v>
    <v>14</v>
    <v>15</v>
    <v>Porto Seguro S.A. (BVMF:PSSA3)</v>
    <v>12</v>
    <v>16</v>
    <v>Finance</v>
    <v>5</v>
    <v>57.21</v>
    <v>30.63</v>
    <v>BVMF</v>
    <v>646586100</v>
    <v>53.3</v>
    <v>1997</v>
    <v>52.16</v>
    <v>0.84140000000000004</v>
    <v>B3 - Brazil Stock Exchange</v>
    <v>33855248196</v>
    <v>A PORTO SEGURO S.A. é uma empresa estabelecida no Brasil, que atua principalmente no setor de seguros de automóveis. As atividades da empresa estão divididas em seis segmentos de negócios: seguro automóvel, que oferece produtos de seguro de automóveis; seguro e planos de saúde, que fornece apólices de seguro dentário e de saúde e planos de assistência médica; seguros de vida e planos de aposentadoria; outros seguros, que fornecem outras apólices de seguro do ramo "não vida"; financiamento, relacionado a transações de crédito e outros, que abrangem principalmente serviços de seguros fornecidos no Uruguai. Além disso, a empresa oferece uma gama de serviços não relacionados à atividade de seguro, como proteção e vigilância eletrônicas e distribuição de peças automotivas. A empresa é controlada pela Porto Seguro Itaú-Unibanco Participações S.A.</v>
    <v>BVMF</v>
    <v>53.33</v>
    <v>13800</v>
    <v>45884.958356481482</v>
    <v>265</v>
    <v>2824500</v>
    <v>BRL</v>
    <v>Porto Seguro S.A.</v>
    <v>Porto Seguro S.A.</v>
    <v>53.3</v>
    <v>52.36</v>
    <v>Alameda Barao de Piracicaba, 618/634 - Torre B, 11 andar, Campos Eliseos, SAO PAULO, SAO PAULO, 01.216-012 BR</v>
    <v>Insurance</v>
    <v>PSSA3</v>
    <v>Ações</v>
    <v>Porto Seguro S.A. (BVMF:PSSA3)</v>
    <v>-0.97</v>
    <v>-1.8189E-2</v>
    <v>1690100</v>
  </rv>
  <rv s="2">
    <v>266</v>
  </rv>
  <rv s="0">
    <v>https://www.bing.com/financeapi/forcetrigger?t=apn9ww&amp;q=BVMF%3aRNEW4&amp;form=skydnc</v>
    <v>Learn more on Bing</v>
  </rv>
  <rv s="8">
    <v>pt-BR</v>
    <v>apn9ww</v>
    <v>268435456</v>
    <v>1</v>
    <v>Da plataforma Refinitiv</v>
    <v>14</v>
    <v>15</v>
    <v>RENOVA ENERGIA S.A. - EM RECUPERAÇÃO JUDICIAL (BVMF:RNEW4)</v>
    <v>12</v>
    <v>16</v>
    <v>Finance</v>
    <v>5</v>
    <v>2.58</v>
    <v>0.85</v>
    <v>BVMF</v>
    <v>124398500</v>
    <v>1.03</v>
    <v>2006</v>
    <v>1</v>
    <v>1.2154</v>
    <v>B3 - Brazil Stock Exchange</v>
    <v>386252200</v>
    <v>A Renova Energia SA em Recuperacao Judicial é uma empresa brasileira que atua no desenvolvimento, implementação e operação de projetos de geração de energia a partir de fontes renováveis, incluindo eólica, pequenas Usinas hidrelétricas (PCHs) e solar, bem como no comércio de energia e atividades afins. A Empresa está envolvida na geração e comercialização de energia elétrica em todas as suas formas; produção de energia elétrica a partir de fontes naturais e renováveis; prestação de serviços logísticos a empresas de consultoria ambiental; prestação de serviços de consultoria para soluções energéticas relacionadas com a geração, comercialização, transmissão e outros negócios envolvendo energias alternativas; fornecimento de engenharia, construção, logística, desenvolvimento de estudos, desenvolvimento de energia elétrica e desenvolvimento de energia elétrica. e serviços de projeto relacionados a usinas de geração de energia, bem como sua implementação, operação, manutenção e exploração.</v>
    <v>BVMF</v>
    <v>1.01</v>
    <v>141</v>
    <v>45884.958333333336</v>
    <v>268</v>
    <v>36900</v>
    <v>BRL</v>
    <v>RENOVA ENERGIA S.A. - EM RECUPERAÇÃO JUDICIAL</v>
    <v>RENOVA ENERGIA S.A. - EM RECUPERAÇÃO JUDICIAL</v>
    <v>1.01</v>
    <v>1.01</v>
    <v>Avenida das Nacoes Unidas, n 10.989, conjunto 82, Vila Olimpia, SAO PAULO, SAO PAULO, 04.578-000 BR</v>
    <v>Electrical Utilities &amp; IPPs</v>
    <v>RNEW4</v>
    <v>Ações</v>
    <v>RENOVA ENERGIA S.A. - EM RECUPERAÇÃO JUDICIAL (BVMF:RNEW4)</v>
    <v>0</v>
    <v>0</v>
    <v>13600</v>
  </rv>
  <rv s="2">
    <v>269</v>
  </rv>
  <rv s="0">
    <v>https://www.bing.com/financeapi/forcetrigger?t=apniz2&amp;q=BVMF%3aUNIP6&amp;form=skydnc</v>
    <v>Learn more on Bing</v>
  </rv>
  <rv s="8">
    <v>pt-BR</v>
    <v>apniz2</v>
    <v>268435456</v>
    <v>1</v>
    <v>Da plataforma Refinitiv</v>
    <v>14</v>
    <v>15</v>
    <v>UNIPAR CARBOCLORO S.A. (BVMF:UNIP6)</v>
    <v>12</v>
    <v>16</v>
    <v>Finance</v>
    <v>5</v>
    <v>60.99</v>
    <v>37.380000000000003</v>
    <v>BVMF</v>
    <v>113173300</v>
    <v>57.96</v>
    <v>1969</v>
    <v>56.67</v>
    <v>1.2870999999999999</v>
    <v>B3 - Brazil Stock Exchange</v>
    <v>6338624000</v>
    <v>A Unipar Carbocloro S.A. é uma empresa holding com sede no Brasil, que se dedica principalmente à indústria química. Por meio de seu investimento na entidade Carbocloro SA Indústrias Químicas, a Empresa está envolvida na produção de cloro líquido, ácido clorídrico, dicloreto de etileno, hipoclorito de sódio, soda cáustica líquida e em flocos. Adicionalmente, a Empresa está envolvida na fabricação de pás de turbinas eólicas e sistemas de ventilação turnkey, por meio de sua empresa afiliada Tecsis Tecnologia e Sistemas Avançados SA. Ela opera por meio da Solvay Indupa.</v>
    <v>BVMF</v>
    <v>57.84</v>
    <v>1400</v>
    <v>45884.958333333336</v>
    <v>271</v>
    <v>214070</v>
    <v>BRL</v>
    <v>UNIPAR CARBOCLORO S.A.</v>
    <v>UNIPAR CARBOCLORO S.A.</v>
    <v>57.83</v>
    <v>57.47</v>
    <v>Avenida Presidente Juscelino Kubitschek, n 1327, 22 andar, Itaim Bibi, SAO PAULO, SAO PAULO, 04.543-011 BR</v>
    <v>Chemicals</v>
    <v>UNIP6</v>
    <v>Ações</v>
    <v>UNIPAR CARBOCLORO S.A. (BVMF:UNIP6)</v>
    <v>-0.37</v>
    <v>-6.3970000000000008E-3</v>
    <v>107400</v>
  </rv>
  <rv s="2">
    <v>272</v>
  </rv>
  <rv s="0">
    <v>https://www.bing.com/financeapi/forcetrigger?t=apmjgh&amp;q=BVMF%3aEZTC3&amp;form=skydnc</v>
    <v>Learn more on Bing</v>
  </rv>
  <rv s="8">
    <v>pt-BR</v>
    <v>apmjgh</v>
    <v>268435456</v>
    <v>1</v>
    <v>Da plataforma Refinitiv</v>
    <v>14</v>
    <v>15</v>
    <v>EZ TEC Empreendimentos e Participações S.A. (BVMF:EZTC3)</v>
    <v>12</v>
    <v>16</v>
    <v>Finance</v>
    <v>5</v>
    <v>15.68</v>
    <v>10.210000000000001</v>
    <v>BVMF</v>
    <v>220989100</v>
    <v>14.63</v>
    <v>2006</v>
    <v>14.2</v>
    <v>1.6409</v>
    <v>B3 - Brazil Stock Exchange</v>
    <v>3257379000</v>
    <v>A EZ TEC Empreendimentos e Participações SA é uma empresa brasileira que atua na venda de imóveis na Grande São Paulo e na Região Metropolitana de São Paulo. A Companhia atua através de dois segmentos operacionais: Comercial e residencial. O segmento comercial inclui tanto projetos de escritórios comerciais, comercializados em formato semelhante aos residenciais, como lajes corporativas como EZ Towers e Esther Towers. O segmento residencial inclui projetos imobiliários residenciais. A EZ TEC Empreendimentos e Participações SA também é responsável pelos serviços de locação imobiliária, bem como outros serviços relacionados à construção, supervisão, estudos e projetos e a execução de qualquer obra de engenharia civil.</v>
    <v>BVMF</v>
    <v>14.44</v>
    <v>338</v>
    <v>45884.958333333336</v>
    <v>274</v>
    <v>1570200</v>
    <v>BRL</v>
    <v>EZ TEC Empreendimentos e Participações S.A.</v>
    <v>EZ TEC Empreendimentos e Participações S.A.</v>
    <v>14.45</v>
    <v>14.34</v>
    <v>Av. Republica do Libano,1.921, Ibirapuera, SAO PAULO, SAO PAULO, 04.501-002 BR</v>
    <v>Real Estate Operations</v>
    <v>EZTC3</v>
    <v>Ações</v>
    <v>EZ TEC Empreendimentos e Participações S.A. (BVMF:EZTC3)</v>
    <v>-0.1</v>
    <v>-6.9249999999999997E-3</v>
    <v>2493400</v>
  </rv>
  <rv s="2">
    <v>275</v>
  </rv>
  <rv s="0">
    <v>https://www.bing.com/financeapi/forcetrigger?t=awjq77&amp;q=BVMF%3aSUZB3&amp;form=skydnc</v>
    <v>Learn more on Bing</v>
  </rv>
  <rv s="8">
    <v>pt-BR</v>
    <v>awjq77</v>
    <v>268435456</v>
    <v>1</v>
    <v>Da plataforma Refinitiv</v>
    <v>14</v>
    <v>15</v>
    <v>SUZANO S.A. (BVMF:SUZB3)</v>
    <v>12</v>
    <v>16</v>
    <v>Finance</v>
    <v>5</v>
    <v>64.709999999999994</v>
    <v>49.15</v>
    <v>BVMF</v>
    <v>1264118000</v>
    <v>54.67</v>
    <v>1987</v>
    <v>53.23</v>
    <v>0.39190000000000003</v>
    <v>B3 - Brazil Stock Exchange</v>
    <v>67415412940</v>
    <v>A Suzano SA, antiga Suzano Papel e Celulose SA, é uma empresa florestal sediada no Brasil. É um desenvolvedor de produtos feitos de florestas de eucalipto e um produtor verticalmente integrado de celulose e papel de eucalipto na América Latina. Seu objetivo é fabricar, comercializar, importar e exportar celulose, papel e outros produtos. O portfólio de produtos da empresa inclui papel de impressão e escrita revestidos e não revestidos, cartão, papel tissue, celulose de mercado e celulose fluff. As operações da Suzano são divididas em dois segmentos: Celulose e Papel. O segmento de Celulose inclui a produção e comercialização de celulose de eucalipto para o mercado externo, com o excedente destinado ao mercado interno, enquanto o segmento Papel abrange as atividades de produção e venda de papelão e tecidos não revestidos e revestidos. A Companhia possui inúmeras subsidiárias, incluindo o Terminal de Celulose de Santos Spe SA, FuturaGene Biotechnology Shanghai Co Ltd e a Suzano Pulp and Paper Europe SA.</v>
    <v>BVMF</v>
    <v>53.91</v>
    <v>56000</v>
    <v>45884.958333333336</v>
    <v>277</v>
    <v>4663700</v>
    <v>BRL</v>
    <v>SUZANO S.A.</v>
    <v>SUZANO S.A.</v>
    <v>53.82</v>
    <v>53.33</v>
    <v>Av. Professor Magalhaes Neto,1752 - 10 andar, Salas 1009/1010/1011, Pituba, SALVADOR, BAHIA, 41.810-012 BR</v>
    <v>Paper &amp; Forest Products</v>
    <v>SUZB3</v>
    <v>Ações</v>
    <v>SUZANO S.A. (BVMF:SUZB3)</v>
    <v>-0.57999999999999996</v>
    <v>-1.0759000000000001E-2</v>
    <v>5945100</v>
  </rv>
  <rv s="2">
    <v>278</v>
  </rv>
  <rv s="0">
    <v>https://www.bing.com/financeapi/forcetrigger?t=apm1nm&amp;q=BVMF%3aBMEB4&amp;form=skydnc</v>
    <v>Learn more on Bing</v>
  </rv>
  <rv s="8">
    <v>pt-BR</v>
    <v>apm1nm</v>
    <v>268435456</v>
    <v>1</v>
    <v>Da plataforma Refinitiv</v>
    <v>14</v>
    <v>15</v>
    <v>Banco Mercantil do Brasil S.A. (BVMF:BMEB4)</v>
    <v>12</v>
    <v>16</v>
    <v>Finance</v>
    <v>5</v>
    <v>43.48</v>
    <v>31.3</v>
    <v>BVMF</v>
    <v>104831600</v>
    <v>43.48</v>
    <v>1940</v>
    <v>41.43</v>
    <v>0.15290000000000001</v>
    <v>B3 - Brazil Stock Exchange</v>
    <v>3928418000</v>
    <v>O Banco Mercantil do Brasil S.A. é um banco de varejo brasileiro. Possui clientes individuais e corporativos. O Banco oferece gestão de ativos, investimentos em títulos, seguros, cartões de crédito e empréstimos, entre outros. Em 31 de dezembro de 2011, o Banco operava uma rede de 165 filiais e uma agência estrangeira nas Ilhas Cayman. Em 31 de dezembro de 2011, o Banco possuía oito subsidiárias: Banco Mercantil de Investimentos S.A.; Mercantil do Brasil Administradora e Corretora de Seguros e Previdência Privada S.A.; Mercantil do Brasil Corretora S.A. - Câmbio, Títulos e Valores Mobiliários; Mercantil do Brasil Distribuidora S.A. - Títulos e Valores Mobiliários; Mercantil do Brasil Financeira S.A. - Crédito, Financiamento e Investimentos; Mercantil do Brasil Imobiliária S.A.; Mercantil do Brasil Empreendimentos Imobiliários S.A.; e Mercantil do Brasil Leasing S.A. - Arrendamento Mercantil.</v>
    <v>BVMF</v>
    <v>41.7</v>
    <v>2958</v>
    <v>45884.958333333336</v>
    <v>280</v>
    <v>15690</v>
    <v>BRL</v>
    <v>Banco Mercantil do Brasil S.A.</v>
    <v>Banco Mercantil do Brasil S.A.</v>
    <v>41.44</v>
    <v>42.95</v>
    <v>Rua Rio De Janeiro, 680, Centro, BELO HORIZONTE, MINAS GERAIS, 30.160-912 BR</v>
    <v>Banking Services</v>
    <v>BMEB4</v>
    <v>Ações</v>
    <v>Banco Mercantil do Brasil S.A. (BVMF:BMEB4)</v>
    <v>1.25</v>
    <v>2.9975999999999999E-2</v>
    <v>17900</v>
  </rv>
  <rv s="2">
    <v>281</v>
  </rv>
  <rv s="0">
    <v>https://www.bing.com/financeapi/forcetrigger?t=apmb52&amp;q=BVMF%3aCPLE3&amp;form=skydnc</v>
    <v>Learn more on Bing</v>
  </rv>
  <rv s="8">
    <v>pt-BR</v>
    <v>apmb52</v>
    <v>268435456</v>
    <v>1</v>
    <v>Da plataforma Refinitiv</v>
    <v>14</v>
    <v>15</v>
    <v>Companhia Paranaense de Energia - Copel (BVMF:CPLE3)</v>
    <v>12</v>
    <v>16</v>
    <v>Finance</v>
    <v>5</v>
    <v>11.95</v>
    <v>7.57</v>
    <v>BVMF</v>
    <v>2982811000</v>
    <v>11.38</v>
    <v>1954</v>
    <v>11.19</v>
    <v>0.84309999999999996</v>
    <v>B3 - Brazil Stock Exchange</v>
    <v>35137020000</v>
    <v>A Companhia Paranaense de Energia, também conhecida como Copel, é uma empresa brasileira de energia elétrica. As atividades do escritório estão divididas em cinco segmentos: Geração e Transmissão de Energia (GET); Distribuição e Vendas de Energia (DIS); Telecomunicações (TEL); Gás; e Holding (HOL). O segmento GET inclui a geração de energia elétrica a partir de projetos hidráulicos, eólicos e térmicos; o transporte e transformação da energia gerada pela Companhia; e a construção, operação e manutenção de todas as subestações e linhas de transmissão de energia. O segmento DISs está focado na distribuição e venda de energia elétrica, e na operação e manutenção da infraestrutura de distribuição. O segmento TEL presta serviços de telecomunicações. O segmento de Gás está envolvido no serviço público de distribuição de gás natural canalizado. O SEGMENTO HOL consiste na participação em outras empresas. A Companhia atua no estado do Paraná.</v>
    <v>BVMF</v>
    <v>11.34</v>
    <v>4396</v>
    <v>45884.958333333336</v>
    <v>283</v>
    <v>15887970</v>
    <v>BRL</v>
    <v>Companhia Paranaense de Energia - Copel</v>
    <v>Companhia Paranaense de Energia - Copel</v>
    <v>11.34</v>
    <v>11.29</v>
    <v>Rua Jose Izidoro Biazetto, 158, Orleans, CURITIBA, PARANA, 81.200-240 BR</v>
    <v>Electrical Utilities &amp; IPPs</v>
    <v>CPLE3</v>
    <v>Ações</v>
    <v>Companhia Paranaense de Energia - Copel (BVMF:CPLE3)</v>
    <v>-0.05</v>
    <v>-4.4089999999999997E-3</v>
    <v>3703800</v>
  </rv>
  <rv s="2">
    <v>284</v>
  </rv>
  <rv s="0">
    <v>https://www.bing.com/financeapi/forcetrigger?t=apn4dm&amp;q=BVMF%3aPETR3&amp;form=skydnc</v>
    <v>Learn more on Bing</v>
  </rv>
  <rv s="8">
    <v>pt-BR</v>
    <v>apn4dm</v>
    <v>268435456</v>
    <v>1</v>
    <v>Da plataforma Refinitiv</v>
    <v>14</v>
    <v>15</v>
    <v>Petróleo Brasileiro S.A. (Petrobras) (BVMF:PETR3)</v>
    <v>12</v>
    <v>16</v>
    <v>Finance</v>
    <v>5</v>
    <v>40.590000000000003</v>
    <v>30.84</v>
    <v>BVMF</v>
    <v>12888730000</v>
    <v>32.619999999999997</v>
    <v>1953</v>
    <v>32.200000000000003</v>
    <v>1.004</v>
    <v>B3 - Brazil Stock Exchange</v>
    <v>407215400000</v>
    <v>A Petroleo Brasileiro SA Petrobras é uma empresa sediada no Brasil. A empresa é especializada na indústria de petróleo, gás natural e energia. A Empresa está envolvida na prospeção, perfuração, refino, processamento, comercialização e transporte de petróleo bruto da produção de campos petrolíferos onshore e offshore e de xisto ou outras rochas. Seus segmentos incluem Exploração e Produção (exploração, desenvolvimento e produção de petróleo bruto, líquidos de gás natural e gás natural); Refinação, Transporte, e Marketing (Refinação, logística, transporte, comercialização de produtos petrolíferos, exportação de etanol, processamento de xisto); Gás e Energia (transporte e comercialização de gás natural e importado); Biocombustíveis (produção de biodiesel e etanol); Distribuição (distribuição de combustível); e Corporate (funções administrativas e de apoio).</v>
    <v>BVMF</v>
    <v>32.630000000000003</v>
    <v>49185</v>
    <v>45884.958333333336</v>
    <v>286</v>
    <v>36759460</v>
    <v>BRL</v>
    <v>Petróleo Brasileiro S.A. (Petrobras)</v>
    <v>Petróleo Brasileiro S.A. (Petrobras)</v>
    <v>32.53</v>
    <v>32.6</v>
    <v>Av. Republica do Chile, n 65, 24 andar, Centro, Rio de Janeiro, RIO DE JANEIRO, 20.031-912 BR</v>
    <v>Oil &amp; Gas</v>
    <v>PETR3</v>
    <v>Ações</v>
    <v>Petróleo Brasileiro S.A. (Petrobras) (BVMF:PETR3)</v>
    <v>-0.03</v>
    <v>-9.193999999999999E-4</v>
    <v>8741300</v>
  </rv>
  <rv s="2">
    <v>287</v>
  </rv>
  <rv s="0">
    <v>https://www.bing.com/financeapi/forcetrigger?t=aplyjc&amp;q=BVMF%3aBBDC3&amp;form=skydnc</v>
    <v>Learn more on Bing</v>
  </rv>
  <rv s="8">
    <v>pt-BR</v>
    <v>aplyjc</v>
    <v>268435456</v>
    <v>1</v>
    <v>Da plataforma Refinitiv</v>
    <v>14</v>
    <v>15</v>
    <v>Banco Bradesco S.A. (BVMF:BBDC3)</v>
    <v>12</v>
    <v>16</v>
    <v>Finance</v>
    <v>5</v>
    <v>14.46</v>
    <v>9.67</v>
    <v>BVMF</v>
    <v>10592010000</v>
    <v>13.82</v>
    <v>1943</v>
    <v>13.66</v>
    <v>1.4984</v>
    <v>B3 - Brazil Stock Exchange</v>
    <v>157856600000</v>
    <v>O Banco Bradesco SA, anteriormente Banco Brasileiro de Descontos SA, é uma empresa pública brasileira que atua no Grupo Setor de Serviços Bancários. A Companhia atua como um amplo banco comercial em termos de ativos totais, operações de crédito e volume de depósitos e financiamentos. A Companhia oferece uma gama de produtos e serviços bancários e financeiros, no Brasil e no exterior, para indivíduos e principais empresas e instituições nacionais e internacionais. Os produtos e serviços da Companhia abrangem operações bancárias e não bancárias, tais como: Empréstimos e adiantamentos, depósitos, emissão de cartões de crédito, consórcio, seguros, etc. capitalização, leasing, cobrança e processamento de pagamentos, planos de pensões complementares, gestão de ativos e serviços de intermediação e corretagem de valores mobiliários.</v>
    <v>BVMF</v>
    <v>13.8</v>
    <v>83365</v>
    <v>45884.958333333336</v>
    <v>289</v>
    <v>26874860</v>
    <v>BRL</v>
    <v>Banco Bradesco S.A.</v>
    <v>Banco Bradesco S.A.</v>
    <v>13.7</v>
    <v>13.79</v>
    <v>Nucleo Cidade de Deus s/n, Vila Yara, OSASCO, SAO PAULO, 06.029-900 BR</v>
    <v>Banking Services</v>
    <v>BBDC3</v>
    <v>Ações</v>
    <v>Banco Bradesco S.A. (BVMF:BBDC3)</v>
    <v>-0.01</v>
    <v>-7.2459999999999994E-4</v>
    <v>6868000</v>
  </rv>
  <rv s="2">
    <v>290</v>
  </rv>
  <rv s="0">
    <v>https://www.bing.com/financeapi/forcetrigger?t=apn5cw&amp;q=BVMF%3aPOMO4&amp;form=skydnc</v>
    <v>Learn more on Bing</v>
  </rv>
  <rv s="8">
    <v>pt-BR</v>
    <v>apn5cw</v>
    <v>268435456</v>
    <v>1</v>
    <v>Da plataforma Refinitiv</v>
    <v>14</v>
    <v>15</v>
    <v>MARCOPOLO S.A. (BVMF:POMO4)</v>
    <v>12</v>
    <v>16</v>
    <v>Finance</v>
    <v>5</v>
    <v>9.3000000000000007</v>
    <v>5.72</v>
    <v>BVMF</v>
    <v>1136271000</v>
    <v>9.02</v>
    <v>1949</v>
    <v>8.89</v>
    <v>0.80249999999999999</v>
    <v>B3 - Brazil Stock Exchange</v>
    <v>9417548000</v>
    <v>A Marcopolo SA, anteriormente Marcopolo SA - Carrocerias e Onibus, é uma empresa com sede no Brasil que tem por objetivo principal a fabricação de ônibus. As atividades da Empresa estão divididas em dois segmentos de negócio: Industrial e Financeiro. A divisão Industrial concentra-se no projeto, produção e distribuição de carrocerias e peças de reposição. Suas linhas de produtos abrangem diversos modelos, entre ônibus, intermunicipais, urbanos e micro-ônibus, além de veículos comerciais leves (LCVs), comercializados com a marca Volare. A divisão Financeira é responsável pelo financiamento das operações por meio do Banco Moneo. Seus produtos financeiros incluem crédito pessoal e comercial, arrendamento mercantil com opção de compra, empréstimos de curto prazo e linhas de crédito. A Companhia opera por meio de várias subsidiárias no Brasil, Argentina, México, Canadá, África do Sul e China, entre outros.</v>
    <v>BVMF</v>
    <v>8.9700000000000006</v>
    <v>16027</v>
    <v>45884.958333333336</v>
    <v>292</v>
    <v>10709580</v>
    <v>BRL</v>
    <v>MARCOPOLO S.A.</v>
    <v>MARCOPOLO S.A.</v>
    <v>8.93</v>
    <v>9.02</v>
    <v>Avenida Marcopolo,280, Planalto, CAXIAS DO SUL, RIO GRANDE DO SUL, 95.086-200 BR</v>
    <v>Automobiles &amp; Auto Parts</v>
    <v>POMO4</v>
    <v>Ações</v>
    <v>MARCOPOLO S.A. (BVMF:POMO4)</v>
    <v>0.05</v>
    <v>5.574E-3</v>
    <v>3901500</v>
  </rv>
  <rv s="2">
    <v>293</v>
  </rv>
  <rv s="0">
    <v>https://www.bing.com/financeapi/forcetrigger?t=apnjsm&amp;q=BVMF%3aVALE3&amp;form=skydnc</v>
    <v>Learn more on Bing</v>
  </rv>
  <rv s="8">
    <v>pt-BR</v>
    <v>apnjsm</v>
    <v>268435456</v>
    <v>1</v>
    <v>Da plataforma Refinitiv</v>
    <v>14</v>
    <v>15</v>
    <v>VALE S.A. (BVMF:VALE3)</v>
    <v>12</v>
    <v>16</v>
    <v>Finance</v>
    <v>5</v>
    <v>60.23</v>
    <v>47.12</v>
    <v>BVMF</v>
    <v>4539008000</v>
    <v>53.58</v>
    <v>1943</v>
    <v>53</v>
    <v>0.77880000000000005</v>
    <v>B3 - Brazil Stock Exchange</v>
    <v>242019906560</v>
    <v>A Vale SA, antiga Companhia Vale do Rio Doce, é uma empresa brasileira de metal e mineração que atua principalmente na produção de minério de ferro e níquel. A empresa também produz pelotas de minério de ferro, cobre, metais do grupo platina (PGMs), ouro, prata e cobalto. A Vale está envolvida na exploração mineral verde em cinco países e opera sistemas logísticos no Brasil e em outras regiões do mundo, incluindo ferrovias, terminais marítimos e portos, que são integrados às operações de mineração. Além disso, a Vale possui centros de distribuição para apoiar a entrega de minério de ferro em todo o mundo. A Vale possui inúmeras subsidiárias, incluindo a Vale Logistica Uruguay SA, Vale Holdings BV, Vale Overseas Ltd As operações da Companhia no exterior abrangem aproximadamente 30 países.</v>
    <v>BVMF</v>
    <v>53.42</v>
    <v>64616</v>
    <v>45884.958333333336</v>
    <v>295</v>
    <v>25058780</v>
    <v>BRL</v>
    <v>VALE S.A.</v>
    <v>VALE S.A.</v>
    <v>53.46</v>
    <v>53.32</v>
    <v>Torre Oscar Niemeyer, Praia de Botafogo n 186 Salas 1101 1701 1801, Botafogo, RIO DE JANEIRO, RIO DE JANEIRO, 22.250-145 BR</v>
    <v>Metals &amp; Mining</v>
    <v>VALE3</v>
    <v>Ações</v>
    <v>VALE S.A. (BVMF:VALE3)</v>
    <v>-0.1</v>
    <v>-1.872E-3</v>
    <v>32470800</v>
  </rv>
  <rv s="2">
    <v>296</v>
  </rv>
  <rv s="0">
    <v>https://www.bing.com/financeapi/forcetrigger?t=apn7yc&amp;q=BVMF%3aRADL3&amp;form=skydnc</v>
    <v>Learn more on Bing</v>
  </rv>
  <rv s="8">
    <v>pt-BR</v>
    <v>apn7yc</v>
    <v>268435456</v>
    <v>1</v>
    <v>Da plataforma Refinitiv</v>
    <v>14</v>
    <v>15</v>
    <v>Raia Drogasil S/A (BVMF:RADL3)</v>
    <v>12</v>
    <v>16</v>
    <v>Finance</v>
    <v>5</v>
    <v>29.81</v>
    <v>13.07</v>
    <v>BVMF</v>
    <v>1718007000</v>
    <v>17.88</v>
    <v>1935</v>
    <v>17.14</v>
    <v>0.80400000000000005</v>
    <v>B3 - Brazil Stock Exchange</v>
    <v>30013582289</v>
    <v>A Raia Drogasil S/A é uma empresa sediada no Brasil, com sede em São Paulo. Sua principal atividade é a venda a varejo de produtos farmacêuticos e cosméticos, incluindo medicamentos de marca, medicamentos genéricos, medicamentos OTC (sem receita médica), não medicamentos (como produtos de higiene pessoal, cosméticos e dermocosméticos), e vários serviços. A Companhia tem presença em todas as unidades federais do país, demonstrando sua cobertura e acessibilidade. Além disso, a digitalização da jornada do cliente tem sido um fator crucial no crescimento da empresa, permitindo uma experiência de compra mais conveniente e eficiente. A expansão das farmácias físicas, aliada a soluções digitais, tem contribuído significativamente para o crescimento contínuo da Raia Drogasil no mercado brasileiro.</v>
    <v>BVMF</v>
    <v>17.579999999999998</v>
    <v>67114</v>
    <v>45884.958333333336</v>
    <v>298</v>
    <v>17224020</v>
    <v>BRL</v>
    <v>Raia Drogasil S/A</v>
    <v>Raia Drogasil S/A</v>
    <v>17.690000000000001</v>
    <v>17.47</v>
    <v>Av. Corifeu de Azevedo Marques, 3.097, Butanta, SAO PAULO, SAO PAULO, 05.339-900 BR</v>
    <v>Food &amp; Drug Retailing</v>
    <v>RADL3</v>
    <v>Ações</v>
    <v>Raia Drogasil S/A (BVMF:RADL3)</v>
    <v>-0.11</v>
    <v>-6.2570000000000004E-3</v>
    <v>7679900</v>
  </rv>
  <rv s="2">
    <v>299</v>
  </rv>
  <rv s="0">
    <v>https://www.bing.com/financeapi/forcetrigger?t=c1s4lh&amp;q=BVMF%3aGGPS3&amp;form=skydnc</v>
    <v>Learn more on Bing</v>
  </rv>
  <rv s="8">
    <v>pt-BR</v>
    <v>c1s4lh</v>
    <v>268435456</v>
    <v>1</v>
    <v>Da plataforma Refinitiv</v>
    <v>14</v>
    <v>15</v>
    <v>GPS PARTICIPAÇÕES E EMPREENDIMENTOS S.A. (BVMF:GGPS3)</v>
    <v>12</v>
    <v>16</v>
    <v>Finance</v>
    <v>5</v>
    <v>19.11</v>
    <v>12.12</v>
    <v>BVMF</v>
    <v>677280700</v>
    <v>16.53</v>
    <v>2007</v>
    <v>16.14</v>
    <v>1.3224</v>
    <v>B3 - Brazil Stock Exchange</v>
    <v>11032902603</v>
    <v>A Gps Participações e Empreendimentos SA é uma holding com sede no Brasil que, por meio de suas subsidiárias, tem como objetivo principal a prestação de serviços de apoio ao negócio. As atividades da empresa estão divididas em quatro segmentos: Instalações, oferecendo uma gama de serviços de zeladoria, gestão de edifícios, apoio administrativo, bombeiros, manutenção de jardins e gestão de resíduos interiores; Serviços de Segurança, fornecendo segurança de eventos, segurança pessoal, escolta armada e combate a incêndio e prevenção; Logística interna, fornecendo mapeamento operacional e soluções customizáveis; Manutenção e Serviços Industriais, fornecimento de correias transportadoras, subestações elétricas, limpeza industrial, aquecimento, ventilação, refrigeração, ar condicionado, manutenção ferroviária, manutenção de rodovias, manutenção portuária e aeroportuária e manutenção de esgoto.</v>
    <v>BVMF</v>
    <v>16.14</v>
    <v>184000</v>
    <v>45884.958356481482</v>
    <v>301</v>
    <v>2655610</v>
    <v>BRL</v>
    <v>GPS PARTICIPAÇÕES E EMPREENDIMENTOS S.A.</v>
    <v>GPS PARTICIPAÇÕES E EMPREENDIMENTOS S.A.</v>
    <v>16.14</v>
    <v>16.29</v>
    <v>Av. Miguel Frias e Vasconcelos, 1205, Jaguare, SAO PAULO, SAO PAULO, 05.345-000 BR</v>
    <v>Professional &amp; Commercial Services</v>
    <v>GGPS3</v>
    <v>Ações</v>
    <v>GPS PARTICIPAÇÕES E EMPREENDIMENTOS S.A. (BVMF:GGPS3)</v>
    <v>0.15</v>
    <v>9.2940000000000002E-3</v>
    <v>1629200</v>
  </rv>
  <rv s="2">
    <v>302</v>
  </rv>
  <rv s="0">
    <v>https://www.bing.com/financeapi/forcetrigger?t=bvoyz2&amp;q=BVMF%3aHBSA3&amp;form=skydnc</v>
    <v>Learn more on Bing</v>
  </rv>
  <rv s="9">
    <v>pt-BR</v>
    <v>bvoyz2</v>
    <v>268435456</v>
    <v>1</v>
    <v>Da plataforma Refinitiv</v>
    <v>17</v>
    <v>18</v>
    <v>Hidrovias do Brasil S.A (BVMF:HBSA3)</v>
    <v>12</v>
    <v>19</v>
    <v>Finance</v>
    <v>5</v>
    <v>3.89</v>
    <v>1.47</v>
    <v>BVMF</v>
    <v>1360383000</v>
    <v>3.83</v>
    <v>2010</v>
    <v>3.64</v>
    <v>1.2289000000000001</v>
    <v>B3 - Brazil Stock Exchange</v>
    <v>4979001780</v>
    <v>A Hidrovias do Brasil SA é uma empresa sediada no Brasil que atua no setor de logística. O objeto social da Companhia consiste nas atividades de infraestrutura e logística hidroviária, rodoviária e multimodal, no Brasil e no exterior, e participações societárias em empresas que desenvolvem atividades similares. A Empresa também transporta mercadorias, constrói e explora portos, terminais de carga, estaleiros, oficinas e armazéns, presta serviços de logística, navega fluvial e marítima e armazena mercadorias, entre outros.</v>
    <v>BVMF</v>
    <v>3.73</v>
    <v>45884.958391203705</v>
    <v>304</v>
    <v>2554360</v>
    <v>BRL</v>
    <v>Hidrovias do Brasil S.A</v>
    <v>Hidrovias do Brasil S.A</v>
    <v>3.75</v>
    <v>3.66</v>
    <v>Rua Gilberto Sabino, 215 - 7 andar, SAO PAULO, SAO PAULO, 05.425-020 BR</v>
    <v>Freight &amp; Logistics Services</v>
    <v>HBSA3</v>
    <v>Ações</v>
    <v>Hidrovias do Brasil S.A (BVMF:HBSA3)</v>
    <v>-7.0000000000000007E-2</v>
    <v>-1.8766999999999999E-2</v>
    <v>2617300</v>
  </rv>
  <rv s="2">
    <v>305</v>
  </rv>
  <rv s="0">
    <v>https://www.bing.com/financeapi/forcetrigger?t=apm7gh&amp;q=BVMF%3aCCRO3&amp;form=skydnc</v>
    <v>Learn more on Bing</v>
  </rv>
  <rv s="8">
    <v>pt-BR</v>
    <v>apm7gh</v>
    <v>268435456</v>
    <v>1</v>
    <v>Da plataforma Refinitiv</v>
    <v>14</v>
    <v>15</v>
    <v>MOTIVA INFRAESTRUTURA DE MOBILIDADE S.A. (BVMF:MOTV3)</v>
    <v>12</v>
    <v>16</v>
    <v>Finance</v>
    <v>5</v>
    <v>13.9</v>
    <v>9.7200000000000006</v>
    <v>BVMF</v>
    <v>2020000000</v>
    <v>13.42</v>
    <v>1998</v>
    <v>13.08</v>
    <v>1.0499000000000001</v>
    <v>B3 - Brazil Stock Exchange</v>
    <v>26866000000</v>
    <v>A MOTIVA INFRAESTRUTURA DE MOBILIDADE S.A., anteriormente conhecida como CCR S.A., é uma holding brasileira que atua no setor de operações de infraestrutura. A empresa, através de suas subsidiárias, é especializada em concessões de rodovias, mobilidade urbana e gestão aeroportuária. A Motiva é responsável pela administração e manutenção de uma extensa rede de rodovias, aeroportos e serviços de transporte de passageiros, incluindo metrôs, trens, veículos leves sobre trilhos (VLTs) e balsas. As operações da Motiva estão presentes em diversos estados brasileiros, como São Paulo, Rio de Janeiro, Mato Grosso do Sul, Bahia, Rio Grande do Sul e Santa Catarina. Entre suas principais subsidiárias estão a Concessionária Catarinense de Rodovias S.A, a CIIS - Companhia de Investimentos em Infraestrutura e Serviços, e a Concessionária das Linhas 5 e 17 do Metrô de São Paulo S.A.</v>
    <v>BVMF</v>
    <v>13.16</v>
    <v>17124</v>
    <v>45884.958356481482</v>
    <v>307</v>
    <v>7325800</v>
    <v>BRL</v>
    <v>MOTIVA INFRAESTRUTURA DE MOBILIDADE S.A.</v>
    <v>MOTIVA INFRAESTRUTURA DE MOBILIDADE S.A.</v>
    <v>13.16</v>
    <v>13.3</v>
    <v>Av. Dra. Ruth Cardoso, 8.501, 5 andar, Pinheiros, SAO PAULO, SAO PAULO, 05.425-070 BR</v>
    <v>Transport Infrastructure</v>
    <v>MOTV3</v>
    <v>Ações</v>
    <v>MOTIVA INFRAESTRUTURA DE MOBILIDADE S.A. (BVMF:MOTV3)</v>
    <v>0.14000000000000001</v>
    <v>1.0638000000000002E-2</v>
    <v>5443500</v>
  </rv>
  <rv s="2">
    <v>308</v>
  </rv>
  <rv s="0">
    <v>https://www.bing.com/financeapi/forcetrigger?t=bvu6jc&amp;q=BVMF%3aMELK3&amp;form=skydnc</v>
    <v>Learn more on Bing</v>
  </rv>
  <rv s="8">
    <v>pt-BR</v>
    <v>bvu6jc</v>
    <v>268435456</v>
    <v>1</v>
    <v>Da plataforma Refinitiv</v>
    <v>14</v>
    <v>15</v>
    <v>Melnick Desenvolvimento Imobiliário S.A. (BVMF:MELK3)</v>
    <v>12</v>
    <v>16</v>
    <v>Finance</v>
    <v>5</v>
    <v>3.75</v>
    <v>2.38</v>
    <v>BVMF</v>
    <v>206269300</v>
    <v>3.75</v>
    <v>2010</v>
    <v>3.49</v>
    <v>0.95440000000000003</v>
    <v>B3 - Brazil Stock Exchange</v>
    <v>773509875</v>
    <v>Melnick Desenvolvimento Imobiliario SA, anteriormente Melnick Even Desenvolvimento Imobiliario SA é um desenvolvedor imobiliário com sede no Brasil. A Companhia atua por meio de dois segmentos operacionais: Incorporação e urbanismo. O segmento de incorporação refere-se ao desenvolvimento de projetos imobiliários na cidade de Porto Alegre. O segmento de urbanismo refere-se ao desenvolvimento de subdivisões e condomínios no estado do Rio Grande do Sul. O portfólio da empresa inclui projetos como Jazz New York, High Garden Rio Branco, Nilo Square Multi Office, Icon Assis Brasil Comercial, Grand Park Lindoia Office Park, Nilo Aquare Hotel Verso by Emiliano, bem como Reserva Bela Vista Gravatai e Residencial Praca do Sol.</v>
    <v>BVMF</v>
    <v>3.53</v>
    <v>458</v>
    <v>45884.958391203705</v>
    <v>310</v>
    <v>318530</v>
    <v>BRL</v>
    <v>Melnick Desenvolvimento Imobiliário S.A.</v>
    <v>Melnick Desenvolvimento Imobiliário S.A.</v>
    <v>3.53</v>
    <v>3.75</v>
    <v>Rua Carlos Trein Filho, n 551, N/A, Auxiliadora, Porto Alegre, RIO GRANDE DO SUL, 90.450-120 BR</v>
    <v>Homebuilding &amp; Construction Supplies</v>
    <v>MELK3</v>
    <v>Ações</v>
    <v>Melnick Desenvolvimento Imobiliário S.A. (BVMF:MELK3)</v>
    <v>0.22</v>
    <v>6.2323000000000003E-2</v>
    <v>835600</v>
  </rv>
  <rv s="2">
    <v>311</v>
  </rv>
  <rv s="0">
    <v>https://www.bing.com/financeapi/forcetrigger?t=apmb27&amp;q=BVMF%3aCPFE3&amp;form=skydnc</v>
    <v>Learn more on Bing</v>
  </rv>
  <rv s="8">
    <v>pt-BR</v>
    <v>apmb27</v>
    <v>268435456</v>
    <v>1</v>
    <v>Da plataforma Refinitiv</v>
    <v>14</v>
    <v>15</v>
    <v>CPFL ENERGIA S.A. (BVMF:CPFE3)</v>
    <v>12</v>
    <v>16</v>
    <v>Finance</v>
    <v>5</v>
    <v>41.48</v>
    <v>29.96</v>
    <v>BVMF</v>
    <v>1152254000</v>
    <v>40.46</v>
    <v>1998</v>
    <v>39.03</v>
    <v>0.65039999999999998</v>
    <v>B3 - Brazil Stock Exchange</v>
    <v>45871250000</v>
    <v>A CPFL Energia S.A. é uma holding. A Companhia, por meio de suas controladas, distribui, gera, transmite e comercializa energia elétrica no Brasil, bem como presta serviços relacionados à energia. Seus segmentos incluem Distribuição, Fontes de Geração Convencionais, Geração de Energia Renovável, Comercialização e Serviços. A Companhia opera seu segmento de distribuição por meio de suas oito distribuidoras. Sua capacidade instalada em geração convencional é de aproximadamente 2.200 megawatts (MW). A Companhia, por meio de sua controlada CPFL Geração, detém participação acionária em oito Usinas Hidrelétricas. Atua no segmento de geração de energia de fontes renováveis, como eólica, termelétricas a biomassa, PCHs e solar, por meio de sua subsidiária CPFL Renovaveis. A Companhia atua no segmento de comercialização (fornecimento competitivo de energia) por meio de sua subsidiária CPFL Brasil. A Companhia atua no segmento de serviços de valor agregado na prestação de serviços relacionados à energia elétrica.</v>
    <v>BVMF</v>
    <v>39.81</v>
    <v>6432</v>
    <v>45884.958333333336</v>
    <v>313</v>
    <v>1882370</v>
    <v>BRL</v>
    <v>CPFL ENERGIA S.A.</v>
    <v>CPFL ENERGIA S.A.</v>
    <v>39.5</v>
    <v>39.479999999999997</v>
    <v>Rua Jorge de Figueiredo Correa,1632, parte, Jd Prof. Tarcilia, CAMPINAS, SAO PAULO, 13.087-397 BR</v>
    <v>Electrical Utilities &amp; IPPs</v>
    <v>CPFE3</v>
    <v>Ações</v>
    <v>CPFL ENERGIA S.A. (BVMF:CPFE3)</v>
    <v>-0.33</v>
    <v>-8.2889999999999995E-3</v>
    <v>1665200</v>
  </rv>
  <rv s="2">
    <v>314</v>
  </rv>
  <rv s="0">
    <v>https://www.bing.com/financeapi/forcetrigger?t=apnbbh&amp;q=BVMF%3aSBSP3&amp;form=skydnc</v>
    <v>Learn more on Bing</v>
  </rv>
  <rv s="8">
    <v>pt-BR</v>
    <v>apnbbh</v>
    <v>268435456</v>
    <v>1</v>
    <v>Da plataforma Refinitiv</v>
    <v>14</v>
    <v>15</v>
    <v>Companhia de Saneamento Básico do Estado de São Paulo - SABESP (BVMF:SBSP3)</v>
    <v>12</v>
    <v>16</v>
    <v>Finance</v>
    <v>5</v>
    <v>123.66</v>
    <v>83.13</v>
    <v>BVMF</v>
    <v>683509900</v>
    <v>118.3</v>
    <v>1973</v>
    <v>116.06</v>
    <v>0.84299999999999997</v>
    <v>B3 - Brazil Stock Exchange</v>
    <v>79594727855</v>
    <v>Companhia de Saneamento Basico do Estado de São Paulo - SABESP é uma provedora de serviços de água e esgoto. A Companhia presta serviços de água e esgoto a uma gama de clientes residenciais, comerciais, industriais e governamentais em mais de 375 municípios do estado de São Paulo, incluindo a cidade de São Paulo. Os segmentos da Companhia incluem água e esgoto. As atividades da Companhia compreendem abastecimento de água, serviços de esgoto sanitário, serviços de gestão e drenagem de águas pluviais urbanas, serviços de limpeza urbana, serviços de gestão de resíduos sólidos e atividades afins, incluindo o planejamento, operação, manutenção e comercialização de energia, e a comercialização de serviços, produtos, benefícios e direitos que direta ou indiretamente advêm de seus ativos, operações e atividades.</v>
    <v>BVMF</v>
    <v>117.74</v>
    <v>9190</v>
    <v>45884.958356481482</v>
    <v>316</v>
    <v>3740370</v>
    <v>BRL</v>
    <v>Companhia de Saneamento Básico do Estado de São Paulo - SABESP</v>
    <v>Companhia de Saneamento Básico do Estado de São Paulo - SABESP</v>
    <v>117.77</v>
    <v>116.45</v>
    <v>Rua Costa Carvalho, n 300 Diretoria F, Pinheiros, SAO PAULO, SAO PAULO, 05.429-900 BR</v>
    <v>Water Utilities</v>
    <v>SBSP3</v>
    <v>Ações</v>
    <v>Companhia de Saneamento Básico do Estado de São Paulo - SABESP (BVMF:SBSP3)</v>
    <v>-1.29</v>
    <v>-1.0955999999999999E-2</v>
    <v>2212300</v>
  </rv>
  <rv s="2">
    <v>317</v>
  </rv>
  <rv s="0">
    <v>https://www.bing.com/financeapi/forcetrigger?t=c1s4zr&amp;q=BVMF%3aSOJA3&amp;form=skydnc</v>
    <v>Learn more on Bing</v>
  </rv>
  <rv s="9">
    <v>pt-BR</v>
    <v>c1s4zr</v>
    <v>268435456</v>
    <v>1</v>
    <v>Da plataforma Refinitiv</v>
    <v>17</v>
    <v>18</v>
    <v>Boa Safra Sementes S.A. (BVMF:SOJA3)</v>
    <v>12</v>
    <v>19</v>
    <v>Finance</v>
    <v>5</v>
    <v>13.86</v>
    <v>9.5500000000000007</v>
    <v>BVMF</v>
    <v>135322100</v>
    <v>10.29</v>
    <v>2009</v>
    <v>10.06</v>
    <v>0.64680000000000004</v>
    <v>B3 - Brazil Stock Exchange</v>
    <v>1369459652</v>
    <v>A Boa Safra Sementes SA é uma companhia sediada no Brasil que atua no mercado de vendas de sementes. A Companhia possui um portfólio de sementes de soja, milho e feijão, oferecendo tratamentos com componentes químicos e genéticos. A Companhia possui Unidades de Beneficiamento de Sementes (UBS). O processamento e beneficiamento consistem na limpeza, secagem, padronização e separação das sementes. O Tratamento de Sementes Industrial consiste em dois tipos: adição de componentes químicos que podem variar de acordo com a demanda do cliente (TSI 1ª Geração), e o TSI 1ª Geração acrescido de um composto de cinco moléculas (TSI Completo). Esse tratamento oferece maior nível de produtividade, segurança, eficiência e precisão da safra por meio do controle de espectro de pragas e doenças iniciais, além da manutenção do estande de plantas. Os clientes podem optar por adquirir as sementes processadas ou as sementes processadas e tratadas com o TSI 1ª Geração ou com o TSI Completo.</v>
    <v>BVMF</v>
    <v>10.09</v>
    <v>45884.958391203705</v>
    <v>319</v>
    <v>379120</v>
    <v>BRL</v>
    <v>Boa Safra Sementes S.A.</v>
    <v>Boa Safra Sementes S.A.</v>
    <v>10.09</v>
    <v>10.119999999999999</v>
    <v>Avenida Circular 209, Setor Industrial, Formosa, GOIAS, 73.813-014 BR</v>
    <v>Food &amp; Tobacco</v>
    <v>SOJA3</v>
    <v>Ações</v>
    <v>Boa Safra Sementes S.A. (BVMF:SOJA3)</v>
    <v>0.03</v>
    <v>2.9729999999999999E-3</v>
    <v>323500</v>
  </rv>
  <rv s="2">
    <v>320</v>
  </rv>
  <rv s="0">
    <v>https://www.bing.com/financeapi/forcetrigger?t=apn7h7&amp;q=BVMF%3aPTNT4&amp;form=skydnc</v>
    <v>Learn more on Bing</v>
  </rv>
  <rv s="8">
    <v>pt-BR</v>
    <v>apn7h7</v>
    <v>268435456</v>
    <v>1</v>
    <v>Da plataforma Refinitiv</v>
    <v>14</v>
    <v>15</v>
    <v>Pettenati S.A. Indústria Têxtil (BVMF:PTNT4)</v>
    <v>12</v>
    <v>16</v>
    <v>Finance</v>
    <v>5</v>
    <v>8.27</v>
    <v>4.43</v>
    <v>BVMF</v>
    <v>48046490</v>
    <v>4.59</v>
    <v>1964</v>
    <v>4.53</v>
    <v>0.36070000000000002</v>
    <v>B3 - Brazil Stock Exchange</v>
    <v>294371600</v>
    <v>A Pettenati S.A. Indústria Têxtil é uma empresa brasileira envolvida na indústria têxtil. A Empresa atua principalmente na fabricação, comercialização e exportação de tecidos acabados de malha e artigos de vestuário. Seu portfólio inclui uma gama de tecidos tingidos e estampados. As linhas de produtos da Empresa incluem Softs, Plushs, Meia Malha, Viscose e Linhas Esportivas, entre outros. A produção de tecidos da Empresa é realizada em duas fábricas, uma localizada em Caxias do Sul, no Rio Grande do Sul, e outra em El Salvador. A Empresa também opera uma unidade industrial em Caxias do Sul, Brasil, que atua na fabricação de produtos de vestuário. Em 30 de junho de 2012, ela detinha uma participação de 70,20% na Pettenati Centro America SA de CV.</v>
    <v>BVMF</v>
    <v>4.55</v>
    <v>1745</v>
    <v>45884.836806250001</v>
    <v>322</v>
    <v>6130</v>
    <v>BRL</v>
    <v>Pettenati S.A. Indústria Têxtil</v>
    <v>Pettenati S.A. Indústria Têxtil</v>
    <v>4.57</v>
    <v>4.59</v>
    <v>Rod Rsc 453, S/N,Km 2,4, Distrito Industrial, CAXIAS DO SUL, RIO GRANDE DO SUL, 95.010-550 BR</v>
    <v>Textiles &amp; Apparel</v>
    <v>PTNT4</v>
    <v>Ações</v>
    <v>Pettenati S.A. Indústria Têxtil (BVMF:PTNT4)</v>
    <v>0.04</v>
    <v>8.7910000000000002E-3</v>
    <v>3100</v>
  </rv>
  <rv s="2">
    <v>323</v>
  </rv>
  <rv s="0">
    <v>https://www.bing.com/financeapi/forcetrigger?t=c2ttqh&amp;q=BVMF%3aDESK3&amp;form=skydnc</v>
    <v>Learn more on Bing</v>
  </rv>
  <rv s="9">
    <v>pt-BR</v>
    <v>c2ttqh</v>
    <v>268435456</v>
    <v>1</v>
    <v>Da plataforma Refinitiv</v>
    <v>17</v>
    <v>18</v>
    <v>DESKTOP S.A. (BVMF:DESK3)</v>
    <v>12</v>
    <v>19</v>
    <v>Finance</v>
    <v>5</v>
    <v>16.670000000000002</v>
    <v>7.52</v>
    <v>BVMF</v>
    <v>115907200</v>
    <v>7.82</v>
    <v>2006</v>
    <v>7.7</v>
    <v>1.2517</v>
    <v>B3 - Brazil Stock Exchange</v>
    <v>906394304</v>
    <v>Desktop SA, Formely Desktop - Sigmanet Comunicacao Multimidia SA é uma empresa brasileira que opera uma plataforma de provedor de serviços de Internet (ISP). A empresa atua principalmente no mercado de serviços de Internet de banda larga com tecnologia de fibra ótica de alta velocidade direcionada para clientes individuais. A Desktop SA opera mais de 16000 quilômetros de redes de fibra e tem clientes ativos em 53 cidades do interior do Estado de São Paulo. Um dos objetivos da Empresa é democratizar o acesso à Internet, servindo tanto locais grandes como pequenos. A Desktop SA tem várias subsidiárias, incluindo Desktop Internet Ltda, Netion Solucoes em Internet via Radio SA, Netstyle Internet SA e Netstyle Comercio de Equipamentos de Informatica LTDA.</v>
    <v>BVMF</v>
    <v>7.8</v>
    <v>45884.958391203705</v>
    <v>325</v>
    <v>190370</v>
    <v>BRL</v>
    <v>DESKTOP S.A.</v>
    <v>DESKTOP S.A.</v>
    <v>7.72</v>
    <v>7.82</v>
    <v>Estrada Municipal Teodor Condiev, 970 13o andar, Jardim Marchissolo, Sumare, SAO PAULO, 13.171-105 BR</v>
    <v>Telecommunications Services</v>
    <v>DESK3</v>
    <v>Ações</v>
    <v>DESKTOP S.A. (BVMF:DESK3)</v>
    <v>0.02</v>
    <v>2.5640000000000003E-3</v>
    <v>55100</v>
  </rv>
  <rv s="2">
    <v>326</v>
  </rv>
  <rv s="0">
    <v>https://www.bing.com/financeapi/forcetrigger?t=ayuegh&amp;q=BVMF%3aIGTI3&amp;form=skydnc</v>
    <v>Learn more on Bing</v>
  </rv>
  <rv s="8">
    <v>pt-BR</v>
    <v>ayuegh</v>
    <v>268435456</v>
    <v>1</v>
    <v>Da plataforma Refinitiv</v>
    <v>14</v>
    <v>15</v>
    <v>Iguatemi S.A. (BVMF:IGTI3)</v>
    <v>12</v>
    <v>16</v>
    <v>Finance</v>
    <v>5</v>
    <v>2.89</v>
    <v>1.93</v>
    <v>BVMF</v>
    <v>1206361000</v>
    <v>2.75</v>
    <v>1946</v>
    <v>2.63</v>
    <v>1.0396000000000001</v>
    <v>B3 - Brazil Stock Exchange</v>
    <v>6316092000</v>
    <v>A Iguatemi SA, anteriormente conhecida como Jereissati Participações SA, é uma holding brasileira que atua no setor de desenvolvimento imobiliário. Através de sua subsidiária, a Iguatemi Empresa de Shopping Centers SA, a Companhia está focada na exploração comercial e planejamento de centros comerciais, prestação de serviços administrativos de centros comerciais regionais e de complexos imobiliários de uso misto, compra e venda de imóveis, exploração de estacionamentos rotativos, mediação no arrendamento de espaços promocionais, bem como elaboração de estudos, projetos e planejamento em promoção e merchandising. A Companhia possui participação em diversas unidades imobiliárias, incluindo Shopping Center Iguatemi São Paulo, Shopping Center Iguatemi Campinas, Shopping Center Iguatemi São Carlos, JK Iguatemi, Shopping Patio Higienópolis, Praia de Belas Shopping Center, Shopping Center Iguatemi Brasília e Galleria Shopping, entre outros.</v>
    <v>BVMF</v>
    <v>2.63</v>
    <v>636</v>
    <v>45884.958333333336</v>
    <v>328</v>
    <v>73150</v>
    <v>BRL</v>
    <v>Iguatemi S.A.</v>
    <v>Iguatemi S.A.</v>
    <v>2.63</v>
    <v>2.71</v>
    <v>Rua Angelina Maffei Vita 200 9 andar, Jardim Paulistano, SAO PAULO, SAO PAULO, 01.455-070 BR</v>
    <v>Real Estate Operations</v>
    <v>IGTI3</v>
    <v>Ações</v>
    <v>Iguatemi S.A. (BVMF:IGTI3)</v>
    <v>0.08</v>
    <v>3.0417999999999997E-2</v>
    <v>36900</v>
  </rv>
  <rv s="2">
    <v>329</v>
  </rv>
  <rv s="0">
    <v>https://www.bing.com/financeapi/forcetrigger?t=apmtnm&amp;q=BVMF%3aKEPL3&amp;form=skydnc</v>
    <v>Learn more on Bing</v>
  </rv>
  <rv s="8">
    <v>pt-BR</v>
    <v>apmtnm</v>
    <v>268435456</v>
    <v>1</v>
    <v>Da plataforma Refinitiv</v>
    <v>14</v>
    <v>15</v>
    <v>Kepler Weber S.A. (BVMF:KEPL3)</v>
    <v>12</v>
    <v>16</v>
    <v>Finance</v>
    <v>5</v>
    <v>10.7</v>
    <v>6.73</v>
    <v>BVMF</v>
    <v>179720100</v>
    <v>7.26</v>
    <v>1936</v>
    <v>7.1</v>
    <v>0.95150000000000001</v>
    <v>B3 - Brazil Stock Exchange</v>
    <v>1301173524</v>
    <v>A Kepler Weber S.A., anteriormente Kepler Weber S.A. Indústria Comércio Importação e Exportação, é uma empresa brasileira que se dedica essencialmente à produção de sistemas de armazenamento de grãos. Através de suas subsidiárias, a Empresa atua no desenvolvimento, fabricação e distribuição de equipamentos para armazenamento e conservação de grãos. O portfólio da Empresa inclui silos metálicos, com fundo em forma de funil ou plano, secadores, máquinas de limpeza e pré-limpeza de grãos e transportadores de grãos, entre outros. A Empresa também desenvolve e produz sistemas e equipamentos para terminais portuários e estocagem de malte. Além disso, a Kepler Weber fornece peças de reposição e serviços de reparação e manutenção para seus produtos. Em 31 de dezembro de 2011, as subsidiárias da Empresa eram a Kepler Weber Industrial S.A. e a Kepler Weber Peças e Serviços Ltda.</v>
    <v>BVMF</v>
    <v>7.2</v>
    <v>1925</v>
    <v>45884.958391203705</v>
    <v>331</v>
    <v>1174700</v>
    <v>BRL</v>
    <v>Kepler Weber S.A.</v>
    <v>Kepler Weber S.A.</v>
    <v>7.17</v>
    <v>7.24</v>
    <v>Rua do Rocio n 84, 3 andar, Vila Olimpia, SAO PAULO, SAO PAULO, 04.552-000 BR</v>
    <v>Machinery, Equipment &amp; Components</v>
    <v>KEPL3</v>
    <v>Ações</v>
    <v>Kepler Weber S.A. (BVMF:KEPL3)</v>
    <v>0.04</v>
    <v>5.5560000000000002E-3</v>
    <v>1182600</v>
  </rv>
  <rv s="2">
    <v>332</v>
  </rv>
  <rv s="0">
    <v>https://www.bing.com/financeapi/forcetrigger?t=apmvxm&amp;q=BVMF%3aLREN3&amp;form=skydnc</v>
    <v>Learn more on Bing</v>
  </rv>
  <rv s="8">
    <v>pt-BR</v>
    <v>apmvxm</v>
    <v>268435456</v>
    <v>1</v>
    <v>Da plataforma Refinitiv</v>
    <v>14</v>
    <v>15</v>
    <v>Lojas Renner S.A. (BVMF:LREN3)</v>
    <v>12</v>
    <v>16</v>
    <v>Finance</v>
    <v>5</v>
    <v>19.66</v>
    <v>10.53</v>
    <v>BVMF</v>
    <v>1059715000</v>
    <v>16.13</v>
    <v>1965</v>
    <v>15.71</v>
    <v>1.7876000000000001</v>
    <v>B3 - Brazil Stock Exchange</v>
    <v>17093202949</v>
    <v>A Lojas Renner SA é uma empresa sediada no Brasil que tem por objetivo principal o varejo de vestuário e acessórios de moda. As atividades da Empresa estão divididas em dois segmentos: Varejo e Financeiro. A divisão Varejo tem como foco a comercialização de artigos de vestuário feminino, masculino e infantil, roupas íntimas e calçados, roupas esportivas, além de perfumaria, cosméticos, produtos de higiene, correlatos, relógios e acessórios para casa e decoração. O segmento Financeiro dedica-se à prestação de serviços financeiros, nomeadamente à intermediação de serviços financeiros com encargos, crédito pessoal e corretagem de seguros. Atua sob as marcas Lojas Renner, Camicado e Youcom. A Companhia opera por meio de uma série de subsidiárias, incluindo Dromegon Participações Ltda, Renner Administradora de Cartoes de Crédito Ltda e Maxmix Comercial Ltda, entre outras.</v>
    <v>BVMF</v>
    <v>16.02</v>
    <v>25102</v>
    <v>45884.958333333336</v>
    <v>334</v>
    <v>17943000</v>
    <v>BRL</v>
    <v>Lojas Renner S.A.</v>
    <v>Lojas Renner S.A.</v>
    <v>16.02</v>
    <v>16.13</v>
    <v>Av. Joaquim Porto Villanova, 401,7 andar, Jardim do Salso, PORTO ALEGRE, RIO GRANDE DO SUL, 91.410-400 BR</v>
    <v>Specialty Retailers</v>
    <v>LREN3</v>
    <v>Ações</v>
    <v>Lojas Renner S.A. (BVMF:LREN3)</v>
    <v>0.11</v>
    <v>6.8659999999999997E-3</v>
    <v>18079100</v>
  </rv>
  <rv s="2">
    <v>335</v>
  </rv>
  <rv s="0">
    <v>https://www.bing.com/financeapi/forcetrigger?t=apmyyc&amp;q=BVMF%3aMRFG3&amp;form=skydnc</v>
    <v>Learn more on Bing</v>
  </rv>
  <rv s="8">
    <v>pt-BR</v>
    <v>apmyyc</v>
    <v>268435456</v>
    <v>1</v>
    <v>Da plataforma Refinitiv</v>
    <v>14</v>
    <v>15</v>
    <v>Marfrig Global Foods S.A. (BVMF:MRFG3)</v>
    <v>12</v>
    <v>16</v>
    <v>Finance</v>
    <v>5</v>
    <v>26.03</v>
    <v>10.62</v>
    <v>BVMF</v>
    <v>857928100</v>
    <v>23.41</v>
    <v>2000</v>
    <v>21.54</v>
    <v>0.9859</v>
    <v>B3 - Brazil Stock Exchange</v>
    <v>20041200416</v>
    <v>A Marfrig Global Foods S.A., antiga Marfrig Alimentos S.A., é uma empresa estabelecida no Brasil, que atua principalmente no processamento e na distribuição de carne. As atividades da empresa são divididas em dois segmentos operacionais: Marfrig Beef e Keystone. O segmento Marfrig Beef é responsável pelo abate, fabricação, distribuição, importação, exportação e marketing de carne bovina e ovina. A divisão Keystone concentra-se na produção e no desenvolvimento de alimentos multiproteicos, para atender a cadeias de restaurantes, inclusive McDonald's, Subway, ConAgra Foods, Campbell's Soup, KFC, Taco Bell, Wendy's, Heinz e Burger King, dentre outros. Vende no varejo sob várias marcas, como Pampeano, La Morocha, Montana, Hamby, Bernina, Bassi, GJ, Angus, South Lamb e Tacuarembo. A empresa opera mundialmente nas Américas, na Ásia, Europa e Oceania.</v>
    <v>BVMF</v>
    <v>21.48</v>
    <v>126832</v>
    <v>45884.958356481482</v>
    <v>337</v>
    <v>4558540</v>
    <v>BRL</v>
    <v>Marfrig Global Foods S.A.</v>
    <v>Marfrig Global Foods S.A.</v>
    <v>21.85</v>
    <v>23.36</v>
    <v>Avenida Chedid Jafet, No 222, Block A, 1St Floor, SAO PAULO, SAO PAULO, 04.551-065 BR</v>
    <v>Food &amp; Tobacco</v>
    <v>MRFG3</v>
    <v>Ações</v>
    <v>Marfrig Global Foods S.A. (BVMF:MRFG3)</v>
    <v>1.88</v>
    <v>8.7523000000000004E-2</v>
    <v>11066700</v>
  </rv>
  <rv s="2">
    <v>338</v>
  </rv>
  <rv s="0">
    <v>https://www.bing.com/financeapi/forcetrigger?t=apmsu2&amp;q=BVMF%3aJFEN3&amp;form=skydnc</v>
    <v>Learn more on Bing</v>
  </rv>
  <rv s="8">
    <v>pt-BR</v>
    <v>apmsu2</v>
    <v>268435456</v>
    <v>1</v>
    <v>Da plataforma Refinitiv</v>
    <v>14</v>
    <v>15</v>
    <v>JOAO FORTES ENGENHARIA S.A. (BVMF:JFEN3)</v>
    <v>12</v>
    <v>16</v>
    <v>Finance</v>
    <v>5</v>
    <v>9.4</v>
    <v>1.4</v>
    <v>BVMF</v>
    <v>12318800</v>
    <v>1.58</v>
    <v>1940</v>
    <v>1.49</v>
    <v>1.4709000000000001</v>
    <v>B3 - Brazil Stock Exchange</v>
    <v>18355012</v>
    <v>A JOÃO FORTES ENGENHARIA S.A., anteriormente João Fortes &amp; Companhia Ltda., é uma empresa brasileira que atua sobretudo no setor imobiliário. A empresa se dedica à concepção, planejamento, construção, incorporação, desenvolvimento, venda e locação de edifícios residenciais, comerciais e industriais, como residências multifamiliares, shopping centers e hotéis, entre outros. Além disso, a empresa se dedica a projetos e serviços nas áreas de engenharia elétrica, engenharia hidráulica, irrigação, saneamento e engenharia agrícola. Em 31 de dezembro de 2011, a empresa possuía várias subsidiárias, incluindo a Alfa Port Empreendimentos Imobiliários Ltda., CNR Empreendimento, Costabella Empreendimentos Imobiliários Ltda. e JFE Participações S.A., entre outras.</v>
    <v>BVMF</v>
    <v>1.54</v>
    <v>579</v>
    <v>45884.958333333336</v>
    <v>340</v>
    <v>7320</v>
    <v>BRL</v>
    <v>JOAO FORTES ENGENHARIA S.A.</v>
    <v>JOAO FORTES ENGENHARIA S.A.</v>
    <v>1.5</v>
    <v>1.49</v>
    <v>Av. das Americas, 3443, Sala 108, Bloco 3, Ala B, Barra da Tijuca, RIO DE JANEIRO, RIO DE JANEIRO, 22.631-003 BR</v>
    <v>Real Estate Operations</v>
    <v>JFEN3</v>
    <v>Ações</v>
    <v>JOAO FORTES ENGENHARIA S.A. (BVMF:JFEN3)</v>
    <v>-0.05</v>
    <v>-3.2467999999999997E-2</v>
    <v>5500</v>
  </rv>
  <rv s="2">
    <v>341</v>
  </rv>
  <rv s="0">
    <v>https://www.bing.com/financeapi/forcetrigger?t=apnjec&amp;q=BVMF%3aUSIM3&amp;form=skydnc</v>
    <v>Learn more on Bing</v>
  </rv>
  <rv s="8">
    <v>pt-BR</v>
    <v>apnjec</v>
    <v>268435456</v>
    <v>1</v>
    <v>Da plataforma Refinitiv</v>
    <v>14</v>
    <v>15</v>
    <v>Usinas Siderúrgicas de Minas Gerais S/A - USIMINAS (BVMF:USIM3)</v>
    <v>12</v>
    <v>16</v>
    <v>Finance</v>
    <v>5</v>
    <v>6.6</v>
    <v>4</v>
    <v>BVMF</v>
    <v>1253079000</v>
    <v>4.2</v>
    <v>1954</v>
    <v>4.13</v>
    <v>0.91479999999999995</v>
    <v>B3 - Brazil Stock Exchange</v>
    <v>5146581000</v>
    <v>As Usinas Siderúrgicas de Minas Gerais SA USIMINAS e suas subsidiárias, sociedades controladas em conjunto e coligadas têm por objeto a siderurgia e outras atividades relacionadas. As atividades da Companhia incluem extração de minério de ferro, transformação do aço, produção de bens de capital e logística. Atua em quatro segmentos: Siderurgia, Mineração e Logística, Transformação do Aço e Bens de Capital. Produz e comercializa diversos produtos e matérias-primas, como aços planos, minério de ferro, peças estampadas de aço para a indústria automotiva e produtos para a construção civil e a indústria de bens de capital. Presta serviços de transferência de tecnologia na atividade siderúrgica, na gestão de projetos e prestação de serviços na área da construção civil e indústria de bens de capital, transporte rodoviário de aços planos, galvanização a quente de aços, texturização e cilindros de cromo. Possui mais de duas usinas siderúrgicas no Brasil localizadas nas cidades de Ipatinga, Estado de Minas Gerais, e de Cubatão, Estado de São Paulo.</v>
    <v>BVMF</v>
    <v>4.1900000000000004</v>
    <v>51182</v>
    <v>45884.958333333336</v>
    <v>343</v>
    <v>13754030</v>
    <v>BRL</v>
    <v>Usinas Siderúrgicas de Minas Gerais S/A - USIMINAS</v>
    <v>Usinas Siderúrgicas de Minas Gerais S/A - USIMINAS</v>
    <v>4.1500000000000004</v>
    <v>4.18</v>
    <v>Avenida do Contorno, 6.594, Savassi, BELO HORIZONTE, MINAS GERAIS, 30.110-044 BR</v>
    <v>Metals &amp; Mining</v>
    <v>USIM3</v>
    <v>Ações</v>
    <v>Usinas Siderúrgicas de Minas Gerais S/A - USIMINAS (BVMF:USIM3)</v>
    <v>-0.01</v>
    <v>-2.3869999999999998E-3</v>
    <v>138100</v>
  </rv>
  <rv s="2">
    <v>344</v>
  </rv>
  <rv s="0">
    <v>https://www.bing.com/financeapi/forcetrigger?t=bvm1h7&amp;q=BVMF%3aCURY3&amp;form=skydnc</v>
    <v>Learn more on Bing</v>
  </rv>
  <rv s="9">
    <v>pt-BR</v>
    <v>bvm1h7</v>
    <v>268435456</v>
    <v>1</v>
    <v>Da plataforma Refinitiv</v>
    <v>17</v>
    <v>18</v>
    <v>CURY CONSTRUTORA E INCORPORADORA S.A. (BVMF:CURY3)</v>
    <v>12</v>
    <v>19</v>
    <v>Finance</v>
    <v>5</v>
    <v>33.43</v>
    <v>16.3</v>
    <v>BVMF</v>
    <v>291875100</v>
    <v>32.65</v>
    <v>2007</v>
    <v>32</v>
    <v>1.0406</v>
    <v>B3 - Brazil Stock Exchange</v>
    <v>9340003200</v>
    <v>A Cury Construtora e Incorporadora SA é uma empresa brasileira que atua no segmento de incorporação imobiliária. A Empresa tem por objeto a incorporação, construção e comercialização de edifícios residenciais nas regiões metropolitanas dos estados de São Paulo e Rio de Janeiro. A Firma desenvolve apartamentos no setor de habitação de baixa renda, principalmente para o programa brasileiro de habitação pública &lt;Minha Casa, Minha Vida&gt; (MCMV). A Companhia opera por meio de diversas subsidiárias, como CCISA08 Consultoria Imobiliária Ltda (Cury Vendas) e CCISA15 Instaladora Ltda (Cury Install), entre outras.</v>
    <v>BVMF</v>
    <v>32.200000000000003</v>
    <v>45884.958356481482</v>
    <v>346</v>
    <v>2692970</v>
    <v>BRL</v>
    <v>CURY CONSTRUTORA E INCORPORADORA S.A.</v>
    <v>CURY CONSTRUTORA E INCORPORADORA S.A.</v>
    <v>32.4</v>
    <v>32</v>
    <v>Rua Funchal, n 411, 13 andar Conjunto 132-D, Vila Olimpia, Sao Paulo, SAO PAULO, 04.551-060 BR</v>
    <v>Homebuilding &amp; Construction Supplies</v>
    <v>CURY3</v>
    <v>Ações</v>
    <v>CURY CONSTRUTORA E INCORPORADORA S.A. (BVMF:CURY3)</v>
    <v>-0.2</v>
    <v>-6.2109999999999995E-3</v>
    <v>2397100</v>
  </rv>
  <rv s="2">
    <v>347</v>
  </rv>
  <rv s="0">
    <v>https://www.bing.com/financeapi/forcetrigger?t=apniqh&amp;q=BVMF%3aUGPA3&amp;form=skydnc</v>
    <v>Learn more on Bing</v>
  </rv>
  <rv s="8">
    <v>pt-BR</v>
    <v>apniqh</v>
    <v>268435456</v>
    <v>1</v>
    <v>Da plataforma Refinitiv</v>
    <v>14</v>
    <v>15</v>
    <v>ULTRAPAR PARTICIPAÇÕES S.A. (BVMF:UGPA3)</v>
    <v>12</v>
    <v>16</v>
    <v>Finance</v>
    <v>5</v>
    <v>23.74</v>
    <v>14.76</v>
    <v>BVMF</v>
    <v>1115507000</v>
    <v>17.8</v>
    <v>1953</v>
    <v>17.25</v>
    <v>1.1591</v>
    <v>B3 - Brazil Stock Exchange</v>
    <v>19621768130</v>
    <v>A ULTRAPAR PARTICIPAÇÕES SA é uma holding. A empresa investe seu capital em serviços, atividades comerciais e atividades industriais. Atua através de cinco segmentos: distribuição de gás (Ultragaz), que distribui gás liquefeito de petróleo (GLP) para consumidores residenciais, comerciais e industriais nas regiões Sul, Sudeste e Nordeste do Brasil; distribuição de combustível (Ipiranga), que atua na distribuição e comercialização de gasolina, etanol, diesel, óleo combustível, querosene, gás natural para veículos, e lubrificantes e atividades correlatas em todo o território brasileiro; produtos químicos (Oxiteno), que produz óxido de etileno, e seus derivados primários e álcoois graxos; armazenamento (Ultracargo), que opera terminais de granéis líquidos, principalmente nas regiões Sudeste e Nordeste do Brasil; e drogarias (Extrafarma), que comercializam produtos farmacêuticos, de higiene e beleza por meio de sua cadeia de farmácias nos estados do Pará e Piauí, entre outros.</v>
    <v>BVMF</v>
    <v>17.64</v>
    <v>9558</v>
    <v>45884.958333333336</v>
    <v>349</v>
    <v>5142250</v>
    <v>BRL</v>
    <v>ULTRAPAR PARTICIPAÇÕES S.A.</v>
    <v>ULTRAPAR PARTICIPAÇÕES S.A.</v>
    <v>17.510000000000002</v>
    <v>17.59</v>
    <v>Avenida Brigadeiro Luis Antonio, 1.343, 8 andar, Bela Vista, SAO PAULO, SAO PAULO, 01.317-910 BR</v>
    <v>Oil &amp; Gas</v>
    <v>UGPA3</v>
    <v>Ações</v>
    <v>ULTRAPAR PARTICIPAÇÕES S.A. (BVMF:UGPA3)</v>
    <v>-0.05</v>
    <v>-2.8339999999999997E-3</v>
    <v>7478300</v>
  </rv>
  <rv s="2">
    <v>350</v>
  </rv>
  <rv s="0">
    <v>https://www.bing.com/financeapi/forcetrigger?t=apmfur&amp;q=BVMF%3aDXCO3&amp;form=skydnc</v>
    <v>Learn more on Bing</v>
  </rv>
  <rv s="8">
    <v>pt-BR</v>
    <v>apmfur</v>
    <v>268435456</v>
    <v>1</v>
    <v>Da plataforma Refinitiv</v>
    <v>14</v>
    <v>15</v>
    <v>DEXCO S.A. (BVMF:DXCO3)</v>
    <v>12</v>
    <v>16</v>
    <v>Finance</v>
    <v>5</v>
    <v>8.8800000000000008</v>
    <v>5</v>
    <v>BVMF</v>
    <v>820566200</v>
    <v>5.82</v>
    <v>1962</v>
    <v>5.65</v>
    <v>0.7399</v>
    <v>B3 - Brazil Stock Exchange</v>
    <v>4660816016</v>
    <v>A Dexco SA, anteriormente conhecida como Duratex SA, é uma empresa sediada no Brasil que atua principalmente na fabricação de painéis de madeira. A empresa atua em três segmentos de negócios: Madeira, Deca e Azulejos Cerâmicos. A divisão de madeira é responsável pela produção de painéis de painéis duros; painéis de partículas de média densidade (MDP); painéis de painéis de fibras de média, alta e super densidade (MDF, HDF e SDF); pisos laminados, denominados Durafloor, e componentes para a indústria moveleira. A divisão Deca centra-se na produção de produtos sanitários de cerâmica e metal sob as marcas Deca e Hydra. A divisão Cerâmica Telhas produz porcelanas polidas, revestimentos especiais e outros azulejos sob as marcas Ceusa e Portinari. A empresa opera instalações industriais e filiais comerciais no Brasil, Colômbia, Peru e Estados Unidos, entre outros.</v>
    <v>BVMF</v>
    <v>5.72</v>
    <v>13344</v>
    <v>45884.958391203705</v>
    <v>352</v>
    <v>1941270</v>
    <v>BRL</v>
    <v>DEXCO S.A.</v>
    <v>DEXCO S.A.</v>
    <v>5.69</v>
    <v>5.68</v>
    <v>Avenida Paulista 1938 - 5 andar, Bela Vista, SAO PAULO, SAO PAULO, 01.310-942 BR</v>
    <v>Paper &amp; Forest Products</v>
    <v>DXCO3</v>
    <v>Ações</v>
    <v>DEXCO S.A. (BVMF:DXCO3)</v>
    <v>-0.04</v>
    <v>-6.9930000000000001E-3</v>
    <v>1549800</v>
  </rv>
  <rv s="2">
    <v>353</v>
  </rv>
  <rv s="0">
    <v>https://www.bing.com/financeapi/forcetrigger?t=apnfpr&amp;q=BVMF%3aTEND3&amp;form=skydnc</v>
    <v>Learn more on Bing</v>
  </rv>
  <rv s="8">
    <v>pt-BR</v>
    <v>apnfpr</v>
    <v>268435456</v>
    <v>1</v>
    <v>Da plataforma Refinitiv</v>
    <v>14</v>
    <v>15</v>
    <v>CONSTRUTORA TENDA S/A (BVMF:TEND3)</v>
    <v>12</v>
    <v>16</v>
    <v>Finance</v>
    <v>5</v>
    <v>24.82</v>
    <v>11.57</v>
    <v>BVMF</v>
    <v>122578100</v>
    <v>21.84</v>
    <v>1993</v>
    <v>21.13</v>
    <v>1.4936</v>
    <v>B3 - Brazil Stock Exchange</v>
    <v>2623171340</v>
    <v>Construtora Tenda S/A, antiga Construtora Tenda Ltda é uma empresa brasileira de construção e desenvolvimento imobiliário. A receita da Companhia vem principalmente da incorporação e venda de unidades autônomas, sob as marcas Tenda e Alea, voltadas para o segmento habitacional acessível. A Alea opera como uma plataforma de construção de moradias fora do local - que consiste em produzir casas em um ambiente fabril usando painéis de madeira-quadro, apenas montando-as no canteiro de obras. A Companhia faz parte do programa Minha Casa Minha Vida (MCMV), iniciativa habitacional do governo federal do Brasil. O programa prevê subsídios e taxas de juros reduzidas para tornar mais acessível a aquisição de moradia acessível, tanto em áreas urbanas quanto rurais, com o objetivo de abordar o déficit habitacional no Brasil. A Construtora Tenda S/A tem projetos em 9 estados do Brasil: Ceará, Pernambuco, Bahia, Minas Gerais, Rio de Janeiro, são Paulo, Goais, Paraná, Rio Grande do Sul e Campinas.</v>
    <v>BVMF</v>
    <v>21.35</v>
    <v>6971</v>
    <v>45884.958356481482</v>
    <v>355</v>
    <v>2239730</v>
    <v>BRL</v>
    <v>CONSTRUTORA TENDA S/A</v>
    <v>CONSTRUTORA TENDA S/A</v>
    <v>21.35</v>
    <v>21.4</v>
    <v>Rua Boa Vista, n 280 pavimentos 8 e 9, Centro, SAO PAULO, SAO PAULO, 01.014-908 BR</v>
    <v>Real Estate Operations</v>
    <v>TEND3</v>
    <v>Ações</v>
    <v>CONSTRUTORA TENDA S/A (BVMF:TEND3)</v>
    <v>0.05</v>
    <v>2.3419999999999999E-3</v>
    <v>862000</v>
  </rv>
  <rv s="2">
    <v>356</v>
  </rv>
  <rv s="0">
    <v>https://creativecommons.org/licenses/by-sa/3.0</v>
    <v>CC BY-SA 3.0</v>
  </rv>
  <rv s="0">
    <v>http://en.wikipedia.org/wiki/Eletrobras</v>
    <v>Wikipedia</v>
  </rv>
  <rv s="10">
    <v>358</v>
    <v>359</v>
  </rv>
  <rv s="11">
    <v>25</v>
    <v>https://www.bing.com/th?id=AMMS_47d2a68313bf3c91f117037b98f07a39&amp;qlt=95</v>
    <v>360</v>
    <v>0</v>
    <v>https://www.bing.com/images/search?form=xlimg&amp;q=eletrobras</v>
    <v>Image of CENTRAIS ELETRICAS BRASILEIRAS SA ELETROBRAS</v>
  </rv>
  <rv s="0">
    <v>https://www.bing.com/financeapi/forcetrigger?t=apmh3m&amp;q=BVMF%3aELET3&amp;form=skydnc</v>
    <v>Learn more on Bing</v>
  </rv>
  <rv s="12">
    <v>pt-BR</v>
    <v>apmh3m</v>
    <v>268435456</v>
    <v>1</v>
    <v>Da plataforma Refinitiv</v>
    <v>20</v>
    <v>21</v>
    <v>CENTRAIS ELETRICAS BRASILEIRAS SA ELETROBRAS (BVMF:ELET3)</v>
    <v>23</v>
    <v>24</v>
    <v>Finance</v>
    <v>5</v>
    <v>45.81</v>
    <v>31.93</v>
    <v>BVMF</v>
    <v>2307100000</v>
    <v>44.38</v>
    <v>1962</v>
    <v>43.98</v>
    <v>0.82269999999999999</v>
    <v>B3 - Brazil Stock Exchange</v>
    <v>103174600000</v>
    <v>A Eletrobras é uma empresa brasileira de energia, especializada na geração e transmissão de energia elétrica. As operações da Companhia são divididas em dois segmentos primários: Geração de Energia e Transmissão de Energia. O portfólio de energia da Eletrobras consiste principalmente em fontes de baixo carbono, com a maioria das hidrelétricas, complementadas pela energia eólica e solar. No segmento de Geração de Energia, a Eletrobras administra uma ampla gama de Usinas, incluindo hidrelétricas e parques eólicos. O segmento de Transmissão de Energia envolve supervisionar uma ampla rede de linhas de transmissão em todo o Brasil. A Companhia opera através de uma rede de subsidiárias regionais.</v>
    <v>BVMF</v>
    <v>44.28</v>
    <v>7710</v>
    <v>45884.958333333336</v>
    <v>361</v>
    <v>362</v>
    <v>3545260</v>
    <v>BRL</v>
    <v>CENTRAIS ELETRICAS BRASILEIRAS SA ELETROBRAS</v>
    <v>CENTRAIS ELETRICAS BRASILEIRAS SA ELETROBRAS</v>
    <v>44.3</v>
    <v>44.25</v>
    <v>Rua da Quitanda, 196, Lj A, Centro, RIO DE JANEIRO, RIO DE JANEIRO, 20.091-005 BR</v>
    <v>Electrical Utilities &amp; IPPs</v>
    <v>ELET3</v>
    <v>Ações</v>
    <v>CENTRAIS ELETRICAS BRASILEIRAS SA ELETROBRAS (BVMF:ELET3)</v>
    <v>-0.03</v>
    <v>-6.7750000000000004E-4</v>
    <v>5074800</v>
  </rv>
  <rv s="2">
    <v>363</v>
  </rv>
  <rv s="0">
    <v>https://www.bing.com/financeapi/forcetrigger?t=apnlu2&amp;q=BVMF%3aWIZS3&amp;form=skydnc</v>
    <v>Learn more on Bing</v>
  </rv>
  <rv s="8">
    <v>pt-BR</v>
    <v>apnlu2</v>
    <v>268435456</v>
    <v>1</v>
    <v>Da plataforma Refinitiv</v>
    <v>14</v>
    <v>15</v>
    <v>Wiz Co Participações e Corretagem de Seguros S.A. (BVMF:WIZC3)</v>
    <v>12</v>
    <v>16</v>
    <v>Finance</v>
    <v>5</v>
    <v>8.39</v>
    <v>4.9000000000000004</v>
    <v>BVMF</v>
    <v>159907300</v>
    <v>8.14</v>
    <v>1973</v>
    <v>7.83</v>
    <v>1.1351</v>
    <v>B3 - Brazil Stock Exchange</v>
    <v>1264866743</v>
    <v>Wiz Co Participações e Corretores de Seguros SA, anteriormente Wiz Solucoes e Corretores de Seguros SA é uma empresa brasileira que atua como corretora de seguros especializada em bancassucoes e como consórcio e distribuidor de crédito, abrangendo tudo desde distribuição, gestão de canais e operações até a criação de soluções específicas nos segmentos de seguros, consórcio e crédito. A empresa oferece soluções presenciais, remotas e digitais para a venda e pós-venda de seguros e produtos financeiros. As atividades da WIZ Co estão divididas em três segmentos: Seguros, crédito e consórcio, bem como serviços. O portfólio de seguros da Companhia inclui seguro de vida, saúde e propriedade, bem como seguro de responsabilidade civil e risco especial.</v>
    <v>BVMF</v>
    <v>8.1</v>
    <v>1635</v>
    <v>45884.958391203705</v>
    <v>365</v>
    <v>443020</v>
    <v>BRL</v>
    <v>Wiz Co Participações e Corretagem de Seguros S.A.</v>
    <v>Wiz Co Participações e Corretagem de Seguros S.A.</v>
    <v>8.1</v>
    <v>7.91</v>
    <v>Setor Comercial Norte, Quadra 02, Bloco D, Ed. Liberty Mall, Entrada B, Sala 1301, Asa Norte, BRASILIA, DISTRITO FEDERAL, 70.712-903 BR</v>
    <v>Insurance</v>
    <v>WIZC3</v>
    <v>Ações</v>
    <v>Wiz Co Participações e Corretagem de Seguros S.A. (BVMF:WIZC3)</v>
    <v>-0.19</v>
    <v>-2.3456999999999999E-2</v>
    <v>406600</v>
  </rv>
  <rv s="2">
    <v>366</v>
  </rv>
  <rv s="0">
    <v>https://www.bing.com/financeapi/forcetrigger?t=apnb8m&amp;q=BVMF%3aSAPR4&amp;form=skydnc</v>
    <v>Learn more on Bing</v>
  </rv>
  <rv s="8">
    <v>pt-BR</v>
    <v>apnb8m</v>
    <v>268435456</v>
    <v>1</v>
    <v>Da plataforma Refinitiv</v>
    <v>14</v>
    <v>15</v>
    <v>Companhia de Saneamento do Paraná - Sanepar (BVMF:SAPR4)</v>
    <v>12</v>
    <v>16</v>
    <v>Finance</v>
    <v>5</v>
    <v>7.45</v>
    <v>4.82</v>
    <v>BVMF</v>
    <v>1511206000</v>
    <v>6.57</v>
    <v>1963</v>
    <v>6.47</v>
    <v>0.6089</v>
    <v>B3 - Brazil Stock Exchange</v>
    <v>10613700000</v>
    <v>A Companhia de Saneamento do Paraná - Sanepar, anteriormente Companhia de Água e Esgotos do Paraná - Agepar, é uma empresa brasileira que atua na prestação de serviços de saneamento básico. A empresa atua sobretudo na distribuição de água, bem como na coleta e tratamento de esgoto. A empresa também se dedica a estudos, projetos e expansão de redes de distribuição de água, redes de coleta e infraestrutura de tratamento de esgoto. Além disso, a Companhia de Saneamento do Paraná - Sanepar fornece coleta e processamento de resíduos sólidos. Também presta serviços de consultoria e assistência técnica. A empresa colabora com agências e entidades governamentais e municipais. A Companhia de Saneamento do Paraná - Sanepar atua em 346 municípios.</v>
    <v>BVMF</v>
    <v>6.54</v>
    <v>6047</v>
    <v>45884.958333333336</v>
    <v>368</v>
    <v>1307550</v>
    <v>BRL</v>
    <v>Companhia de Saneamento do Paraná - Sanepar</v>
    <v>Companhia de Saneamento do Paraná - Sanepar</v>
    <v>6.57</v>
    <v>6.55</v>
    <v>Rua Engenheiros Reboucas, 1376, Reboucas, CURITIBA, PARANA, 80.215-900 BR</v>
    <v>Water Utilities</v>
    <v>SAPR4</v>
    <v>Ações</v>
    <v>Companhia de Saneamento do Paraná - Sanepar (BVMF:SAPR4)</v>
    <v>0.01</v>
    <v>1.529E-3</v>
    <v>672800</v>
  </rv>
  <rv s="2">
    <v>369</v>
  </rv>
  <rv s="0">
    <v>https://www.bing.com/financeapi/forcetrigger?t=apn1fr&amp;q=BVMF%3aNTCO3&amp;form=skydnc</v>
    <v>Learn more on Bing</v>
  </rv>
  <rv s="8">
    <v>pt-BR</v>
    <v>apn1fr</v>
    <v>268435456</v>
    <v>1</v>
    <v>Da plataforma Refinitiv</v>
    <v>14</v>
    <v>15</v>
    <v>Natura Cosméticos S.A. (BVMF:NATU3)</v>
    <v>12</v>
    <v>16</v>
    <v>Finance</v>
    <v>5</v>
    <v>15.85</v>
    <v>8.4700000000000006</v>
    <v>BVMF</v>
    <v>1374118000</v>
    <v>9.14</v>
    <v>1969</v>
    <v>8.6199999999999992</v>
    <v>1.2036</v>
    <v>B3 - Brazil Stock Exchange</v>
    <v>12559438520</v>
    <v>A NATURA COSMETICOS S.A. é uma empresa estabelecida no Brasil, que atua na fabricação de produtos de higiene pessoal. A empresa concentra-se no desenvolvimento, na produção e na distribuição de cosméticos, fragrâncias e produtos de higiene pessoal pela venda direta por consultoras da Natura Beauty. As linhas de produtos da empresa incluem desodorantes, acessórios de maquiagem, protetores solares, cremes de barbear, shampoos, sabonetes, loções, cremes, batons e perfumes, dentre outros. Seu portfólio compreende várias marcas, como a Amo, Ekos, Tododia, Aguas, Chronos, Erva Doce, Homem, Horus, Seve e Luna. Além disso, a empresa opera a marca Aesop, por meio da qual comercializa cosméticos no varejo. Está presente nas Américas, na Europa, no Sudeste da Ásia e na Austrália. A empresa controla inúmeras subsidiárias, como a Indústria e Comércio de Cosméticos Natura Ltda., a Natura Inovação, a Tecnologia de Produtos Ltda. e a Emeis Holdings Pty Ltda.</v>
    <v>BVMF</v>
    <v>9</v>
    <v>1709</v>
    <v>45884.958356481482</v>
    <v>371</v>
    <v>8476710</v>
    <v>BRL</v>
    <v>Natura Cosméticos S.A.</v>
    <v>Natura Cosméticos S.A.</v>
    <v>8.9</v>
    <v>9.14</v>
    <v>Av Alexandre Colares 1188 N/A, Vila Jaguara, SAO PAULO, SAO PAULO, 05.106-000 BR</v>
    <v>Personal &amp; Household Products &amp; Services</v>
    <v>NATU3</v>
    <v>Ações</v>
    <v>Natura Cosméticos S.A. (BVMF:NATU3)</v>
    <v>0.14000000000000001</v>
    <v>1.5556E-2</v>
    <v>10807700</v>
  </rv>
  <rv s="2">
    <v>372</v>
  </rv>
  <rv s="0">
    <v>https://www.bing.com/financeapi/forcetrigger?t=apmjar&amp;q=BVMF%3aEVEN3&amp;form=skydnc</v>
    <v>Learn more on Bing</v>
  </rv>
  <rv s="9">
    <v>pt-BR</v>
    <v>apmjar</v>
    <v>268435456</v>
    <v>1</v>
    <v>Da plataforma Refinitiv</v>
    <v>17</v>
    <v>18</v>
    <v>EVEN CONSTRUTORA E INCORPORADORA S.A. (BVMF:EVEN3)</v>
    <v>12</v>
    <v>19</v>
    <v>Finance</v>
    <v>5</v>
    <v>7.68</v>
    <v>5.26</v>
    <v>BVMF</v>
    <v>200000000</v>
    <v>7.24</v>
    <v>1980</v>
    <v>7.05</v>
    <v>1.4479</v>
    <v>B3 - Brazil Stock Exchange</v>
    <v>1444000000</v>
    <v>A Even Construtora e Incorporadora SA é uma empresa brasileira envolvida no setor imobiliário. A Empresa tem como foco a identificação, avaliação e aquisição de terrenos; planejamento de projetos; construção e desenvolvimento de edifícios; bem como a promoção e venda de imóveis residenciais e comerciais. A Companhia atua em atividades de desenvolvimento e construção imobiliária, com foco nos segmentos de médio e médio padrão nos estados de São Paulo e Rio Grande do Sul por meio de investimentos na Melnick Desenvolvimento Imobiliario SA, que atua em projetos residenciais e comerciais de médio e alto padrão na cidade de Porto Alegre. A Companhia controla diversas subsidiárias, como Window Jardins Empreendimentos Imobiliarios SA, City Projects Empreendimentos Ltda, Westeven Empreendimentos Imobiliarios Ltda e Norteven Empreendimentos Imobiliarios Ltda.</v>
    <v>BVMF</v>
    <v>7.15</v>
    <v>45884.958333333336</v>
    <v>374</v>
    <v>534660</v>
    <v>BRL</v>
    <v>EVEN CONSTRUTORA E INCORPORADORA S.A.</v>
    <v>EVEN CONSTRUTORA E INCORPORADORA S.A.</v>
    <v>7.05</v>
    <v>7.22</v>
    <v>Rua Hungria,1400, 2 andar, Jardim America, SAO PAULO, SAO PAULO, 01.455-000 BR</v>
    <v>Real Estate Operations</v>
    <v>EVEN3</v>
    <v>Ações</v>
    <v>EVEN CONSTRUTORA E INCORPORADORA S.A. (BVMF:EVEN3)</v>
    <v>7.0000000000000007E-2</v>
    <v>9.7900000000000001E-3</v>
    <v>370700</v>
  </rv>
  <rv s="2">
    <v>375</v>
  </rv>
  <rv s="0">
    <v>https://www.bing.com/financeapi/forcetrigger?t=apmsa2&amp;q=BVMF%3aITUB3&amp;form=skydnc</v>
    <v>Learn more on Bing</v>
  </rv>
  <rv s="8">
    <v>pt-BR</v>
    <v>apmsa2</v>
    <v>268435456</v>
    <v>1</v>
    <v>Da plataforma Refinitiv</v>
    <v>14</v>
    <v>15</v>
    <v>Itaú Unibanco Holding S.A. (BVMF:ITUB3)</v>
    <v>12</v>
    <v>16</v>
    <v>Finance</v>
    <v>5</v>
    <v>34.28</v>
    <v>22.4</v>
    <v>BVMF</v>
    <v>10784550000</v>
    <v>33.909999999999997</v>
    <v>1943</v>
    <v>33.47</v>
    <v>1.2503</v>
    <v>B3 - Brazil Stock Exchange</v>
    <v>385207300000</v>
    <v>O Itau Unibanco Holding SA, anteriormente Banco Frances e Brasileiro SA, é uma provedora brasileira de serviços e produtos bancários e não bancários diversificados. As atividades da Companhia estão divididas em três segmentos de negócios: Varejo, Negócios por Atacado e Atividades com o Mercado e Corporações. A oferta do segmento de Negócios de Varejo inclui empréstimos pessoais, cartões de crédito, empréstimos deduzidos da folha de pagamento, financiamento de veículos, empréstimos hipotecários, seguros, planos de pensões e produtos de obrigações premium. O segmento de Negócios por Atacado oferece serviços e produtos para clientes bancários privados, como gestão de ativos, soluções de mercado de capitais, atividades bancárias corporativas e de investimento. As atividades com o segmento de Negócios Mercado e Corporações gerenciam os rendimentos de juros associados ao superávit de capital da Companhia, superávit de dívida subordinado e saldo líquido de créditos fiscais e débitos. O Itau Unibanco Holding atende pessoas físicas e clientes corporativos.</v>
    <v>BVMF</v>
    <v>33.86</v>
    <v>100600</v>
    <v>45884.958333333336</v>
    <v>377</v>
    <v>26180200</v>
    <v>BRL</v>
    <v>Itaú Unibanco Holding S.A.</v>
    <v>Itaú Unibanco Holding S.A.</v>
    <v>33.799999999999997</v>
    <v>33.5</v>
    <v>Praca Alfredo Egydio de Souza Aranha, 100, T. Olavo Setubal, Piso Itau Unibanco, Parque Jabaquara, SAO PAULO, SAO PAULO, 04.344-902 BR</v>
    <v>Banking Services</v>
    <v>ITUB3</v>
    <v>Ações</v>
    <v>Itaú Unibanco Holding S.A. (BVMF:ITUB3)</v>
    <v>-0.36</v>
    <v>-1.0631999999999999E-2</v>
    <v>529800</v>
  </rv>
  <rv s="2">
    <v>378</v>
  </rv>
  <rv s="0">
    <v>https://www.bing.com/financeapi/forcetrigger?t=apninm&amp;q=BVMF%3aUCAS3&amp;form=skydnc</v>
    <v>Learn more on Bing</v>
  </rv>
  <rv s="8">
    <v>pt-BR</v>
    <v>apninm</v>
    <v>268435456</v>
    <v>1</v>
    <v>Da plataforma Refinitiv</v>
    <v>14</v>
    <v>15</v>
    <v>Unicasa Indústria de Móveis S/A (BVMF:UCAS3)</v>
    <v>12</v>
    <v>16</v>
    <v>Finance</v>
    <v>5</v>
    <v>2.2000000000000002</v>
    <v>1.33</v>
    <v>BVMF</v>
    <v>66086360</v>
    <v>1.42</v>
    <v>1985</v>
    <v>1.34</v>
    <v>0.42480000000000001</v>
    <v>B3 - Brazil Stock Exchange</v>
    <v>90538313</v>
    <v>A Unicasa Industria de Moveis S/A, antiga Unica Industria de Moveis Ltda, é uma fabricante brasileira de móveis personalizados. As operações da Companhia compreendem um segmento operacional: A produção, desenvolvimento e venda de móveis feitos sob medida em MDF ou aglomerado de média densidade (MDP). A linha de produção just-in-time da Unicasa é totalmente automatizada e personalizada para suas diferentes linhas de produtos. A empresa oferece uma ampla gama de soluções personalizadas de mobiliário para ambientes residenciais e comerciais, que incluem cozinhas, quartos, armários, home theaters, etc. lavanderias, banheiros e escritórios, entre outros. A Unicasa tem três marcas: Dell Anno, New e Casa Brasileira.</v>
    <v>BVMF</v>
    <v>1.35</v>
    <v>516</v>
    <v>45884.958391203705</v>
    <v>380</v>
    <v>24210</v>
    <v>BRL</v>
    <v>Unicasa Indústria de Móveis S/A</v>
    <v>Unicasa Indústria de Móveis S/A</v>
    <v>1.34</v>
    <v>1.37</v>
    <v>Rodovia Federal BR-470 Km 212,930, Sao Vendelino, BENTO GONCALVES, RIO GRANDE DO SUL, 95.707-540 BR</v>
    <v>Household Goods</v>
    <v>UCAS3</v>
    <v>Ações</v>
    <v>Unicasa Indústria de Móveis S/A (BVMF:UCAS3)</v>
    <v>0.02</v>
    <v>1.4815E-2</v>
    <v>18700</v>
  </rv>
  <rv s="2">
    <v>381</v>
  </rv>
  <rv s="0">
    <v>https://www.bing.com/financeapi/forcetrigger?t=apnjh7&amp;q=BVMF%3aUSIM5&amp;form=skydnc</v>
    <v>Learn more on Bing</v>
  </rv>
  <rv s="8">
    <v>pt-BR</v>
    <v>apnjh7</v>
    <v>268435456</v>
    <v>1</v>
    <v>Da plataforma Refinitiv</v>
    <v>14</v>
    <v>15</v>
    <v>Usinas Siderúrgicas de Minas Gerais S/A - USIMINAS (BVMF:USIM5)</v>
    <v>12</v>
    <v>16</v>
    <v>Finance</v>
    <v>5</v>
    <v>6.86</v>
    <v>3.9</v>
    <v>BVMF</v>
    <v>1253079000</v>
    <v>4.04</v>
    <v>1954</v>
    <v>3.96</v>
    <v>0.91479999999999995</v>
    <v>B3 - Brazil Stock Exchange</v>
    <v>5146581000</v>
    <v>As Usinas Siderúrgicas de Minas Gerais SA USIMINAS e suas subsidiárias, sociedades controladas em conjunto e coligadas têm por objeto a siderurgia e outras atividades relacionadas. As atividades da Companhia incluem extração de minério de ferro, transformação do aço, produção de bens de capital e logística. Atua em quatro segmentos: Siderurgia, Mineração e Logística, Transformação do Aço e Bens de Capital. Produz e comercializa diversos produtos e matérias-primas, como aços planos, minério de ferro, peças estampadas de aço para a indústria automotiva e produtos para a construção civil e a indústria de bens de capital. Presta serviços de transferência de tecnologia na atividade siderúrgica, na gestão de projetos e prestação de serviços na área da construção civil e indústria de bens de capital, transporte rodoviário de aços planos, galvanização a quente de aços, texturização e cilindros de cromo. Possui mais de duas usinas siderúrgicas no Brasil localizadas nas cidades de Ipatinga, Estado de Minas Gerais, e de Cubatão, Estado de São Paulo.</v>
    <v>BVMF</v>
    <v>4</v>
    <v>51182</v>
    <v>45884.958333333336</v>
    <v>383</v>
    <v>13754030</v>
    <v>BRL</v>
    <v>Usinas Siderúrgicas de Minas Gerais S/A - USIMINAS</v>
    <v>Usinas Siderúrgicas de Minas Gerais S/A - USIMINAS</v>
    <v>4.01</v>
    <v>4</v>
    <v>Avenida do Contorno, 6.594, Savassi, BELO HORIZONTE, MINAS GERAIS, 30.110-044 BR</v>
    <v>Metals &amp; Mining</v>
    <v>USIM5</v>
    <v>Ações</v>
    <v>Usinas Siderúrgicas de Minas Gerais S/A - USIMINAS (BVMF:USIM5)</v>
    <v>0</v>
    <v>0</v>
    <v>14568700</v>
  </rv>
  <rv s="2">
    <v>384</v>
  </rv>
  <rv s="0">
    <v>https://www.bing.com/financeapi/forcetrigger?t=bxf8h7&amp;q=BVMF%3aJALL3&amp;form=skydnc</v>
    <v>Learn more on Bing</v>
  </rv>
  <rv s="8">
    <v>pt-BR</v>
    <v>bxf8h7</v>
    <v>268435456</v>
    <v>1</v>
    <v>Da plataforma Refinitiv</v>
    <v>14</v>
    <v>15</v>
    <v>JALLES MACHADO S.A. (BVMF:JALL3)</v>
    <v>12</v>
    <v>16</v>
    <v>Finance</v>
    <v>5</v>
    <v>7.02</v>
    <v>2.82</v>
    <v>BVMF</v>
    <v>303541900</v>
    <v>2.9</v>
    <v>1980</v>
    <v>2.82</v>
    <v>0.38869999999999999</v>
    <v>B3 - Brazil Stock Exchange</v>
    <v>865094415</v>
    <v>A Jalles Machado SA é uma empresa sediada no Brasil que se dedica principalmente à produção de açúcar e etanol. As atividades da Empresa estão divididas em dois segmentos operacionais: Açúcar-Energia e Borracha Natural. O segmento Sucroenergético está focado na produção de açúcar orgânico, branco e de Very High Polarization (VHP); etanol anidro, hidratado e orgânico; e outros derivados do processamento da cana-de-açúcar, como produtos de limpeza e fermento seco. O segmento Sucroenergético inclui também a cogeração de energia elétrica, utilizando o bagaço da cana-de-açúcar como fonte de energia térmica, mecânica e elétrica. O segmento Borracha Natural consiste no cultivo da seringueira e na produção de látex e seus derivados. A Companhia comercializa açúcar e produtos de limpeza sob a marca Itaja.</v>
    <v>BVMF</v>
    <v>2.85</v>
    <v>5384</v>
    <v>45884.958391203705</v>
    <v>386</v>
    <v>1020640</v>
    <v>BRL</v>
    <v>JALLES MACHADO S.A.</v>
    <v>JALLES MACHADO S.A.</v>
    <v>2.89</v>
    <v>2.85</v>
    <v>Fazenda Sao Pedro - Rodovia GO-080 - Km 185, Zona Rural - Caixa Postal 04, GOIANESIA, GOIAS, 76.388-899 BR</v>
    <v>Food &amp; Tobacco</v>
    <v>JALL3</v>
    <v>Ações</v>
    <v>JALLES MACHADO S.A. (BVMF:JALL3)</v>
    <v>0</v>
    <v>0</v>
    <v>1194700</v>
  </rv>
  <rv s="2">
    <v>387</v>
  </rv>
  <rv s="0">
    <v>https://www.bing.com/financeapi/forcetrigger?t=apm3p2&amp;q=BVMF%3aBRAP4&amp;form=skydnc</v>
    <v>Learn more on Bing</v>
  </rv>
  <rv s="9">
    <v>pt-BR</v>
    <v>apm3p2</v>
    <v>268435456</v>
    <v>1</v>
    <v>Da plataforma Refinitiv</v>
    <v>17</v>
    <v>18</v>
    <v>Bradespar S.A (BVMF:BRAP4)</v>
    <v>12</v>
    <v>19</v>
    <v>Finance</v>
    <v>5</v>
    <v>18.52</v>
    <v>14.67</v>
    <v>BVMF</v>
    <v>393096600</v>
    <v>15.92</v>
    <v>2000</v>
    <v>15.71</v>
    <v>0.9214</v>
    <v>B3 - Brazil Stock Exchange</v>
    <v>6086527000</v>
    <v>A Bradespar S.A. é uma holding brasileira que atua sobretudo na indústria siderúrgica. A principal atividade da empresa é participar em outras empresas como sócia ou acionista. Através de sua subsidiária indireta VALE S.A., a empresa atua na extração de minério de ferro, manganês e ferroligas; produção de pelotas; fabricação de minerais não-ferrosos; produção de potassa, fosfato e nitrogênio; e serviços de logística. Além disso, através de sua subsidiária indireta CPFL ENERGIA S.A., a empresa atua na distribuição, geração e comercialização de energia elétrica no Brasil.</v>
    <v>BVMF</v>
    <v>15.81</v>
    <v>45884.958333333336</v>
    <v>389</v>
    <v>3821570</v>
    <v>BRL</v>
    <v>Bradespar S.A</v>
    <v>Bradespar S.A</v>
    <v>15.85</v>
    <v>15.82</v>
    <v>Avenida Paulista, 1.450,9 andar, Cerqueira Cesar, SAO PAULO, SAO PAULO, 01.310-917 BR</v>
    <v>Metals &amp; Mining</v>
    <v>BRAP4</v>
    <v>Ações</v>
    <v>Bradespar S.A (BVMF:BRAP4)</v>
    <v>0.01</v>
    <v>6.3250000000000003E-4</v>
    <v>2397000</v>
  </rv>
  <rv s="2">
    <v>390</v>
  </rv>
  <rv s="0">
    <v>https://www.bing.com/financeapi/forcetrigger?t=apmclh&amp;q=BVMF%3aCSMG3&amp;form=skydnc</v>
    <v>Learn more on Bing</v>
  </rv>
  <rv s="8">
    <v>pt-BR</v>
    <v>apmclh</v>
    <v>268435456</v>
    <v>1</v>
    <v>Da plataforma Refinitiv</v>
    <v>14</v>
    <v>15</v>
    <v>Companhia de Saneamento de Minas Gerais - COPASA MG (BVMF:CSMG3)</v>
    <v>12</v>
    <v>16</v>
    <v>Finance</v>
    <v>5</v>
    <v>29</v>
    <v>18.760000000000002</v>
    <v>BVMF</v>
    <v>380253100</v>
    <v>27.23</v>
    <v>1963</v>
    <v>26.65</v>
    <v>0.89080000000000004</v>
    <v>B3 - Brazil Stock Exchange</v>
    <v>10285850000</v>
    <v>A Companhia de Saneamento de Minas Gerais - COPASA MG, antiga Companhia Mineira de Água e Esgoto, Comag, é uma empresa estabelecida no Brasil, que atua no abastecimento de água e serviços de saneamento. As atividades da empresa dividem-se em três segmentos de negócios: serviços de água, de esgoto e venda de produtos. A divisão de serviços de água concentra-se na gestão do sistema de fornecimento de água e na distribuição de água por meio de centros de abastecimento no estado de Minas Gerais. A divisão de serviços de esgoto é responsável pela coleta, pelo tratamento e pelo descarte de água residual. A divisão de venda de produtos inclui a produção, o engarrafamento, a distribuição e a venda de água mineral. Além disso, a empresa fornece serviços de construção, benfeitorias e reparos em infraestruturas de concessionárias de água. Opera por meio de uma série de subsidiárias, como a Copasa Serviços de Saneamento Integrado do Norte e Nordeste de Minas Gerais S.A., Copasa Serviços de Irrigação S.A. e Copasa Águas Minerais de Minas S.A.</v>
    <v>BVMF</v>
    <v>27.05</v>
    <v>9993</v>
    <v>45884.958356481482</v>
    <v>392</v>
    <v>2834510</v>
    <v>BRL</v>
    <v>Companhia de Saneamento de Minas Gerais - COPASA MG</v>
    <v>Companhia de Saneamento de Minas Gerais - COPASA MG</v>
    <v>27.16</v>
    <v>26.73</v>
    <v>Rua Mar de Espanha, 525, Santo Antonio, BELO HORIZONTE, MINAS GERAIS, 30.270-130 BR</v>
    <v>Water Utilities</v>
    <v>CSMG3</v>
    <v>Ações</v>
    <v>Companhia de Saneamento de Minas Gerais - COPASA MG (BVMF:CSMG3)</v>
    <v>-0.32</v>
    <v>-1.183E-2</v>
    <v>2330600</v>
  </rv>
  <rv s="2">
    <v>393</v>
  </rv>
  <rv s="0">
    <v>https://www.bing.com/financeapi/forcetrigger?t=apn9fr&amp;q=BVMF%3aRENT3&amp;form=skydnc</v>
    <v>Learn more on Bing</v>
  </rv>
  <rv s="8">
    <v>pt-BR</v>
    <v>apn9fr</v>
    <v>268435456</v>
    <v>1</v>
    <v>Da plataforma Refinitiv</v>
    <v>14</v>
    <v>15</v>
    <v>LOCALIZA RENT A CAR S.A. (BVMF:RENT3)</v>
    <v>12</v>
    <v>16</v>
    <v>Finance</v>
    <v>5</v>
    <v>45.18</v>
    <v>26.04</v>
    <v>BVMF</v>
    <v>1082621000</v>
    <v>34.840000000000003</v>
    <v>1973</v>
    <v>33.89</v>
    <v>1.2023999999999999</v>
    <v>B3 - Brazil Stock Exchange</v>
    <v>37047290620</v>
    <v>A Localiza Rent a Car S.A é uma empresa brasileira que se dedica sobretudo ao aluguel de carros e frotas. A empresa divide seus negócios em três setores: divisão de Aluguel de automóveis, que é responsável pelo aluguel de automóveis através de suas próprias agências; divisão de Aluguel de frotas, que se dedica ao aluguel de veículos de frota para empresas por longos períodos; e a divisão de Franchising, que atua na administração e concessão de direitos de franquia para uso da marca da empresa, incluindo a transferência de conhecimentos necessários para a operação do negócio. Através de sua subsidiária Prime Prestadora de Serviços S.A., a empresa também atua na intermediação de vendas de veículos previamente usados em suas operações de aluguel. Em 31 de dezembro de 2011, a rede da empresa, incluindo franquias nacionais e estrangeiras, compreendia 449 filiais em 314 cidades no Brasil e 47 filiais em 27 cidades em sete outros países da América do Sul.</v>
    <v>BVMF</v>
    <v>34.4</v>
    <v>21755</v>
    <v>45884.958333333336</v>
    <v>395</v>
    <v>9944190</v>
    <v>BRL</v>
    <v>LOCALIZA RENT A CAR S.A.</v>
    <v>LOCALIZA RENT A CAR S.A.</v>
    <v>34.520000000000003</v>
    <v>34.22</v>
    <v>Avenida Bernardo de Vasconcelos,377, Cachoeirinha, BELO HORIZONTE, MINAS GERAIS, 31.150-000 BR</v>
    <v>Passenger Transportation Services</v>
    <v>RENT3</v>
    <v>Ações</v>
    <v>LOCALIZA RENT A CAR S.A. (BVMF:RENT3)</v>
    <v>-0.18</v>
    <v>-5.2329999999999998E-3</v>
    <v>9977200</v>
  </rv>
  <rv s="2">
    <v>396</v>
  </rv>
  <rv s="0">
    <v>https://www.bing.com/financeapi/forcetrigger?t=apn8dm&amp;q=BVMF%3aRAPT4&amp;form=skydnc</v>
    <v>Learn more on Bing</v>
  </rv>
  <rv s="8">
    <v>pt-BR</v>
    <v>apn8dm</v>
    <v>268435456</v>
    <v>1</v>
    <v>Da plataforma Refinitiv</v>
    <v>14</v>
    <v>15</v>
    <v>RANDONCORP S.A. (BVMF:RAPT4)</v>
    <v>12</v>
    <v>16</v>
    <v>Finance</v>
    <v>5</v>
    <v>11.51</v>
    <v>6.23</v>
    <v>BVMF</v>
    <v>355608600</v>
    <v>6.73</v>
    <v>1992</v>
    <v>6.53</v>
    <v>0.81879999999999997</v>
    <v>B3 - Brazil Stock Exchange</v>
    <v>2333061000</v>
    <v>RANDONCORP S.A., anteriormente denominada Randon S.A. Implementos e Participações, é uma empresa brasileira dedicada principalmente à fabricação de veículos pesados, vagões ferroviários e componentes automotivos. As operações da Empresa abrangem a produção e distribuição de uma ampla variedade de equipamentos de transporte, incluindo vagões do tipo hopper, gôndola, plataforma, tanque, sider e telescópico, além de veículos fora-de-estrada, carrocerias, reboques e semirreboques. A Empresa também fabrica e comercializa sistemas automotivos essenciais, como suspensões, freios e transmissões. Além das atividades industriais, a Randon administra grupos de consórcio para aquisição de bens duráveis e oferece serviços de financiamento aos seus clientes. A Empresa mantém presença internacional, exportando para mercados globais e operando uma rede de distribuição com alcance mundial.</v>
    <v>BVMF</v>
    <v>6.72</v>
    <v>6413</v>
    <v>45884.958333333336</v>
    <v>398</v>
    <v>3793500</v>
    <v>BRL</v>
    <v>RANDONCORP S.A.</v>
    <v>RANDONCORP S.A.</v>
    <v>6.7</v>
    <v>6.61</v>
    <v>Av. Abramo Randon, 770, Interlagos, CAXIAS DO SUL, RIO GRANDE DO SUL, 95.055-010 BR</v>
    <v>Automobiles &amp; Auto Parts</v>
    <v>RAPT4</v>
    <v>Ações</v>
    <v>RANDONCORP S.A. (BVMF:RAPT4)</v>
    <v>-0.11</v>
    <v>-1.6369000000000002E-2</v>
    <v>3123800</v>
  </rv>
  <rv s="2">
    <v>399</v>
  </rv>
  <rv s="0">
    <v>https://www.bing.com/financeapi/forcetrigger?t=apn8ar&amp;q=BVMF%3aRAPT3&amp;form=skydnc</v>
    <v>Learn more on Bing</v>
  </rv>
  <rv s="8">
    <v>pt-BR</v>
    <v>apn8ar</v>
    <v>268435456</v>
    <v>1</v>
    <v>Da plataforma Refinitiv</v>
    <v>14</v>
    <v>15</v>
    <v>RANDONCORP S.A. (BVMF:RAPT3)</v>
    <v>12</v>
    <v>16</v>
    <v>Finance</v>
    <v>5</v>
    <v>9.8800000000000008</v>
    <v>6.16</v>
    <v>BVMF</v>
    <v>355608600</v>
    <v>6.4</v>
    <v>1992</v>
    <v>6.23</v>
    <v>0.81879999999999997</v>
    <v>B3 - Brazil Stock Exchange</v>
    <v>2333061000</v>
    <v>RANDONCORP S.A., anteriormente denominada Randon S.A. Implementos e Participações, é uma empresa brasileira dedicada principalmente à fabricação de veículos pesados, vagões ferroviários e componentes automotivos. As operações da Empresa abrangem a produção e distribuição de uma ampla variedade de equipamentos de transporte, incluindo vagões do tipo hopper, gôndola, plataforma, tanque, sider e telescópico, além de veículos fora-de-estrada, carrocerias, reboques e semirreboques. A Empresa também fabrica e comercializa sistemas automotivos essenciais, como suspensões, freios e transmissões. Além das atividades industriais, a Randon administra grupos de consórcio para aquisição de bens duráveis e oferece serviços de financiamento aos seus clientes. A Empresa mantém presença internacional, exportando para mercados globais e operando uma rede de distribuição com alcance mundial.</v>
    <v>BVMF</v>
    <v>6.27</v>
    <v>6413</v>
    <v>45884.958333333336</v>
    <v>401</v>
    <v>3793500</v>
    <v>BRL</v>
    <v>RANDONCORP S.A.</v>
    <v>RANDONCORP S.A.</v>
    <v>6.27</v>
    <v>6.27</v>
    <v>Av. Abramo Randon, 770, Interlagos, CAXIAS DO SUL, RIO GRANDE DO SUL, 95.055-010 BR</v>
    <v>Automobiles &amp; Auto Parts</v>
    <v>RAPT3</v>
    <v>Ações</v>
    <v>RANDONCORP S.A. (BVMF:RAPT3)</v>
    <v>0</v>
    <v>0</v>
    <v>22300</v>
  </rv>
  <rv s="2">
    <v>402</v>
  </rv>
  <rv s="0">
    <v>https://www.bing.com/financeapi/forcetrigger?t=bxiaqh&amp;q=BVMF%3aMBLY3&amp;form=skydnc</v>
    <v>Learn more on Bing</v>
  </rv>
  <rv s="9">
    <v>pt-BR</v>
    <v>bxiaqh</v>
    <v>268435456</v>
    <v>1</v>
    <v>Da plataforma Refinitiv</v>
    <v>17</v>
    <v>18</v>
    <v>GRUPO TOKY S.A. (BVMF:TOKY3)</v>
    <v>12</v>
    <v>19</v>
    <v>Finance</v>
    <v>5</v>
    <v>3.16</v>
    <v>0.83</v>
    <v>BVMF</v>
    <v>122763400</v>
    <v>1.0900000000000001</v>
    <v>2018</v>
    <v>1</v>
    <v>1.3983000000000001</v>
    <v>B3 - Brazil Stock Exchange</v>
    <v>123991034</v>
    <v>Grupo Toky SA, anteriormente conhecido como Mobly SA, é uma empresa brasileira com atuação principal no setor de varejo de artigos para casa e decoração. A companhia concentra-se no varejo online e físico de móveis, itens de decoração e utilidades domésticas. O principal produto do Grupo Toky SA é uma plataforma de e-commerce, que funciona como uma solução digital de varejo baseada em nuvem. O portfólio da empresa inclui três marcas: Mobly, Tok&amp;Stok e Guldi. Os produtos oferecidos por essas marcas abrangem móveis para ambientes internos e externos, como sofás, camas, mesas de jantar, cadeiras, guarda-roupas, escrivaninhas, além de acessórios como utensílios de cozinha, louças, organizadores, vasos e cachepôs. As subsidiárias da empresa incluem Mobly Comércio Varejista Ltda, Mobly Hub Transportadora Ltda e Estok Comércio e Representações SA.</v>
    <v>BVMF</v>
    <v>1.06</v>
    <v>45884.958391203705</v>
    <v>404</v>
    <v>844050</v>
    <v>BRL</v>
    <v>GRUPO TOKY S.A.</v>
    <v>GRUPO TOKY S.A.</v>
    <v>1.08</v>
    <v>1.01</v>
    <v>Avenida das Nacoes Unidas, n 16.737, Mezanino sala 2, Varzea de Baixo, Sao Paulo, SAO PAULO, 04.730-090 BR</v>
    <v>Specialty Retailers</v>
    <v>TOKY3</v>
    <v>Ações</v>
    <v>GRUPO TOKY S.A. (BVMF:TOKY3)</v>
    <v>-0.05</v>
    <v>-4.7169999999999997E-2</v>
    <v>516000</v>
  </rv>
  <rv s="2">
    <v>405</v>
  </rv>
  <rv s="0">
    <v>https://www.bing.com/financeapi/forcetrigger?t=apmo1h&amp;q=BVMF%3aGOAU4&amp;form=skydnc</v>
    <v>Learn more on Bing</v>
  </rv>
  <rv s="8">
    <v>pt-BR</v>
    <v>apmo1h</v>
    <v>268435456</v>
    <v>1</v>
    <v>Da plataforma Refinitiv</v>
    <v>14</v>
    <v>15</v>
    <v>METALURGICA GERDAU S.A. (BVMF:GOAU4)</v>
    <v>12</v>
    <v>16</v>
    <v>Finance</v>
    <v>5</v>
    <v>11.7</v>
    <v>7.53</v>
    <v>BVMF</v>
    <v>993705800</v>
    <v>9.17</v>
    <v>1901</v>
    <v>8.99</v>
    <v>0.68500000000000005</v>
    <v>B3 - Brazil Stock Exchange</v>
    <v>9034818000</v>
    <v>A Metalúrgica Gerdau S.A., anteriormente Metalúrgica Hugo Gerdau S.A., é uma empresa brasileira que se dedica ao setor de produção de aço. A Empresa se concentra na fabricação de itens de aço longo e plano, essencialmente através do processo de fabricação em fornos elétricos, a partir de sucata de metal e ferro-gusa comprado, bem como na produção de aço a partir de minério de ferro em alto-forno e por redução direta. Suas atividades se dividem em quatro segmentos: Operações no Brasil, Operações na América do Norte, Operações na América Latina e Unidade de aço especial. Seus produtos são distribuídos em diversos setores, como da construção civil, agricultura e indústria automotiva, e a Empresa opera fábricas no Brasil, Argentina, Chile, Colômbia, México, Peru, Venezuela, Estados Unidos, Canadá, Espanha e Índia, entre outros.</v>
    <v>BVMF</v>
    <v>9.07</v>
    <v>30000</v>
    <v>45884.958333333336</v>
    <v>407</v>
    <v>7424690</v>
    <v>BRL</v>
    <v>METALURGICA GERDAU S.A.</v>
    <v>METALURGICA GERDAU S.A.</v>
    <v>9.1</v>
    <v>9.09</v>
    <v>Avenida Doutora Ruth Cardoso, 8.501,8 andar, Pinheiros, SAO PAULO, SAO PAULO, 05.425-070 BR</v>
    <v>Metals &amp; Mining</v>
    <v>GOAU4</v>
    <v>Ações</v>
    <v>METALURGICA GERDAU S.A. (BVMF:GOAU4)</v>
    <v>0.02</v>
    <v>2.2049999999999999E-3</v>
    <v>4585500</v>
  </rv>
  <rv s="2">
    <v>408</v>
  </rv>
  <rv s="4">
    <v>12</v>
    <v>Beta</v>
    <v>0</v>
  </rv>
  <rv s="0">
    <v>https://www.bing.com/financeapi/forcetrigger?t=apmfar&amp;q=BVMF%3aDOHL4&amp;form=skydnc</v>
    <v>Learn more on Bing</v>
  </rv>
  <rv s="15">
    <v>pt-BR</v>
    <v>apmfar</v>
    <v>268435456</v>
    <v>1</v>
    <v>Da plataforma Refinitiv</v>
    <v>32</v>
    <v>33</v>
    <v>DOHLER S.A. (BVMF:DOHL4)</v>
    <v>12</v>
    <v>34</v>
    <v>Finance</v>
    <v>5</v>
    <v>4.3899999999999997</v>
    <v>3.49</v>
    <v>BVMF</v>
    <v>75645290</v>
    <v>4</v>
    <v>1944</v>
    <v>4</v>
    <v>B3 - Brazil Stock Exchange</v>
    <v>437268300</v>
    <v>A Döhler S/A., anteriormente Döhler S/A. Comércio e Indústria, é uma empresa brasileira que atua na indústria têxtil. A Empresa atua na fabricação e comercialização de algodão, tecidos artificiais, sintéticos ou mistos para uso doméstico ou industrial. O portfólio de produtos da Empresa inclui diversos produtos têxteis para o lar, como roupa de cama, louça, utensílios de cozinha, toalhas, roupões, cortinas e tapetes de banho, além de produtos para fins industriais: tecidos para persianas, colchões e impressão digital. Além disso, através do segmento Linhas de serviço, a Empresa oferece produtos têxteis para segmentos profissionais: hotéis, motéis, hospitais e clínicas. Em 31 de dezembro de 2011, as subsidiárias da Empresa eram a Comfio Companhia Catarinense de Fiação e a Dohler USA Inc.</v>
    <v>BVMF</v>
    <v>3.93</v>
    <v>3000</v>
    <v>45884.809375370314</v>
    <v>411</v>
    <v>BRL</v>
    <v>DOHLER S.A.</v>
    <v>DOHLER S.A.</v>
    <v>4</v>
    <v>4</v>
    <v>Rua Arno Waldemar Dohler, 145, Zona Indl. Norte, JOINVILLE, SANTA CATARINA, 89.219-902 BR</v>
    <v>Textiles &amp; Apparel</v>
    <v>DOHL4</v>
    <v>Ações</v>
    <v>DOHLER S.A. (BVMF:DOHL4)</v>
    <v>7.0000000000000007E-2</v>
    <v>1.7811999999999998E-2</v>
    <v>100</v>
  </rv>
  <rv s="2">
    <v>412</v>
  </rv>
  <rv s="0">
    <v>https://www.bing.com/financeapi/forcetrigger?t=apm3ur&amp;q=BVMF%3aBRFS3&amp;form=skydnc</v>
    <v>Learn more on Bing</v>
  </rv>
  <rv s="8">
    <v>pt-BR</v>
    <v>apm3ur</v>
    <v>268435456</v>
    <v>1</v>
    <v>Da plataforma Refinitiv</v>
    <v>14</v>
    <v>15</v>
    <v>BRF S.A. (BVMF:BRFS3)</v>
    <v>12</v>
    <v>16</v>
    <v>Finance</v>
    <v>5</v>
    <v>28.87</v>
    <v>17.309999999999999</v>
    <v>BVMF</v>
    <v>1682473000</v>
    <v>20.190000000000001</v>
    <v>1934</v>
    <v>18.68</v>
    <v>1.548</v>
    <v>B3 - Brazil Stock Exchange</v>
    <v>33531686890</v>
    <v>A BRF S.A. é uma empresa multinacional brasileira que possui um portfólio diversificado de produtos e é um produtor de alimentos. Os segmentos da Companhia incluem Brasil, América Latina (LATAM), Médio Oriente e Norte da África (MENA), África e Outros Segmentos. Esses segmentos incluem vendas de todos os canais de distribuição e operações subdivididas em aves, suínos e outras, processadas e outras vendas. As operações avícolas incluem a produção e venda de cortes integrais e ao natural de aves. A carne suína e outras operações envolvem a produção e a venda de cortes naturais. As operações processadas incluem a produção e venda de alimentos processados, produtos congelados e processados derivados de produtos de aves, carne suína e bovina, margarina, produtos vegetais e à base de soja. As outras operações de vendas incluem a comercialização de farinha para serviço de alimentação e outras. Outros segmentos incluem a venda de cortes naturais de carne bovina, produtos agrícolas e ração animal.</v>
    <v>BVMF</v>
    <v>18.87</v>
    <v>100000</v>
    <v>45884.958333333336</v>
    <v>414</v>
    <v>5082470</v>
    <v>BRL</v>
    <v>BRF S.A.</v>
    <v>BRF S.A.</v>
    <v>19.02</v>
    <v>19.93</v>
    <v>Av. Jorge Tzachel, 475, Fazenda, ITAJAI, SANTA CATARINA, 88.301-600 BR</v>
    <v>Food &amp; Tobacco</v>
    <v>BRFS3</v>
    <v>Ações</v>
    <v>BRF S.A. (BVMF:BRFS3)</v>
    <v>1.06</v>
    <v>5.6174000000000002E-2</v>
    <v>9007500</v>
  </rv>
  <rv s="2">
    <v>415</v>
  </rv>
  <rv s="0">
    <v>https://www.bing.com/financeapi/forcetrigger?t=bxmpim&amp;q=BVMF%3aINTB3&amp;form=skydnc</v>
    <v>Learn more on Bing</v>
  </rv>
  <rv s="9">
    <v>pt-BR</v>
    <v>bxmpim</v>
    <v>268435456</v>
    <v>1</v>
    <v>Da plataforma Refinitiv</v>
    <v>17</v>
    <v>18</v>
    <v>Intelbras S.A. Indústria de Telecomunicação Eletrônica Brasileira (BVMF:INTB3)</v>
    <v>12</v>
    <v>19</v>
    <v>Finance</v>
    <v>5</v>
    <v>22.5</v>
    <v>11.09</v>
    <v>BVMF</v>
    <v>327611100</v>
    <v>12.68</v>
    <v>1974</v>
    <v>12.44</v>
    <v>1.2481</v>
    <v>B3 - Brazil Stock Exchange</v>
    <v>4101690972</v>
    <v>A Intelbras SA Indústria de Telecomunicação Eletrônica Brasileira é uma empresa brasileira que atua na fabricação, desenvolvimento e comercialização de equipamentos eletrônicos. As atividades da Empresa estão divididas em três segmentos operacionais: Segurança, Comunicação e Energia. O segmento de Segurança está focado na segurança eletrônica, como equipamentos de videovigilância analógica (CFTV), videovigilância por protocolo de Internet (CCTV IP), controle de acesso e alarmes e sensores contra invasão e incêndio. O segmento de Comunicação é dedicado à comunicação de voz, imagem e dados, bem como à infraestrutura de rede. O segmento de Energia atua no fornecimento de energia para equipamentos eletroeletrônicos e consumidores, além de dispositivos de economia de energia e nobreak para residências, empresas e edifícios. A Companhia vende seus produtos principalmente no Brasil e também os exporta para outros países das Américas do Sul e Central, Angola, Moçambique e Egito.</v>
    <v>BVMF</v>
    <v>12.59</v>
    <v>45884.958391203705</v>
    <v>417</v>
    <v>2024460</v>
    <v>BRL</v>
    <v>Intelbras S.A. Indústria de Telecomunicação Eletrônica Brasileira</v>
    <v>Intelbras S.A. Indústria de Telecomunicação Eletrônica Brasileira</v>
    <v>12.68</v>
    <v>12.52</v>
    <v>Rodovia BR 101 Km 210, Area Industrial, SAO JOSE, SANTA CATARINA, 88.104-800 BR</v>
    <v>Communications &amp; Networking</v>
    <v>INTB3</v>
    <v>Ações</v>
    <v>Intelbras S.A. Indústria de Telecomunicação Eletrônica Brasileira (BVMF:INTB3)</v>
    <v>-7.0000000000000007E-2</v>
    <v>-5.5600000000000007E-3</v>
    <v>1678400</v>
  </rv>
  <rv s="2">
    <v>418</v>
  </rv>
  <rv s="0">
    <v>https://www.bing.com/financeapi/forcetrigger?t=c2ry1h&amp;q=BVMF%3aCBAV3&amp;form=skydnc</v>
    <v>Learn more on Bing</v>
  </rv>
  <rv s="8">
    <v>pt-BR</v>
    <v>c2ry1h</v>
    <v>268435456</v>
    <v>1</v>
    <v>Da plataforma Refinitiv</v>
    <v>14</v>
    <v>15</v>
    <v>Companhia Brasileira de Alumínio (BVMF:CBAV3)</v>
    <v>12</v>
    <v>16</v>
    <v>Finance</v>
    <v>5</v>
    <v>6.69</v>
    <v>2.99</v>
    <v>BVMF</v>
    <v>651072700</v>
    <v>3.12</v>
    <v>1941</v>
    <v>3.01</v>
    <v>0.90939999999999999</v>
    <v>B3 - Brazil Stock Exchange</v>
    <v>2011814643</v>
    <v>A Companhia Brasileira de Aluminio é uma produtora brasileira de alumínio de baixo carbono que é utilizada em diversas indústrias. As operações da Companhia compreendem toda a cadeia de valor do alumínio: Desde as minas onde a bauxita é extraída, passando pelas refinarias onde a bauxita é processada em óxido de alumínio e fundições onde o alumínio fundido é produzido, até as instalações onde o alumínio é feito em uma gama de produtos primários (lingotes, lajes, tarugos e hastes) e produtos semifabricados (rolos de rodízio, folha, folha, folha, folha, folha, perfis extrudados, peças e componentes). O portfólio da Companhia Brasileira de Aluminio inclui produtos primários, produtos semi-fabricados, além de passaportes digitais. As subsidiárias da Companhia incluem a CBA Machadinho Geracao de Energia Ltda, Alux do Brasil Industria e Comercio Ltda, Santa Cruz Geracao de Energia SA e a CBA Itapissuma Ltda.</v>
    <v>BVMF</v>
    <v>3.04</v>
    <v>5811</v>
    <v>45884.958391203705</v>
    <v>420</v>
    <v>11015560</v>
    <v>BRL</v>
    <v>Companhia Brasileira de Alumínio</v>
    <v>Companhia Brasileira de Alumínio</v>
    <v>3.06</v>
    <v>3.09</v>
    <v>Av. Luis Carlos Berrini, 105, 14 andar, Cidade Moncoes, SAO PAULO, SAO PAULO, 04.571-900 BR</v>
    <v>Metals &amp; Mining</v>
    <v>CBAV3</v>
    <v>Ações</v>
    <v>Companhia Brasileira de Alumínio (BVMF:CBAV3)</v>
    <v>0.05</v>
    <v>1.6447E-2</v>
    <v>6389600</v>
  </rv>
  <rv s="2">
    <v>421</v>
  </rv>
  <rv s="0">
    <v>https://www.bing.com/financeapi/forcetrigger?t=apmtz2&amp;q=BVMF%3aKLBN3&amp;form=skydnc</v>
    <v>Learn more on Bing</v>
  </rv>
  <rv s="8">
    <v>pt-BR</v>
    <v>apmtz2</v>
    <v>268435456</v>
    <v>1</v>
    <v>Da plataforma Refinitiv</v>
    <v>14</v>
    <v>15</v>
    <v>KLABIN S.A. (BVMF:KLBN3)</v>
    <v>12</v>
    <v>16</v>
    <v>Finance</v>
    <v>5</v>
    <v>4.8600000000000003</v>
    <v>3.51</v>
    <v>BVMF</v>
    <v>1235936000</v>
    <v>3.76</v>
    <v>1978</v>
    <v>3.67</v>
    <v>0.41370000000000001</v>
    <v>B3 - Brazil Stock Exchange</v>
    <v>22629240000</v>
    <v>A KLABIN S.A., junto com suas subsidiárias, atua em segmentos da indústria atendendo mercados nacionais e estrangeiros, fornecendo madeira, papel para embalagens, sacos de papel e caixas de papelão ondulado. Os segmentos operacionais da Empresa incluem os segmentos Florestal, Papel, Conversão e Celulose. O segmento Florestal envolve operações de plantio e cultivo de pinus e eucaliptos para abastecimento de fábricas de papel da Empresa. O segmento Florestal envolve também a venda de madeira (toras) a terceiros no mercado interno. O segmento de Papel envolve principalmente a produção e venda de papelão, papel para embalagem e rolos de papel reciclado nos mercados interno e externo. O segmento de Conversão envolve a produção e venda de caixas de papelão ondulado, cartão ondulado e sacos industriais nos mercados interno e externo. O segmento de Celulose envolve a operação do Projeto Puma.</v>
    <v>BVMF</v>
    <v>3.75</v>
    <v>14207</v>
    <v>45884.958333333336</v>
    <v>423</v>
    <v>2169260</v>
    <v>BRL</v>
    <v>KLABIN S.A.</v>
    <v>KLABIN S.A.</v>
    <v>3.75</v>
    <v>3.68</v>
    <v>Avenida Brigadeiro Faria Lima, 3600, 3, 4 E 5 Andares, Itaim Bibi, SAO PAULO, SAO PAULO, 04.538-132 BR</v>
    <v>Containers &amp; Packaging</v>
    <v>KLBN3</v>
    <v>Ações</v>
    <v>KLABIN S.A. (BVMF:KLBN3)</v>
    <v>-7.0000000000000007E-2</v>
    <v>-1.8667E-2</v>
    <v>241300</v>
  </rv>
  <rv s="2">
    <v>424</v>
  </rv>
  <rv s="0">
    <v>https://www.bing.com/financeapi/forcetrigger?t=bwaq4c&amp;q=BVMF%3aGMAT3&amp;form=skydnc</v>
    <v>Learn more on Bing</v>
  </rv>
  <rv s="8">
    <v>pt-BR</v>
    <v>bwaq4c</v>
    <v>268435456</v>
    <v>1</v>
    <v>Da plataforma Refinitiv</v>
    <v>14</v>
    <v>15</v>
    <v>GRUPO MATEUS S.A. (BVMF:GMAT3)</v>
    <v>12</v>
    <v>16</v>
    <v>Finance</v>
    <v>5</v>
    <v>8.3800000000000008</v>
    <v>5.75</v>
    <v>BVMF</v>
    <v>2248470000</v>
    <v>7.04</v>
    <v>2016</v>
    <v>6.9</v>
    <v>1.3038000000000001</v>
    <v>B3 - Brazil Stock Exchange</v>
    <v>15829228800</v>
    <v>O Grupo Mateus SA é uma empresa com sede no Brasil que atua no setor de distribuição de alimentos. As atividades da Companhia estão divididas em duas linhas de negócios: Atacado e Varejo. A área de Atacado concentra-se em lojas de autoatendimento e estabelecimentos delivery, sob as marcas Mix Atacarejo e Armazem Mateus, para clientes de atacado. O segmento de Varejo opera supermercados com as marcas Mateus Supermercados e Hiper Mateus, lojas de conveniência com a marca Camino, lojas de eletrodomésticos e móveis com a marca Eletro Mateus, além de plataformas de e-commerce: Mateus Online, Canto do Chef e Supermercado do Futuro. A Companhia também oferece serviços financeiros, como soluções de crédito ao consumidor, por meio dos cartões MateusCard e Crednosso.</v>
    <v>BVMF</v>
    <v>7.04</v>
    <v>29668</v>
    <v>45884.958356481482</v>
    <v>426</v>
    <v>4950950</v>
    <v>BRL</v>
    <v>GRUPO MATEUS S.A.</v>
    <v>GRUPO MATEUS S.A.</v>
    <v>7</v>
    <v>7.04</v>
    <v>Av. Daniel de la Touche, 73A, Cohama, SAO LUIS, MARANHAO, 65.074-115 BR</v>
    <v>Food &amp; Drug Retailing</v>
    <v>GMAT3</v>
    <v>Ações</v>
    <v>GRUPO MATEUS S.A. (BVMF:GMAT3)</v>
    <v>0</v>
    <v>0</v>
    <v>4863800</v>
  </rv>
  <rv s="2">
    <v>427</v>
  </rv>
  <rv s="0">
    <v>https://www.bing.com/financeapi/forcetrigger?t=apngxm&amp;q=BVMF%3aTIMS3&amp;form=skydnc</v>
    <v>Learn more on Bing</v>
  </rv>
  <rv s="8">
    <v>pt-BR</v>
    <v>apngxm</v>
    <v>268435456</v>
    <v>1</v>
    <v>Da plataforma Refinitiv</v>
    <v>14</v>
    <v>15</v>
    <v>TIM S.A. (BVMF:TIMS3)</v>
    <v>12</v>
    <v>16</v>
    <v>Finance</v>
    <v>5</v>
    <v>22.95</v>
    <v>12.73</v>
    <v>BVMF</v>
    <v>2420804000</v>
    <v>22.34</v>
    <v>1998</v>
    <v>22.07</v>
    <v>0.67200000000000004</v>
    <v>B3 - Brazil Stock Exchange</v>
    <v>53983929200</v>
    <v>A Tim SA, anteriormente conhecida como Intelig Telecomunicacoes Ltda, é uma empresa de telecomunicações com sede no Brasil. A empresa oferece serviços móveis de voz e dados, acesso à Internet de banda larga, serviços de valor agregado e outros serviços e produtos de telecomunicações. A empresa oferece um portfólio completo para indivíduos e soluções corporativas para pequenas, médias e grandes empresas. Além dos serviços tradicionais de voz e dados, a empresa oferece um serviço de banda larga de linha fixa, TIM Live, tecnologia WTTx através do serviço Ultrafibra e soluções de IoT. A empresa também oferece uma variedade de conteúdo digital e serviços em seu portfólio de pacotes. A Companhia é controlada pela Tim Brasil Servicos e Participações SA.</v>
    <v>BVMF</v>
    <v>22.24</v>
    <v>9127</v>
    <v>45884.958356481482</v>
    <v>429</v>
    <v>5107850</v>
    <v>BRL</v>
    <v>TIM S.A.</v>
    <v>TIM S.A.</v>
    <v>22.07</v>
    <v>22.3</v>
    <v>Av Joao Cabral De Mello Neto 00850 Blc 001 Salas 0501 A 1208, Barra Da Tijuca, RIO DE JANEIRO, RIO DE JANEIRO, 22.775-057 BR</v>
    <v>Telecommunications Services</v>
    <v>TIMS3</v>
    <v>Ações</v>
    <v>TIM S.A. (BVMF:TIMS3)</v>
    <v>0.06</v>
    <v>2.6979999999999999E-3</v>
    <v>3656200</v>
  </rv>
  <rv s="2">
    <v>430</v>
  </rv>
  <rv s="0">
    <v>https://www.bing.com/financeapi/forcetrigger?t=apm352&amp;q=BVMF%3aBPAC3&amp;form=skydnc</v>
    <v>Learn more on Bing</v>
  </rv>
  <rv s="8">
    <v>pt-BR</v>
    <v>apm352</v>
    <v>268435456</v>
    <v>1</v>
    <v>Da plataforma Refinitiv</v>
    <v>14</v>
    <v>15</v>
    <v>Banco BTG Pactual S.A. (BVMF:BPAC3)</v>
    <v>12</v>
    <v>16</v>
    <v>Finance</v>
    <v>5</v>
    <v>25.3</v>
    <v>13.04</v>
    <v>BVMF</v>
    <v>10108690000</v>
    <v>25.3</v>
    <v>1979</v>
    <v>24.22</v>
    <v>1.3865000000000001</v>
    <v>B3 - Brazil Stock Exchange</v>
    <v>206375000000</v>
    <v>O Banco BTG Pactual SA é um banco com sede no Brasil que atua principalmente nas atividades de banco de investimento e gestão de investimentos. Juntamente com suas subsidiárias, o Banco oferece uma gama de serviços financeiros, incluindo banco de investimento, empréstimos corporativos, serviços de corretagem e compensação, gerenciamento de ativos, gerenciamento de patrimônio, serviços bancários comerciais e de consumo, banco comercial e investimentos imobiliários. Por meio da plataforma BTG Pactual digital, o Banco facilita investimentos de varejo on-line. Também fornece serviços de seguro e resseguro de bens e acidentes. O banco possui várias subsidiárias no Brasil e no exterior, com presença em muitos países da América Latina, Estados Unidos, Reino Unido, Luxemburgo e Hong Kong.</v>
    <v>BVMF</v>
    <v>24.55</v>
    <v>4900</v>
    <v>45884.958333333336</v>
    <v>432</v>
    <v>11213410</v>
    <v>BRL</v>
    <v>Banco BTG Pactual S.A.</v>
    <v>Banco BTG Pactual S.A.</v>
    <v>24.37</v>
    <v>24.25</v>
    <v>Praia de Botafogo, 501, 5 e 6 andares, Botafogo, RIO DE JANEIRO, RIO DE JANEIRO, 22.250-040 BR</v>
    <v>Investment Banking &amp; Investment Services</v>
    <v>BPAC3</v>
    <v>Ações</v>
    <v>Banco BTG Pactual S.A. (BVMF:BPAC3)</v>
    <v>-0.3</v>
    <v>-1.222E-2</v>
    <v>1500</v>
  </rv>
  <rv s="2">
    <v>433</v>
  </rv>
  <rv s="0">
    <v>https://www.bing.com/financeapi/forcetrigger?t=bsfxec&amp;q=BVMF%3aVIVA3&amp;form=skydnc</v>
    <v>Learn more on Bing</v>
  </rv>
  <rv s="8">
    <v>pt-BR</v>
    <v>bsfxec</v>
    <v>268435456</v>
    <v>1</v>
    <v>Da plataforma Refinitiv</v>
    <v>14</v>
    <v>15</v>
    <v>Vivara Participações S.A. (BVMF:VIVA3)</v>
    <v>12</v>
    <v>16</v>
    <v>Finance</v>
    <v>5</v>
    <v>28.95</v>
    <v>15.76</v>
    <v>BVMF</v>
    <v>236197800</v>
    <v>27.4</v>
    <v>2019</v>
    <v>26.47</v>
    <v>1.4513</v>
    <v>B3 - Brazil Stock Exchange</v>
    <v>6431666094</v>
    <v>A Vivara Participações SA é uma holding sediada no Brasil que atua em vários estados do Brasil, através de inúmeras subsidiárias. No entanto, as operações da Companhia são centralizadas principalmente no estado de São Paulo. A empresa desenvolveu um portfólio de marcas, incluindo Vivara, Life by Vivara, Vivara Watches, Vivara Fragrâncias, Vivara, Vivara, e Vivara Acessórios. Essas marcas se concentram em produtos como joias de ouro, joias de prata, relógios e acessórios. A empresa possui um modelo de negócios verticalmente integrado, desde a criação e design até a produção, estratégia de marketing, distribuição (omni-channel) e marketing. A Companhia possui um segmento operacional chamado varejo, composto por vendas de produtos através de suas lojas físicas e plataformas online.</v>
    <v>BVMF</v>
    <v>26.8</v>
    <v>6216</v>
    <v>45884.958356481482</v>
    <v>435</v>
    <v>3603200</v>
    <v>BRL</v>
    <v>Vivara Participações S.A.</v>
    <v>Vivara Participações S.A.</v>
    <v>26.8</v>
    <v>27.23</v>
    <v>Rua Arquiteto Olavo Redig de Campos, 105 -15 andar, Chacara Santo Antonio, Sao Paulo, SAO PAULO, 04.709-000 BR</v>
    <v>Specialty Retailers</v>
    <v>VIVA3</v>
    <v>Ações</v>
    <v>Vivara Participações S.A. (BVMF:VIVA3)</v>
    <v>0.43</v>
    <v>1.6045E-2</v>
    <v>2374100</v>
  </rv>
  <rv s="2">
    <v>436</v>
  </rv>
  <rv s="0">
    <v>https://www.bing.com/financeapi/forcetrigger?t=boezz2&amp;q=BVMF%3aLOGG3&amp;form=skydnc</v>
    <v>Learn more on Bing</v>
  </rv>
  <rv s="14">
    <v>pt-BR</v>
    <v>boezz2</v>
    <v>268435456</v>
    <v>1</v>
    <v>Da plataforma Refinitiv</v>
    <v>29</v>
    <v>30</v>
    <v>Log Commercial Properties e Participações S/A (BVMF:LOGG3)</v>
    <v>12</v>
    <v>31</v>
    <v>Finance</v>
    <v>5</v>
    <v>22.4</v>
    <v>15.64</v>
    <v>BVMF</v>
    <v>87859150</v>
    <v>20.8</v>
    <v>20.3</v>
    <v>1.1074999999999999</v>
    <v>B3 - Brazil Stock Exchange</v>
    <v>1810777081</v>
    <v>A Log Commercial Properties e Participações SA é uma empresa sediada no Brasil, que atua no desenvolvimento, construção e locação de propriedades comerciais, tais como objetos do setor de logística, construção residencial, objetos industriais e comerciais entre outros. A Companhia atua no Brasil e no exterior em várias cidades, incluindo: Rio de Janeiro, São Paulo, Goiás, Bahia, Ceará e Paraná, entre outras, além de possuir um portfólio de mais de 1,5 milhão de m2, com operações projetadas em todo o território nacional.</v>
    <v>BVMF</v>
    <v>20.74</v>
    <v>45884.958391203705</v>
    <v>438</v>
    <v>342750</v>
    <v>BRL</v>
    <v>Log Commercial Properties e Participações S/A</v>
    <v>Log Commercial Properties e Participações S/A</v>
    <v>20.7</v>
    <v>20.61</v>
    <v>Av. Professor Mario Werneck, n 621, 10 andar, BH/MG, Conjunto 02, Estoril, BELO HORIZONTE, MINAS GERAIS, 30.455-610 BR</v>
    <v>Real Estate Operations</v>
    <v>LOGG3</v>
    <v>Ações</v>
    <v>Log Commercial Properties e Participações S/A (BVMF:LOGG3)</v>
    <v>-0.13</v>
    <v>-6.2680000000000001E-3</v>
    <v>184700</v>
  </rv>
  <rv s="2">
    <v>439</v>
  </rv>
  <rv s="0">
    <v>https://www.bing.com/financeapi/forcetrigger?t=apn7pr&amp;q=BVMF%3aQUAL3&amp;form=skydnc</v>
    <v>Learn more on Bing</v>
  </rv>
  <rv s="8">
    <v>pt-BR</v>
    <v>apn7pr</v>
    <v>268435456</v>
    <v>1</v>
    <v>Da plataforma Refinitiv</v>
    <v>14</v>
    <v>15</v>
    <v>QUALICORP CONSULTORIA E CORRETORA DE SEGUROS S.A. (BVMF:QUAL3)</v>
    <v>12</v>
    <v>16</v>
    <v>Finance</v>
    <v>5</v>
    <v>2.74</v>
    <v>1.45</v>
    <v>BVMF</v>
    <v>284014300</v>
    <v>1.84</v>
    <v>2010</v>
    <v>1.74</v>
    <v>1.4846999999999999</v>
    <v>B3 - Brazil Stock Exchange</v>
    <v>519746169</v>
    <v>A Qualicorp Consultoria e Corretora de Seguros SA, anteriormente Qualicorp SA, é uma empresa sediada no Brasil que atua principalmente no setor de seguros de saúde. A Companhia se concentra na administração e gerenciamento de planos de saúde, incluindo saúde em grupo e seguro odontológico. Suas atividades estão divididas em duas áreas: Afinidade e Corporativa. A divisão Affinity oferece serviços intermediários entre provedores e instituições de seguros, além de serviços administrativos adicionais, como monitoramento dos serviços médicos utilizados e faturamento mensal. A divisão Corporativa fornece consultoria de seguros, corretagem, gerenciamento de benefícios terceirizados, conectividade e risco para empresas nacionais e internacionais, além de órgãos governamentais. A Companhia opera através de várias subsidiárias, como a Qualicorp Corretora de Seguros SA, a Qualicorp Administradora de Benefícios SA e a Gama Saude Ltda.</v>
    <v>BVMF</v>
    <v>1.75</v>
    <v>1558</v>
    <v>45884.958391203705</v>
    <v>441</v>
    <v>2054540</v>
    <v>BRL</v>
    <v>QUALICORP CONSULTORIA E CORRETORA DE SEGUROS S.A.</v>
    <v>QUALICORP CONSULTORIA E CORRETORA DE SEGUROS S.A.</v>
    <v>1.74</v>
    <v>1.83</v>
    <v>Avenida Paulista, 4753 andar - parte, Bela Vista, SAO PAULO, SAO PAULO, 01.311-000 BR</v>
    <v>Insurance</v>
    <v>QUAL3</v>
    <v>Ações</v>
    <v>QUALICORP CONSULTORIA E CORRETORA DE SEGUROS S.A. (BVMF:QUAL3)</v>
    <v>0.08</v>
    <v>4.5713999999999998E-2</v>
    <v>2554100</v>
  </rv>
  <rv s="2">
    <v>442</v>
  </rv>
  <rv s="0">
    <v>https://www.bing.com/financeapi/forcetrigger?t=apn54c&amp;q=BVMF%3aPNVL3&amp;form=skydnc</v>
    <v>Learn more on Bing</v>
  </rv>
  <rv s="8">
    <v>pt-BR</v>
    <v>apn54c</v>
    <v>268435456</v>
    <v>1</v>
    <v>Da plataforma Refinitiv</v>
    <v>14</v>
    <v>15</v>
    <v>DIMED S.A. DISTRIBUIDORA DE MEDICAMENTOS (BVMF:PNVL3)</v>
    <v>12</v>
    <v>16</v>
    <v>Finance</v>
    <v>5</v>
    <v>10.76</v>
    <v>7.68</v>
    <v>BVMF</v>
    <v>150377500</v>
    <v>10.220000000000001</v>
    <v>1920</v>
    <v>9.8000000000000007</v>
    <v>1.1901999999999999</v>
    <v>B3 - Brazil Stock Exchange</v>
    <v>1502271225</v>
    <v>A DIMED S.A. DISTRIBUIDORA DE MEDICAMENTOS, anteriormente Panvel S.A. Drogarias e Farmácias, é uma empresa brasileira que se dedica essencialmente à venda de medicamentos. A Empresa, juntamente com suas subsidiárias, vende, distribui, importa, exporta e produz uma variedade de produtos, incluindo medicamentos, perfumes, cosméticos, dermocosméticos, produtos de cuidados pessoais, suplementos dietéticos e acessórios de fisioterapia, ortopédicos e de fitness. A Empresa organiza seus negócios em dois segmentos principais: Medicamentos e Perfumaria. A Empresa fornece distribuição no varejo e atacado. Em 31 de dezembro de 2011, a Empresa possuía centros de distribuição nos estados brasileiros do Rio Grande do Sul, Santa Catarina, Paraná, Goiás e Espírito Santo, além de 284 lojas nos estados do Rio Grande do Sul, Santa Catarina e Paraná.</v>
    <v>BVMF</v>
    <v>10.130000000000001</v>
    <v>10698</v>
    <v>45884.958333333336</v>
    <v>444</v>
    <v>359290</v>
    <v>BRL</v>
    <v>DIMED S.A. DISTRIBUIDORA DE MEDICAMENTOS</v>
    <v>DIMED S.A. DISTRIBUIDORA DE MEDICAMENTOS</v>
    <v>10.11</v>
    <v>9.99</v>
    <v>Avenida Industrial Belgraff, 865, Predio 100, Industrial, ELDORADO DO SUL, RIO GRANDE DO SUL, 92.990-000 BR</v>
    <v>Food &amp; Drug Retailing</v>
    <v>PNVL3</v>
    <v>Ações</v>
    <v>DIMED S.A. DISTRIBUIDORA DE MEDICAMENTOS (BVMF:PNVL3)</v>
    <v>-0.14000000000000001</v>
    <v>-1.3819999999999999E-2</v>
    <v>360800</v>
  </rv>
  <rv s="2">
    <v>445</v>
  </rv>
  <rv s="16">
    <v>pt-BR</v>
    <v>cg99rw</v>
    <v>268435456</v>
    <v>1</v>
    <v>Da plataforma Refinitiv</v>
    <v>35</v>
    <v>36</v>
    <v>Brompton Split Corp. Cl A ETF (NEOE:CLSA)</v>
    <v>37</v>
    <v>38</v>
    <v>Finance</v>
    <v>39</v>
    <v>11.44</v>
    <v>8.83</v>
    <v>NEOE</v>
    <v>11.32</v>
    <v>11.32</v>
    <v>NEO Exchange</v>
    <v>8584502</v>
    <v>11.34</v>
    <v>45881.590010821092</v>
    <v>CAD</v>
    <v>Brompton Split Corp. Cl A ETF</v>
    <v>11.32</v>
    <v>11.32</v>
    <v>CLSA</v>
    <v>Fundos mais negociados</v>
    <v>Brompton Split Corp. Cl A ETF (NEOE:CLSA)</v>
    <v>-0.02</v>
    <v>-1.7639999999999999E-3</v>
    <v>400</v>
  </rv>
  <rv s="2">
    <v>447</v>
  </rv>
  <rv s="4">
    <v>12</v>
    <v>Ações em circulação</v>
    <v>0</v>
  </rv>
  <rv s="6">
    <v>12</v>
    <v>1</v>
  </rv>
  <rv s="0">
    <v>https://www.bing.com/financeapi/forcetrigger?t=apmu2w&amp;q=BVMF%3aKLBN4&amp;form=skydnc</v>
    <v>Learn more on Bing</v>
  </rv>
  <rv s="8">
    <v>pt-BR</v>
    <v>apmu2w</v>
    <v>268435456</v>
    <v>1</v>
    <v>Da plataforma Refinitiv</v>
    <v>14</v>
    <v>15</v>
    <v>KLABIN S.A. (BVMF:KLBN4)</v>
    <v>12</v>
    <v>16</v>
    <v>Finance</v>
    <v>5</v>
    <v>4.63</v>
    <v>3.43</v>
    <v>BVMF</v>
    <v>1235936000</v>
    <v>3.68</v>
    <v>1978</v>
    <v>3.6</v>
    <v>0.41370000000000001</v>
    <v>B3 - Brazil Stock Exchange</v>
    <v>22629240000</v>
    <v>A KLABIN S.A., junto com suas subsidiárias, atua em segmentos da indústria atendendo mercados nacionais e estrangeiros, fornecendo madeira, papel para embalagens, sacos de papel e caixas de papelão ondulado. Os segmentos operacionais da Empresa incluem os segmentos Florestal, Papel, Conversão e Celulose. O segmento Florestal envolve operações de plantio e cultivo de pinus e eucaliptos para abastecimento de fábricas de papel da Empresa. O segmento Florestal envolve também a venda de madeira (toras) a terceiros no mercado interno. O segmento de Papel envolve principalmente a produção e venda de papelão, papel para embalagem e rolos de papel reciclado nos mercados interno e externo. O segmento de Conversão envolve a produção e venda de caixas de papelão ondulado, cartão ondulado e sacos industriais nos mercados interno e externo. O segmento de Celulose envolve a operação do Projeto Puma.</v>
    <v>BVMF</v>
    <v>3.61</v>
    <v>14207</v>
    <v>45884.958333333336</v>
    <v>451</v>
    <v>2169260</v>
    <v>BRL</v>
    <v>KLABIN S.A.</v>
    <v>KLABIN S.A.</v>
    <v>3.62</v>
    <v>3.61</v>
    <v>Avenida Brigadeiro Faria Lima, 3600, 3, 4 E 5 Andares, Itaim Bibi, SAO PAULO, SAO PAULO, 04.538-132 BR</v>
    <v>Containers &amp; Packaging</v>
    <v>KLBN4</v>
    <v>Ações</v>
    <v>KLABIN S.A. (BVMF:KLBN4)</v>
    <v>0</v>
    <v>0</v>
    <v>1339600</v>
  </rv>
  <rv s="2">
    <v>452</v>
  </rv>
  <rv s="0">
    <v>https://www.bing.com/financeapi/forcetrigger?t=apm37w&amp;q=BVMF%3aBPAC5&amp;form=skydnc</v>
    <v>Learn more on Bing</v>
  </rv>
  <rv s="8">
    <v>pt-BR</v>
    <v>apm37w</v>
    <v>268435456</v>
    <v>1</v>
    <v>Da plataforma Refinitiv</v>
    <v>14</v>
    <v>15</v>
    <v>Banco BTG Pactual S.A. (BVMF:BPAC5)</v>
    <v>12</v>
    <v>16</v>
    <v>Finance</v>
    <v>5</v>
    <v>10.51</v>
    <v>6.57</v>
    <v>BVMF</v>
    <v>10108690000</v>
    <v>10.01</v>
    <v>1979</v>
    <v>9.84</v>
    <v>1.3865000000000001</v>
    <v>B3 - Brazil Stock Exchange</v>
    <v>206375000000</v>
    <v>O Banco BTG Pactual SA é um banco com sede no Brasil que atua principalmente nas atividades de banco de investimento e gestão de investimentos. Juntamente com suas subsidiárias, o Banco oferece uma gama de serviços financeiros, incluindo banco de investimento, empréstimos corporativos, serviços de corretagem e compensação, gerenciamento de ativos, gerenciamento de patrimônio, serviços bancários comerciais e de consumo, banco comercial e investimentos imobiliários. Por meio da plataforma BTG Pactual digital, o Banco facilita investimentos de varejo on-line. Também fornece serviços de seguro e resseguro de bens e acidentes. O banco possui várias subsidiárias no Brasil e no exterior, com presença em muitos países da América Latina, Estados Unidos, Reino Unido, Luxemburgo e Hong Kong.</v>
    <v>BVMF</v>
    <v>9.9600000000000009</v>
    <v>4900</v>
    <v>45884.958333333336</v>
    <v>454</v>
    <v>11213410</v>
    <v>BRL</v>
    <v>Banco BTG Pactual S.A.</v>
    <v>Banco BTG Pactual S.A.</v>
    <v>10.01</v>
    <v>9.85</v>
    <v>Praia de Botafogo, 501, 5 e 6 andares, Botafogo, RIO DE JANEIRO, RIO DE JANEIRO, 22.250-040 BR</v>
    <v>Investment Banking &amp; Investment Services</v>
    <v>BPAC5</v>
    <v>Ações</v>
    <v>Banco BTG Pactual S.A. (BVMF:BPAC5)</v>
    <v>-0.11</v>
    <v>-1.1044E-2</v>
    <v>3000</v>
  </rv>
  <rv s="2">
    <v>455</v>
  </rv>
  <rv s="0">
    <v>https://www.bing.com/financeapi/forcetrigger?t=apmeyc&amp;q=BVMF%3aDIRR3&amp;form=skydnc</v>
    <v>Learn more on Bing</v>
  </rv>
  <rv s="8">
    <v>pt-BR</v>
    <v>apmeyc</v>
    <v>268435456</v>
    <v>1</v>
    <v>Da plataforma Refinitiv</v>
    <v>14</v>
    <v>15</v>
    <v>DIRECIONAL ENGENHARIA S.A. (BVMF:DIRR3)</v>
    <v>12</v>
    <v>16</v>
    <v>Finance</v>
    <v>5</v>
    <v>14.39</v>
    <v>7.58</v>
    <v>BVMF</v>
    <v>520500000</v>
    <v>14.31</v>
    <v>1981</v>
    <v>14</v>
    <v>1.0359</v>
    <v>B3 - Brazil Stock Exchange</v>
    <v>7406715000</v>
    <v>A DIRECIONAL ENGENHARIA S.A. é uma empresa do setor imobiliário residencial estabelecida no Brasil. A empresa se concentra no desenvolvimento e na construção de projetos habitacionais residenciais, com foco no segmento de baixa renda. Constrói principalmente casas multifamiliares, que formam um bairro residencial. A empresa desenvolve suas atividades por meio de parcerias especiais (SCPs) e entidades com finalidade especial (SPEs), que atuam exclusivamente no setor imobiliário. Opera nos seguintes estados do Brasil, dentre outros: Rio de Janeiro, São Paulo, Rio Grande do Sul, Minas Gerais, Pará e Amazonas. A empresa detém inúmeras subsidiárias, como a Direcional Taguatinga Engenharia Ltda., Ametista Empreendimentos Imobiliários Ltda. e Malaquita Empreendimentos Imobiliários Ltda.</v>
    <v>BVMF</v>
    <v>14.15</v>
    <v>745</v>
    <v>45884.958356481482</v>
    <v>457</v>
    <v>5121130</v>
    <v>BRL</v>
    <v>DIRECIONAL ENGENHARIA S.A.</v>
    <v>DIRECIONAL ENGENHARIA S.A.</v>
    <v>14.15</v>
    <v>14.23</v>
    <v>Rua dos Otoni, 177, Santa Efigenia, BELO HORIZONTE, MINAS GERAIS, 30.150-270 BR</v>
    <v>Real Estate Operations</v>
    <v>DIRR3</v>
    <v>Ações</v>
    <v>DIRECIONAL ENGENHARIA S.A. (BVMF:DIRR3)</v>
    <v>0.08</v>
    <v>5.6540000000000002E-3</v>
    <v>2443800</v>
  </rv>
  <rv s="2">
    <v>458</v>
  </rv>
  <rv s="0">
    <v>https://www.bing.com/financeapi/forcetrigger?t=apn177&amp;q=BVMF%3aMYPK3&amp;form=skydnc</v>
    <v>Learn more on Bing</v>
  </rv>
  <rv s="8">
    <v>pt-BR</v>
    <v>apn177</v>
    <v>268435456</v>
    <v>1</v>
    <v>Da plataforma Refinitiv</v>
    <v>14</v>
    <v>15</v>
    <v>IOCHPE-MAXION S.A. (BVMF:MYPK3)</v>
    <v>12</v>
    <v>16</v>
    <v>Finance</v>
    <v>5</v>
    <v>14.67</v>
    <v>9.7200000000000006</v>
    <v>BVMF</v>
    <v>153719600</v>
    <v>14.21</v>
    <v>1940</v>
    <v>13.98</v>
    <v>0.37909999999999999</v>
    <v>B3 - Brazil Stock Exchange</v>
    <v>2178206732</v>
    <v>A Iochpe-Maxion S.A. está envolvida na produção de rodas automotivas. A Empresa é produtora de componentes estruturais automotivos nas Américas e produtora de equipamentos ferroviários no Brasil. Suas operações estão focadas no segmento automotivo, divididas em segmentos de rodas e componentes estruturais. A Empresa opera por meio de três divisões: Maxion Wheels, Componentes Estruturais Maxion e AmstedMaxion. Na Maxion Wheels, a Empresa produz e vende uma gama de rodas de aço para veículos leves e comerciais, e máquinas agrícolas e rodas de alumínio para veículos leves. No segmento de Componentes Estruturais Maxion, ela produz trilhos laterais, cruzamentos e chassis completos para veículos comerciais e componentes estruturais para veículos leves. No segmento de AmstedMaxion (uma joint venture), a Empresa produz veículos de carga, rodas ferroviárias e fundições, bem como fundições industriais. As operações da Empresa e de suas subsidiárias são realizadas em mais de 30 unidades localizadas no Brasil e no exterior.</v>
    <v>BVMF</v>
    <v>14.1</v>
    <v>17000</v>
    <v>45884.958333333336</v>
    <v>460</v>
    <v>1020650</v>
    <v>BRL</v>
    <v>IOCHPE-MAXION S.A.</v>
    <v>IOCHPE-MAXION S.A.</v>
    <v>14.18</v>
    <v>14.17</v>
    <v>Rua Othon Barcellos, n 83, Itagacaba, CRUZEIRO, SAO PAULO, 12.730-900 BR</v>
    <v>Automobiles &amp; Auto Parts</v>
    <v>MYPK3</v>
    <v>Ações</v>
    <v>IOCHPE-MAXION S.A. (BVMF:MYPK3)</v>
    <v>7.0000000000000007E-2</v>
    <v>4.9649999999999998E-3</v>
    <v>923700</v>
  </rv>
  <rv s="2">
    <v>461</v>
  </rv>
  <rv s="0">
    <v>https://www.bing.com/financeapi/forcetrigger?t=bwukvh&amp;q=BVMF%3aRDOR3&amp;form=skydnc</v>
    <v>Learn more on Bing</v>
  </rv>
  <rv s="8">
    <v>pt-BR</v>
    <v>bwukvh</v>
    <v>268435456</v>
    <v>1</v>
    <v>Da plataforma Refinitiv</v>
    <v>14</v>
    <v>15</v>
    <v>Rede D'Or São Luiz S.A. (BVMF:RDOR3)</v>
    <v>12</v>
    <v>16</v>
    <v>Finance</v>
    <v>5</v>
    <v>38.049999999999997</v>
    <v>24.47</v>
    <v>BVMF</v>
    <v>2289292000</v>
    <v>37.68</v>
    <v>2003</v>
    <v>36.950000000000003</v>
    <v>1.5394000000000001</v>
    <v>B3 - Brazil Stock Exchange</v>
    <v>85917128760</v>
    <v>A Rede D'Or São Luiz SA é uma empresa sediada no Brasil que atua na operação de hospitais. A Empresa atende diversas áreas, como oncologia, cirurgia, ginecologia, cardiologia, dietética, neurologia, dermatologia e também pediatria. Além disso, a Companhia oferece serviços de diagnóstico, pesquisa científica e parcerias em educação, além de programas de aprendizagem para profissionais, incluindo médicos, enfermeiras e psicólogos. Seus hospitais estão localizados nos estados do Rio de Janeiro, São Paulo, Pernambuco, Bahia, Sergipe, Maranhão, Paraná, Ceará e Distrito Federal, entre outros. Além disso, a Companhia opera uma rede de clínicas oncológicas e laboratórios de análises e imagens.</v>
    <v>BVMF</v>
    <v>37.07</v>
    <v>71000</v>
    <v>45884.958333333336</v>
    <v>463</v>
    <v>5539080</v>
    <v>BRL</v>
    <v>Rede D'Or São Luiz S.A.</v>
    <v>Rede D'Or São Luiz S.A.</v>
    <v>37</v>
    <v>37.53</v>
    <v>Rua Francisco Marengo, n 1.312, Tatuape, SAO PAULO, SAO PAULO, 03.313-000 BR</v>
    <v>Healthcare Providers &amp; Services</v>
    <v>RDOR3</v>
    <v>Ações</v>
    <v>Rede D'Or São Luiz S.A. (BVMF:RDOR3)</v>
    <v>0.46</v>
    <v>1.2408999999999998E-2</v>
    <v>6412000</v>
  </rv>
  <rv s="2">
    <v>464</v>
  </rv>
  <rv s="0">
    <v>https://www.bing.com/financeapi/forcetrigger?t=apnkdm&amp;q=BVMF%3aVIVT3&amp;form=skydnc</v>
    <v>Learn more on Bing</v>
  </rv>
  <rv s="8">
    <v>pt-BR</v>
    <v>apnkdm</v>
    <v>268435456</v>
    <v>1</v>
    <v>Da plataforma Refinitiv</v>
    <v>14</v>
    <v>15</v>
    <v>TELEFÔNICA BRASIL S.A (BVMF:VIVT3)</v>
    <v>12</v>
    <v>16</v>
    <v>Finance</v>
    <v>5</v>
    <v>33.840000000000003</v>
    <v>22.18</v>
    <v>BVMF</v>
    <v>3226547000</v>
    <v>33.5</v>
    <v>1998</v>
    <v>32.950000000000003</v>
    <v>0.54490000000000005</v>
    <v>B3 - Brazil Stock Exchange</v>
    <v>107863466210</v>
    <v>A Telefonica Brasil SA, anteriormente Telecomunicacoes de São Paulo SA Telesp é uma empresa brasileira que atua no setor de telecomunicações. Os principais serviços da Companhia incluem telefonia fixa, local e de longa distância; telefonia móvel, incluindo serviços de valor agregado; serviços de dados, incluindo banda larga fixa e móvel, e televisão por assinatura (TV), principalmente Internet Protocol Television (IPTV). A Telefonica Brasil SA comercializa seus serviços e soluções através da marca Vivo. A empresa é um hub digital que facilita o acesso de seus clientes a uma variedade de serviços, como entretenimento, segurança cibernética, finanças, saúde, segurança e segurança. e educação, além de fornecer serviços de telecomunicações fixos e móveis em todo o Brasil. Também oferece um portfólio completo e convergente para clientes business-to-consumer (B2C) e business-to-business (B2B).</v>
    <v>BVMF</v>
    <v>33.17</v>
    <v>33000</v>
    <v>45884.958356481482</v>
    <v>466</v>
    <v>5839690</v>
    <v>BRL</v>
    <v>TELEFÔNICA BRASIL S.A</v>
    <v>TELEFÔNICA BRASIL S.A</v>
    <v>33.24</v>
    <v>33.43</v>
    <v>Av Engenheiro Luis Carlos Berrini, 1376 32 andar, Cidade Moncoes, SAO PAULO, SAO PAULO, 04.571-936 BR</v>
    <v>Telecommunications Services</v>
    <v>VIVT3</v>
    <v>Ações</v>
    <v>TELEFÔNICA BRASIL S.A (BVMF:VIVT3)</v>
    <v>0.26</v>
    <v>7.8380000000000012E-3</v>
    <v>4408600</v>
  </rv>
  <rv s="2">
    <v>467</v>
  </rv>
  <rv s="0">
    <v>https://www.bing.com/financeapi/forcetrigger?t=bvgm3m&amp;q=BVMF%3aPGMN3&amp;form=skydnc</v>
    <v>Learn more on Bing</v>
  </rv>
  <rv s="8">
    <v>pt-BR</v>
    <v>bvgm3m</v>
    <v>268435456</v>
    <v>1</v>
    <v>Da plataforma Refinitiv</v>
    <v>14</v>
    <v>15</v>
    <v>Empreendimentos Pague Menos S.A. (BVMF:PGMN3)</v>
    <v>12</v>
    <v>16</v>
    <v>Finance</v>
    <v>5</v>
    <v>4.0999999999999996</v>
    <v>2.36</v>
    <v>BVMF</v>
    <v>622672700</v>
    <v>3.65</v>
    <v>1981</v>
    <v>3.53</v>
    <v>1.25</v>
    <v>B3 - Brazil Stock Exchange</v>
    <v>2260301901</v>
    <v>A Empreendimentos Pague Menos SA é uma empresa brasileira que atua principalmente no setor de varejo de medicamentos. Por meio de uma rede de drogarias, a Companhia comercializa remédios, perfumes, produtos de higiene pessoal e domésticos, cosméticos, mercearia, entre outros. Além disso, oferece uma gama de serviços financeiros, como cobrança de contas e emissão de cartões de crédito. A empresa também opera um call center que fornece informações relacionadas ao uso de drogas.</v>
    <v>BVMF</v>
    <v>3.58</v>
    <v>27242</v>
    <v>45884.958391203705</v>
    <v>469</v>
    <v>1192410</v>
    <v>BRL</v>
    <v>Empreendimentos Pague Menos S.A.</v>
    <v>Empreendimentos Pague Menos S.A.</v>
    <v>3.59</v>
    <v>3.63</v>
    <v>Rua Senador Pompeu, n 1520, Centro, FORTALEZA, CEARA, 60.025-002 BR</v>
    <v>Food &amp; Drug Retailing</v>
    <v>PGMN3</v>
    <v>Ações</v>
    <v>Empreendimentos Pague Menos S.A. (BVMF:PGMN3)</v>
    <v>0.05</v>
    <v>1.3966000000000001E-2</v>
    <v>779800</v>
  </rv>
  <rv s="2">
    <v>470</v>
  </rv>
  <rv s="0">
    <v>https://www.bing.com/financeapi/forcetrigger?t=bwfbr7&amp;q=BVMF%3aTFCO4&amp;form=skydnc</v>
    <v>Learn more on Bing</v>
  </rv>
  <rv s="8">
    <v>pt-BR</v>
    <v>bwfbr7</v>
    <v>268435456</v>
    <v>1</v>
    <v>Da plataforma Refinitiv</v>
    <v>14</v>
    <v>15</v>
    <v>Track &amp; Field Co S.A (BVMF:TFCO4)</v>
    <v>12</v>
    <v>16</v>
    <v>Finance</v>
    <v>5</v>
    <v>16.03</v>
    <v>8.24</v>
    <v>BVMF</v>
    <v>65492860</v>
    <v>16.03</v>
    <v>1988</v>
    <v>15.41</v>
    <v>1.0867</v>
    <v>B3 - Brazil Stock Exchange</v>
    <v>1035442116</v>
    <v>Track &amp; Field SA Co, anteriormente Fratex Industria e Comercio Ltda é uma empresa brasileira com atividades no setor de vestuário. A Companhia atua em um segmento de negócios, que está subdividido em: Varejo, Bens para Franquias, Royalties e Eventos. O portfólio da Track &amp; Field inclui coleções com vestuário atlético, estilo de vida, roupa de praia, calçado e acessórios. Os produtos da Track&amp;Field são vendidos exclusivamente em lojas físicas (mais de 350 lojas) e através de plataformas de e-commerce. A oferta da Companhia também inclui a plataforma TFSports, que oferece aulas gratuitas e corridas online. Track &amp; Field SA Co participa ativamente em todo o processo de produção através do desenvolvimento de peças, pilotagem, compra de materiais, auditoria, controle de qualidade, e visitas técnicas.</v>
    <v>BVMF</v>
    <v>15.31</v>
    <v>1145</v>
    <v>45884.958391203705</v>
    <v>472</v>
    <v>623690</v>
    <v>BRL</v>
    <v>Track &amp; Field Co S.A</v>
    <v>Track &amp; Field Co S.A</v>
    <v>15.41</v>
    <v>15.81</v>
    <v>Rua Cipriano Barata 456 3 andar, Ipiranga, OSASCO, SAO PAULO, 04.205-000 BR</v>
    <v>Specialty Retailers</v>
    <v>TFCO4</v>
    <v>Ações</v>
    <v>Track &amp; Field Co S.A (BVMF:TFCO4)</v>
    <v>0.5</v>
    <v>3.2658E-2</v>
    <v>1246600</v>
  </rv>
  <rv s="2">
    <v>473</v>
  </rv>
  <rv s="0">
    <v>https://www.bing.com/financeapi/forcetrigger?t=apmhtc&amp;q=BVMF%3aENEV3&amp;form=skydnc</v>
    <v>Learn more on Bing</v>
  </rv>
  <rv s="8">
    <v>pt-BR</v>
    <v>apmhtc</v>
    <v>268435456</v>
    <v>1</v>
    <v>Da plataforma Refinitiv</v>
    <v>14</v>
    <v>15</v>
    <v>Eneva S.A. (BVMF:ENEV3)</v>
    <v>12</v>
    <v>16</v>
    <v>Finance</v>
    <v>5</v>
    <v>14.9</v>
    <v>9.35</v>
    <v>BVMF</v>
    <v>1932592000</v>
    <v>14.25</v>
    <v>2001</v>
    <v>13.99</v>
    <v>0.86539999999999995</v>
    <v>B3 - Brazil Stock Exchange</v>
    <v>27210895360</v>
    <v>A ENEVA SA, anteriormente conhecida como MPX Energia SA, é uma empresa sediada no Brasil que atua principalmente no setor de energia. As atividades da Companhia estão divididas em quatro segmentos operacionais: Usinas térmicas a gás, envolvidas na operação de Usinas térmicas a gás no Complexo Parnaíba, localizado no Estado do Maranhão; Upstream, dedicada à exploração, desenvolvimento, produção e comercialização de petróleo e gás natural e seus derivados; Centrais térmicas a carvão, envolvidas na operação de Usinas térmicas a carvão localizadas nos estados do Maranhão e Ceará; e comercialização de Energia, focada na venda de energia gerada pelas Usinas de energia da empresa. A Companhia atua pelo número de subsidiárias, incluindo a Eneva Comercializadora de Energia Ltda, Centrais Termeletricas São Marcos SA e Parnaiba BV, entre outras.</v>
    <v>BVMF</v>
    <v>14.15</v>
    <v>1846</v>
    <v>45884.958333333336</v>
    <v>475</v>
    <v>6131990</v>
    <v>BRL</v>
    <v>Eneva S.A.</v>
    <v>Eneva S.A.</v>
    <v>14</v>
    <v>14.08</v>
    <v>Praia de Botafogo n 501, Bloco I, 2 e 4 andares, Botafogo, BOTAFOGO, RIO DE JANEIRO, 22.250-040 BR</v>
    <v>Electrical Utilities &amp; IPPs</v>
    <v>ENEV3</v>
    <v>Ações</v>
    <v>Eneva S.A. (BVMF:ENEV3)</v>
    <v>-7.0000000000000007E-2</v>
    <v>-4.947E-3</v>
    <v>6330000</v>
  </rv>
  <rv s="2">
    <v>476</v>
  </rv>
  <rv s="0">
    <v>https://www.bing.com/financeapi/forcetrigger?t=apmv52&amp;q=BVMF%3aLIGT3&amp;form=skydnc</v>
    <v>Learn more on Bing</v>
  </rv>
  <rv s="8">
    <v>pt-BR</v>
    <v>apmv52</v>
    <v>268435456</v>
    <v>1</v>
    <v>Da plataforma Refinitiv</v>
    <v>14</v>
    <v>15</v>
    <v>LIGHT S.A. (BVMF:LIGT3)</v>
    <v>12</v>
    <v>16</v>
    <v>Finance</v>
    <v>5</v>
    <v>9.2100000000000009</v>
    <v>3.6</v>
    <v>BVMF</v>
    <v>372555300</v>
    <v>7.08</v>
    <v>1999</v>
    <v>5.99</v>
    <v>2.1855000000000002</v>
    <v>B3 - Brazil Stock Exchange</v>
    <v>2272587330</v>
    <v>A Light SA, anteriormente denominada Trial Participações SA, é uma holding com sede no Brasil envolvida principalmente no setor de serviços públicos. As atividades da Empresa estão divididas em três segmentos de negócio: Distribuição, Geração e Comercialização. A divisão de Distribuição tem como foco a distribuição de energia elétrica aos consumidores finais. A divisão Geração produz eletricidade por meio de usinas hidrelétricas. Além disso, a Companhia oferece soluções em energia, como desenvolvimento de projetos de energia, e assessoria aos consumidores livres e cativos. A Companhia distribui energia no estado do Rio de Janeiro, Brasil. Atua por meio de diversas subsidiárias, incluindo Light Serviços de Eletricidade SA (Light SESA), Light Energia SA (Light Energia), Light Esco Prestação de Serviços SA (Light Esco) e Lightcom Comercializadora de Energia SA (Lightcom), entre outras.</v>
    <v>BVMF</v>
    <v>7</v>
    <v>5140</v>
    <v>45884.958333333336</v>
    <v>478</v>
    <v>1848900</v>
    <v>BRL</v>
    <v>LIGHT S.A.</v>
    <v>LIGHT S.A.</v>
    <v>7.08</v>
    <v>6.1</v>
    <v>Av.Marechal Floriano,168, Centro, RIO DE JANEIRO, RIO DE JANEIRO, 20.080-002 BR</v>
    <v>Electrical Utilities &amp; IPPs</v>
    <v>LIGT3</v>
    <v>Ações</v>
    <v>LIGHT S.A. (BVMF:LIGT3)</v>
    <v>-0.9</v>
    <v>-0.12857100000000002</v>
    <v>3004000</v>
  </rv>
  <rv s="2">
    <v>479</v>
  </rv>
  <rv s="0">
    <v>https://www.bing.com/financeapi/forcetrigger?t=bxgv1h&amp;q=BVMF%3aCSED3&amp;form=skydnc</v>
    <v>Learn more on Bing</v>
  </rv>
  <rv s="8">
    <v>pt-BR</v>
    <v>bxgv1h</v>
    <v>268435456</v>
    <v>1</v>
    <v>Da plataforma Refinitiv</v>
    <v>14</v>
    <v>15</v>
    <v>CRUZEIRO DO SUL EDUCACIONAL S.A. (BVMF:CSED3)</v>
    <v>12</v>
    <v>16</v>
    <v>Finance</v>
    <v>5</v>
    <v>5.44</v>
    <v>2.56</v>
    <v>BVMF</v>
    <v>364542500</v>
    <v>5.15</v>
    <v>1970</v>
    <v>4.57</v>
    <v>2.3094999999999999</v>
    <v>B3 - Brazil Stock Exchange</v>
    <v>1687831775</v>
    <v>A Cruzeiro do Sul Educacional SA, anteriormente Instituicao Educacional São Miguel Paulista Ltda é uma empresa brasileira de educação. As atividades da Companhia são realizadas através de um segmento operacional: Prestação de serviços educacionais. O Cruzeiro do Sul Educacional está organizado em três unidades de negócios: Educação presencial Vertical, Digital Education Vertical e Health Education Vertical. A Empresa oferece formação acadêmica e profissional através de 14 instituições de ensino superior com marcas locais reconhecidas, por meio de cursos de graduação, pós-graduação e extensão nas modalidades on-site e ensino a distância. O Cruzeiro do Sul Educacional também atua com quatro instituições de ensino fundamental e infantil (primeira infância, ensino fundamental e médio).</v>
    <v>BVMF</v>
    <v>5.15</v>
    <v>7668</v>
    <v>45884.958391203705</v>
    <v>481</v>
    <v>259550</v>
    <v>BRL</v>
    <v>CRUZEIRO DO SUL EDUCACIONAL S.A.</v>
    <v>CRUZEIRO DO SUL EDUCACIONAL S.A.</v>
    <v>5.15</v>
    <v>4.63</v>
    <v>Rua Cubatao, 320 3, 8 e 9 Andar, Vila Mariana, SAO PAULO, SAO PAULO, 04.013-001 BR</v>
    <v>School, College &amp; University</v>
    <v>CSED3</v>
    <v>Ações</v>
    <v>CRUZEIRO DO SUL EDUCACIONAL S.A. (BVMF:CSED3)</v>
    <v>-0.52</v>
    <v>-0.10097099999999999</v>
    <v>925300</v>
  </rv>
  <rv s="2">
    <v>482</v>
  </rv>
  <rv s="0">
    <v>https://www.bing.com/financeapi/forcetrigger?t=apmzxm&amp;q=BVMF%3aMULT3&amp;form=skydnc</v>
    <v>Learn more on Bing</v>
  </rv>
  <rv s="8">
    <v>pt-BR</v>
    <v>apmzxm</v>
    <v>268435456</v>
    <v>1</v>
    <v>Da plataforma Refinitiv</v>
    <v>14</v>
    <v>15</v>
    <v>Multiplan Empreendimentos Imobiliários S.A. (BVMF:MULT3)</v>
    <v>12</v>
    <v>16</v>
    <v>Finance</v>
    <v>5</v>
    <v>27.62</v>
    <v>19.559999999999999</v>
    <v>BVMF</v>
    <v>513163700</v>
    <v>26.65</v>
    <v>2005</v>
    <v>26.3</v>
    <v>1.0425</v>
    <v>B3 - Brazil Stock Exchange</v>
    <v>13655286057</v>
    <v>A Multiplan Empreendimentos Imobiliários S.A. é uma empresa estabelecida no Brasil, que atua no segmento imobiliário. As atividades da empresa são divididas em quatro segmentos de negócios: aluguéis, imóveis, projetos e gerenciamento. A divisão de aluguéis concentra-se no arrendamento de shoppings e seus estacionamentos. A divisão de imóveis inclui a venda de imóveis, como casas multifamiliares, construídas nas redondezas dos shopping centers. A divisão de projetos é especializada no planejamento, no desenvolvimento e na construção de centros comerciais para arrendamento. A divisão de gestão oferece principalmente serviços de gerenciamento para donos de lojas. A empresa detém e administra numerosos shoppings no Brasil, como o BH Shopping, BarraShopping, RibeiraoShopping, MorumbiShopping, ParkShopping, DiamondMall, Shopping Anália Franco, BarraShopping Sul, New York City Center e Shopping Santa Úrsula.</v>
    <v>BVMF</v>
    <v>26.51</v>
    <v>8500</v>
    <v>45884.958333333336</v>
    <v>484</v>
    <v>3375190</v>
    <v>BRL</v>
    <v>Multiplan Empreendimentos Imobiliários S.A.</v>
    <v>Multiplan Empreendimentos Imobiliários S.A.</v>
    <v>26.51</v>
    <v>26.61</v>
    <v>Av Das Americas 04200 Bloco 2 Salas 101 A 104 112 A 116 401 A 416 E 501 E Bloco 9 Ala B Salas 212 A 216, Barra Da Tijuca, RIO DE JANEIRO, RIO DE JANEIRO, 22.640-102 BR</v>
    <v>Real Estate Operations</v>
    <v>MULT3</v>
    <v>Ações</v>
    <v>Multiplan Empreendimentos Imobiliários S.A. (BVMF:MULT3)</v>
    <v>0.1</v>
    <v>3.7719999999999997E-3</v>
    <v>2872600</v>
  </rv>
  <rv s="2">
    <v>485</v>
  </rv>
  <rv s="0">
    <v>https://www.bing.com/financeapi/forcetrigger?t=c5nr77&amp;q=BVMF%3aAURE3&amp;form=skydnc</v>
    <v>Learn more on Bing</v>
  </rv>
  <rv s="9">
    <v>pt-BR</v>
    <v>c5nr77</v>
    <v>268435456</v>
    <v>1</v>
    <v>Da plataforma Refinitiv</v>
    <v>17</v>
    <v>18</v>
    <v>Auren Energia S.A. (BVMF:AURE3)</v>
    <v>12</v>
    <v>19</v>
    <v>Finance</v>
    <v>5</v>
    <v>11.69</v>
    <v>7.29</v>
    <v>BVMF</v>
    <v>1050378000</v>
    <v>10.02</v>
    <v>2017</v>
    <v>9.76</v>
    <v>0.60060000000000002</v>
    <v>B3 - Brazil Stock Exchange</v>
    <v>10451261100</v>
    <v>A Auren Energia SA, anteriormente conhecida como VTRM Energia Participações SA, é uma holding de energia com sede no Brasil focada em investir e desenvolver a geração de energia limpa no Brasil. O objetivo da Empresa e suas subsidiárias é o planejamento, construção, instalação, operação e manutenção de sistemas de geração eólica e hidrelétrica, bem como a comercialização de energia produzida por esses sistemas. As operações da Auren Energia estão divididas em três segmentos de negócio, o segmento de Geração de Energia Eólica, o segmento de Geração e Comercialização de Energia Hidrelétrica, bem como o segmento holding. A Companhia possui diversas subsidiárias, incluindo a CESP Companhia Energetica de São Paulo, Ventos de São Vicente Participações Energias Renováveis SA, e a Jaiba V Holding SA.</v>
    <v>BVMF</v>
    <v>9.82</v>
    <v>45884.958356481482</v>
    <v>487</v>
    <v>3792940</v>
    <v>BRL</v>
    <v>Auren Energia S.A.</v>
    <v>Auren Energia S.A.</v>
    <v>9.76</v>
    <v>9.9499999999999993</v>
    <v>Av. dra Ruth Cardoso, 8.501 2 andar, sala 11, Pinheiros, SAO PAULO, SAO PAULO, 05.425-070 BR</v>
    <v>Electrical Utilities &amp; IPPs</v>
    <v>AURE3</v>
    <v>Ações</v>
    <v>Auren Energia S.A. (BVMF:AURE3)</v>
    <v>0.13</v>
    <v>1.3238000000000002E-2</v>
    <v>7304300</v>
  </rv>
  <rv s="2">
    <v>488</v>
  </rv>
  <rv s="0">
    <v>https://www.bing.com/financeapi/forcetrigger?t=apni6h&amp;q=BVMF%3aTUPY3&amp;form=skydnc</v>
    <v>Learn more on Bing</v>
  </rv>
  <rv s="8">
    <v>pt-BR</v>
    <v>apni6h</v>
    <v>268435456</v>
    <v>1</v>
    <v>Da plataforma Refinitiv</v>
    <v>14</v>
    <v>15</v>
    <v>TUPY S.A. (BVMF:TUPY3)</v>
    <v>12</v>
    <v>16</v>
    <v>Finance</v>
    <v>5</v>
    <v>26.74</v>
    <v>15.27</v>
    <v>BVMF</v>
    <v>144177500</v>
    <v>16.12</v>
    <v>1938</v>
    <v>15.52</v>
    <v>0.55689999999999995</v>
    <v>B3 - Brazil Stock Exchange</v>
    <v>2289538700</v>
    <v>A TUPY S.A. é uma empresa brasileira que se dedica principalmente à produção e comercialização de peças para a indústria automotiva. As atividades da Empresa estão divididas em dois segmentos de negócio: Automotivo e Hidráulico. A divisão Automotivo se concentra na fabricação de motores e seus componentes, sistemas de freio, rolamentos, bem como componentes de transmissão, direção, eixo e suspensão, entre outros. A divisão de Hidráulicos é responsável pela produção de conexões flexíveis de ferro para a indústria de construção, britas de ferro e aço para a indústria de processamento de mármore e granito, bem como moldes de ferro fundido para uso geral. A Empresa possui fábricas e escritórios de vendas em diversos países, como Brasil, México, Estados Unidos e Alemanha. A Empresa atua por meio da Tupy Agroenergética Ltda., Sociedade Técnica de Fundos Gerais SA, Tupy American Foundry Co, Tupy American Iron &amp; Alloys Co e Tupy Europe GmbH, entre outros.</v>
    <v>BVMF</v>
    <v>15.95</v>
    <v>6451</v>
    <v>45884.958333333336</v>
    <v>490</v>
    <v>571800</v>
    <v>BRL</v>
    <v>TUPY S.A.</v>
    <v>TUPY S.A.</v>
    <v>15.93</v>
    <v>15.88</v>
    <v>Rua Albano Schmidt, 3400, Boa Vista, JOINVILLE, SANTA CATARINA, 89.227-901 BR</v>
    <v>Automobiles &amp; Auto Parts</v>
    <v>TUPY3</v>
    <v>Ações</v>
    <v>TUPY S.A. (BVMF:TUPY3)</v>
    <v>-7.0000000000000007E-2</v>
    <v>-4.3890000000000005E-3</v>
    <v>741400</v>
  </rv>
  <rv s="2">
    <v>491</v>
  </rv>
  <rv s="0">
    <v>https://www.bing.com/financeapi/forcetrigger?t=apnbh7&amp;q=BVMF%3aSCAR3&amp;form=skydnc</v>
    <v>Learn more on Bing</v>
  </rv>
  <rv s="9">
    <v>pt-BR</v>
    <v>apnbh7</v>
    <v>268435456</v>
    <v>1</v>
    <v>Da plataforma Refinitiv</v>
    <v>17</v>
    <v>18</v>
    <v>São Carlos Empreendimentos e Participações S.A. (BVMF:SCAR3)</v>
    <v>12</v>
    <v>19</v>
    <v>Finance</v>
    <v>5</v>
    <v>22.75</v>
    <v>15.32</v>
    <v>BVMF</v>
    <v>57737320</v>
    <v>19.850000000000001</v>
    <v>1985</v>
    <v>19.54</v>
    <v>0.95530000000000004</v>
    <v>B3 - Brazil Stock Exchange</v>
    <v>1142622000</v>
    <v>A São Carlos Empreendimentos e Participações S.A. é uma empresa brasileira que atua no setor imobiliário comercial. A empresa atua na gestão de imóveis próprios e de terceiros, arrendamento de imóveis e operação de estacionamentos. O portfólio de imóveis da empresa inclui edifícios de escritórios, centros de distribuição e lojas de rua, localizados nos estados de São Paulo, Rio de Janeiro, Minas Gerais e Rio Grande do Sul. Em 31 de dezembro de 2011, as subsidiárias da empresa incluíam a 253 Participações Ltda., SC Corretora de Imóveis Ltda., SC Varejo Grande SP Empreendimentos e Participações Ltda., Top Center Empreendimentos e Participações Ltda. e SC Sul Empreendimentos e Participações Ltda., entre outras. Em novembro de 2013, a empresa concluiu a venda da propriedade do Brazilian Financial Center para a Fundo de Investimento Imobiliário - FII Prime Portfólio, recebendo R$ 250 milhões de reais.</v>
    <v>BVMF</v>
    <v>19.79</v>
    <v>45884.958333333336</v>
    <v>493</v>
    <v>48160</v>
    <v>BRL</v>
    <v>São Carlos Empreendimentos e Participações S.A.</v>
    <v>São Carlos Empreendimentos e Participações S.A.</v>
    <v>19.54</v>
    <v>19.760000000000002</v>
    <v>Rua Dr. Eduardo de Souza Aranha, 153, 12 andar, Vila Nova Conceicao, SAO PAULO, SAO PAULO, 04.543-904 BR</v>
    <v>Real Estate Operations</v>
    <v>SCAR3</v>
    <v>Ações</v>
    <v>São Carlos Empreendimentos e Participações S.A. (BVMF:SCAR3)</v>
    <v>-0.03</v>
    <v>-1.5160000000000002E-3</v>
    <v>2300</v>
  </rv>
  <rv s="2">
    <v>494</v>
  </rv>
  <rv s="0">
    <v>https://www.bing.com/financeapi/forcetrigger?t=btow3m&amp;q=BVMF%3aLWSA3&amp;form=skydnc</v>
    <v>Learn more on Bing</v>
  </rv>
  <rv s="8">
    <v>pt-BR</v>
    <v>btow3m</v>
    <v>268435456</v>
    <v>1</v>
    <v>Da plataforma Refinitiv</v>
    <v>14</v>
    <v>15</v>
    <v>LWSA S/A (BVMF:LWSA3)</v>
    <v>12</v>
    <v>16</v>
    <v>Finance</v>
    <v>5</v>
    <v>5.26</v>
    <v>2.4700000000000002</v>
    <v>BVMF</v>
    <v>565999200</v>
    <v>4.25</v>
    <v>1997</v>
    <v>4.07</v>
    <v>1.2441</v>
    <v>B3 - Brazil Stock Exchange</v>
    <v>2331916704</v>
    <v>A Lwsa SA, anteriormente Locaweb Servicos de Internet SA, é uma provedora brasileira de soluções de tecnologia Business-to-Business (B2B). As atividades da Companhia estão divididas em dois segmentos operacionais: Be Online/SaaS e Commerce. O segmento Be Online/SaaS oferece serviços de hospedagem, revenda de hospedagem, registro de domínios, computação em nuvem e servidores dedicados, bem como soluções relacionadas a contas de e-mail, campanhas de e-mail marketing e comunicação de Protocolo de Internet (IP), principalmente através das marcas Locaweb, KingHost e Octadesk. O segmento Commerce está empenhado em facilitar as operações de varejo online, fornecendo plataformas de e-commerce e soluções de pagamento, principalmente através das marcas Tray, Bagy, Melhor envio, Wake Commerce, Squid by Wake, e Bling CPlug.</v>
    <v>BVMF</v>
    <v>4.03</v>
    <v>1229</v>
    <v>45884.958333333336</v>
    <v>496</v>
    <v>5981400</v>
    <v>BRL</v>
    <v>LWSA S/A</v>
    <v>LWSA S/A</v>
    <v>4.2</v>
    <v>4.12</v>
    <v>Rua Itapaiuna, 2.434, Vila Andrade, SAO PAULO, SAO PAULO, 05.707-001 BR</v>
    <v>Software &amp; IT Services</v>
    <v>LWSA3</v>
    <v>Ações</v>
    <v>LWSA S/A (BVMF:LWSA3)</v>
    <v>0.09</v>
    <v>2.2332999999999999E-2</v>
    <v>7203700</v>
  </rv>
  <rv s="2">
    <v>497</v>
  </rv>
  <rv s="0">
    <v>https://www.bing.com/financeapi/forcetrigger?t=apmvur&amp;q=BVMF%3aLPSB3&amp;form=skydnc</v>
    <v>Learn more on Bing</v>
  </rv>
  <rv s="8">
    <v>pt-BR</v>
    <v>apmvur</v>
    <v>268435456</v>
    <v>1</v>
    <v>Da plataforma Refinitiv</v>
    <v>14</v>
    <v>15</v>
    <v>LPS BRASIL - CONSULTORIA DE IMOVEIS S.A. (BVMF:LPSB3)</v>
    <v>12</v>
    <v>16</v>
    <v>Finance</v>
    <v>5</v>
    <v>2.2000000000000002</v>
    <v>1.04</v>
    <v>BVMF</v>
    <v>147554600</v>
    <v>1.54</v>
    <v>2006</v>
    <v>1.48</v>
    <v>1.4119999999999999</v>
    <v>B3 - Brazil Stock Exchange</v>
    <v>218380808</v>
    <v>A LPS Brasil Consultoria de Imoveis SA é uma provedora brasileira de serviços de corretagem no mercado primário (lançamentos) e secundário (revenda de imóveis anteriormente possuídos). A Companhia possui três segmentos operacionais: Corretagem de imóveis novos e usados; franquias e promoção de financiamento (CrediPronto). Para os promotores imobiliários, a Empresa oferece serviços de intermediação imobiliária com maior foco em empreendimentos residenciais, incluindo auxiliar na identificação de terrenos e novas oportunidades de desenvolvimento, no planejamento e criação de projetos imobiliários e na definição de estratégias de marketing para esses empreendimentos. Para os consumidores finais, a LPS Brasil Consultoria de Imoveis SA presta serviços de intermediação imobiliária em lançamentos, que consistem em assessoria financeira e contratual para aquisição de imóveis.</v>
    <v>BVMF</v>
    <v>1.53</v>
    <v>336</v>
    <v>45884.958391203705</v>
    <v>499</v>
    <v>169420</v>
    <v>BRL</v>
    <v>LPS BRASIL - CONSULTORIA DE IMOVEIS S.A.</v>
    <v>LPS BRASIL - CONSULTORIA DE IMOVEIS S.A.</v>
    <v>1.52</v>
    <v>1.48</v>
    <v>Rua Estados Unidos,2000, Jardim America, SAO PAULO, SAO PAULO, 01.427-002 BR</v>
    <v>Real Estate Operations</v>
    <v>LPSB3</v>
    <v>Ações</v>
    <v>LPS BRASIL - CONSULTORIA DE IMOVEIS S.A. (BVMF:LPSB3)</v>
    <v>-0.05</v>
    <v>-3.2680000000000001E-2</v>
    <v>60500</v>
  </rv>
  <rv s="2">
    <v>500</v>
  </rv>
  <rv s="0">
    <v>https://www.bing.com/financeapi/forcetrigger?t=btotsm&amp;q=BVMF%3aMTRE3&amp;form=skydnc</v>
    <v>Learn more on Bing</v>
  </rv>
  <rv s="8">
    <v>pt-BR</v>
    <v>btotsm</v>
    <v>268435456</v>
    <v>1</v>
    <v>Da plataforma Refinitiv</v>
    <v>14</v>
    <v>15</v>
    <v>MITRE REALTY EMPREENDIMENTOS E PARTICIPAÇÕES S.A. (BVMF:MTRE3)</v>
    <v>12</v>
    <v>16</v>
    <v>Finance</v>
    <v>5</v>
    <v>4.2699999999999996</v>
    <v>2.57</v>
    <v>BVMF</v>
    <v>105774800</v>
    <v>3.44</v>
    <v>2005</v>
    <v>3.23</v>
    <v>2.0735999999999999</v>
    <v>B3 - Brazil Stock Exchange</v>
    <v>362807564</v>
    <v>A Mitre Realty Empreendimentos e Participações SA (Mitre Realty) é uma construtora com sede no Brasil. A Sociedade tem por objeto a incorporação, construção e comercialização de unidades imobiliárias residenciais na Cidade de São Paulo. Seus produtos são divididos em duas linhas: Raizes, voltada para clientes de classe média e Haus Mitre, voltada para clientes de classe média alta. O portfólio da empresa é composto por mais de 20 edifícios que oferecem apartamentos com serviços exclusivos, pontos de acesso e áreas comuns. A Mitre Realty possui várias subsidiárias, como Amaro Bezerra Empreendimentos e Participações Ltda, Mitre Le Champs Empreendimentos e Participações Ltda, Mitre Vendas Corretagem de Imóveis Ltda e MJF Construções Ltda, entre outras.</v>
    <v>BVMF</v>
    <v>3.24</v>
    <v>159</v>
    <v>45884.958391203705</v>
    <v>502</v>
    <v>918950</v>
    <v>BRL</v>
    <v>MITRE REALTY EMPREENDIMENTOS E PARTICIPAÇÕES S.A.</v>
    <v>MITRE REALTY EMPREENDIMENTOS E PARTICIPAÇÕES S.A.</v>
    <v>3.27</v>
    <v>3.43</v>
    <v>Alameda Santos, 700, 5 Andar, Jardim Paulista, SAO PAULO, SAO PAULO, 01.418-002 BR</v>
    <v>Homebuilding &amp; Construction Supplies</v>
    <v>MTRE3</v>
    <v>Ações</v>
    <v>MITRE REALTY EMPREENDIMENTOS E PARTICIPAÇÕES S.A. (BVMF:MTRE3)</v>
    <v>0.19</v>
    <v>5.8642E-2</v>
    <v>1071100</v>
  </rv>
  <rv s="2">
    <v>503</v>
  </rv>
  <rv s="0">
    <v>http://zh.wikipedia.org/wiki/巴西航空工业公司</v>
    <v>Wikipedia</v>
  </rv>
  <rv s="10">
    <v>36</v>
    <v>505</v>
  </rv>
  <rv s="11">
    <v>25</v>
    <v>https://www.bing.com/th?id=AMMS_93adec0d103d6c960720b15dfec63061&amp;qlt=95</v>
    <v>506</v>
    <v>0</v>
    <v>https://www.bing.com/images/search?form=xlimg&amp;q=embraer</v>
    <v>Image of EMBRAER S.A.</v>
  </rv>
  <rv s="0">
    <v>https://www.bing.com/financeapi/forcetrigger?t=apmhnm&amp;q=BVMF%3aEMBR3&amp;form=skydnc</v>
    <v>Learn more on Bing</v>
  </rv>
  <rv s="12">
    <v>pt-BR</v>
    <v>apmhnm</v>
    <v>268435456</v>
    <v>1</v>
    <v>Da plataforma Refinitiv</v>
    <v>20</v>
    <v>21</v>
    <v>EMBRAER S.A. (BVMF:EMBR3)</v>
    <v>23</v>
    <v>24</v>
    <v>Finance</v>
    <v>5</v>
    <v>83.95</v>
    <v>43.37</v>
    <v>BVMF</v>
    <v>740465000</v>
    <v>80.81</v>
    <v>2005</v>
    <v>75.92</v>
    <v>0.51600000000000001</v>
    <v>B3 - Brazil Stock Exchange</v>
    <v>57230539850</v>
    <v>A Embraer SA é uma fabricante brasileira de jatos. A Companhia produz aeronaves para aviação comercial e executiva, bem como para fins de defesa e segurança e serviços relacionados. Seus segmentos incluem o negócio de aviação comercial, que envolve o desenvolvimento, produção e venda de jatos comerciais, e prestação de serviços de apoio, particularmente no segmento de aviação regional e locação de aeronaves; negócio de jatos executivos, que comercializa seus jatos executivos para empresas, incluindo empresas de propriedade fracionada, empresas de fretamento e táxi aéreo, indivíduos de alto patrimônio líquido e academias de voo; segmento de Negócios de Defesa e Segurança, que concebe, desenvolve, e suporte a um mercado integrado; e outros segmentos de negócios relacionados, que fornecem sistemas de combustível, peças estruturais e sistemas mecânicos e hidráulicos para a Sikorsky Aircraft Corporation para sua produção de helicópteros.</v>
    <v>BVMF</v>
    <v>80.69</v>
    <v>20923</v>
    <v>45884.958333333336</v>
    <v>507</v>
    <v>508</v>
    <v>6214950</v>
    <v>BRL</v>
    <v>EMBRAER S.A.</v>
    <v>EMBRAER S.A.</v>
    <v>80.739999999999995</v>
    <v>77.290000000000006</v>
    <v>Av Brigadeiro Faria Lima 2170, Putim, SAO JOSE DOS CAMPOS, SAO PAULO, 12.227-901 BR</v>
    <v>Aerospace &amp; Defense</v>
    <v>EMBR3</v>
    <v>Ações</v>
    <v>EMBRAER S.A. (BVMF:EMBR3)</v>
    <v>-3.4</v>
    <v>-4.2137000000000001E-2</v>
    <v>8635600</v>
  </rv>
  <rv s="2">
    <v>509</v>
  </rv>
  <rv s="0">
    <v>https://www.bing.com/financeapi/forcetrigger?t=apmi2w&amp;q=BVMF%3aENGI4&amp;form=skydnc</v>
    <v>Learn more on Bing</v>
  </rv>
  <rv s="8">
    <v>pt-BR</v>
    <v>apmi2w</v>
    <v>268435456</v>
    <v>1</v>
    <v>Da plataforma Refinitiv</v>
    <v>14</v>
    <v>15</v>
    <v>ENERGISA S.A. (BVMF:ENGI4)</v>
    <v>12</v>
    <v>16</v>
    <v>Finance</v>
    <v>5</v>
    <v>9.15</v>
    <v>5.84</v>
    <v>BVMF</v>
    <v>2289425000</v>
    <v>8.7899999999999991</v>
    <v>1998</v>
    <v>8.4</v>
    <v>0.96</v>
    <v>B3 - Brazil Stock Exchange</v>
    <v>22856710000</v>
    <v>A Energisa SA é uma holding sediada no Brasil que atua no setor de energia. Por meio de suas subsidiárias, a Companhia tem por objetivo principal a distribuição e comercialização de energia elétrica. Distribui energia para consumo residencial, industrial, comercial e rural. A Companhia atua nos estados do Rio de Janeiro, São Paulo, Paraná, Minas Gerais, Sergipe, Paraíba, Mato Grosso, Mato Grosso do Sul, Tocantins, Rondônia e Acre. Além das entidades que atuam na distribuição de energia elétrica, as controladas da Companhia incluem a Energisa Solucoes SA, que presta serviços de geração e distribuição de energia elétrica; Energisa Servicos Aereos SA, que presta serviços de inspeção termográfica; e Energisa Planejamento e Corretagem Seguros Ltda, que atua no ramo de corretagem de seguros, entre outras.</v>
    <v>BVMF</v>
    <v>8.7899999999999991</v>
    <v>17000</v>
    <v>45884.958333333336</v>
    <v>511</v>
    <v>9590</v>
    <v>BRL</v>
    <v>ENERGISA S.A.</v>
    <v>ENERGISA S.A.</v>
    <v>8.7899999999999991</v>
    <v>8.41</v>
    <v>Praca Rui Barbosa,N 80(Parte), Centro, CATAGUASES, MINAS GERAIS, 36.770-901 BR</v>
    <v>Electrical Utilities &amp; IPPs</v>
    <v>ENGI4</v>
    <v>Ações</v>
    <v>ENERGISA S.A. (BVMF:ENGI4)</v>
    <v>-0.38</v>
    <v>-4.3230999999999999E-2</v>
    <v>39600</v>
  </rv>
  <rv s="2">
    <v>512</v>
  </rv>
  <rv s="0">
    <v>https://www.bing.com/financeapi/forcetrigger?t=aplwhw&amp;q=BVMF%3aANIM3&amp;form=skydnc</v>
    <v>Learn more on Bing</v>
  </rv>
  <rv s="8">
    <v>pt-BR</v>
    <v>aplwhw</v>
    <v>268435456</v>
    <v>1</v>
    <v>Da plataforma Refinitiv</v>
    <v>14</v>
    <v>15</v>
    <v>Ânima Holding S/A (BVMF:ANIM3)</v>
    <v>12</v>
    <v>16</v>
    <v>Finance</v>
    <v>5</v>
    <v>4.5199999999999996</v>
    <v>1.46</v>
    <v>BVMF</v>
    <v>403868800</v>
    <v>3.45</v>
    <v>2007</v>
    <v>3.27</v>
    <v>2.8734999999999999</v>
    <v>B3 - Brazil Stock Exchange</v>
    <v>1352960000</v>
    <v>A Anima Holding SA, anteriormente denominada GAEC Educacao SA, é uma empresa sediada no Brasil e dedica-se principalmente ao setor educacional. As atividades da Companhia estão divididas em dois segmentos: ensino superior e gestão vertical. A divisão de ensino superior se concentra no desenvolvimento de serviços de educação formal e à distância, oferecendo cursos universitários e cursos de especialização profissional, incluindo cursos de graduação, pós-graduação, mestrado, doutorado e extensão. A divisão de gestão vertical oferece congressos, fóruns, seminários, cursos de especialização e cursos in-company para profissionais, além de publicar livros e revistas relacionados a gestão e negócios. Suas instituições de ensino estão localizadas nos estados de Minas Gerais e São Paulo, Brasil. A Companhia atua por meio de diversas controladas, como Minas Gerais Educacao SA, Instituto Mineiro de Educacao e Cultura Uni-BH SA, Posse Gestao Patrimonial SA e HSM do Brasil SA.</v>
    <v>BVMF</v>
    <v>3.35</v>
    <v>4046</v>
    <v>45884.958391203705</v>
    <v>514</v>
    <v>7318260</v>
    <v>BRL</v>
    <v>Ânima Holding S/A</v>
    <v>Ânima Holding S/A</v>
    <v>3.34</v>
    <v>3.33</v>
    <v>Rua Harmonia, 1250 9 andar, Sumarezinho, SAO PAULO, SAO PAULO, 05.435-001 BR</v>
    <v>Miscellaneous Educational Service Providers</v>
    <v>ANIM3</v>
    <v>Ações</v>
    <v>Ânima Holding S/A (BVMF:ANIM3)</v>
    <v>-0.02</v>
    <v>-5.9699999999999996E-3</v>
    <v>4205100</v>
  </rv>
  <rv s="2">
    <v>515</v>
  </rv>
  <rv s="0">
    <v>https://www.bing.com/financeapi/forcetrigger?t=apn6hw&amp;q=BVMF%3aPRIO3&amp;form=skydnc</v>
    <v>Learn more on Bing</v>
  </rv>
  <rv s="8">
    <v>pt-BR</v>
    <v>apn6hw</v>
    <v>268435456</v>
    <v>1</v>
    <v>Da plataforma Refinitiv</v>
    <v>14</v>
    <v>15</v>
    <v>PRIO S.A. (BVMF:PRIO3)</v>
    <v>12</v>
    <v>16</v>
    <v>Finance</v>
    <v>5</v>
    <v>50.12</v>
    <v>32.68</v>
    <v>BVMF</v>
    <v>896346200</v>
    <v>38.85</v>
    <v>2008</v>
    <v>38.409999999999997</v>
    <v>1.2886</v>
    <v>B3 - Brazil Stock Exchange</v>
    <v>34787196022</v>
    <v>A Prio SA, anteriormente Petro Rio SA, é uma holding sediada no Brasil. Atua através de suas subsidiárias e é especializada em gerenciamento eficiente de reservatórios e redesenvolvimento de campos maduros. A principal estratégia da Companhia é a aquisição de campos de petróleo e gás, geralmente de grandes empresas petrolíferas, e a criação de valor através da racionalização de custos, bem como a eficiência e a gestão meticulosa dos reservatórios. Os ativos da Prio SA incluem o Campo de Tubarao Martelo, que produz aproximadamente 10 000 barris de petróleo por dia através de seis poços interligados à FPSO Bravo, bem como Wahoo, um bloco exploratório na Bacia de Campos com potencial para produzir mais de 125 milhões de barris no pré-sal. A Companhia possui diversas subsidiárias, como a Petro Rio O&amp;G Exploracao e Producao de Petroleo Ltda e a PRIO Bravo Ltda.</v>
    <v>BVMF</v>
    <v>38.799999999999997</v>
    <v>90</v>
    <v>45884.958333333336</v>
    <v>517</v>
    <v>7568090</v>
    <v>BRL</v>
    <v>PRIO S.A.</v>
    <v>PRIO S.A.</v>
    <v>38.51</v>
    <v>38.81</v>
    <v>Pr De Botafogo 370 : 1 Andar Parte;, Botafogo, RIO DE JANEIRO, RIO DE JANEIRO, 22.250-040 BR</v>
    <v>Oil &amp; Gas</v>
    <v>PRIO3</v>
    <v>Ações</v>
    <v>PRIO S.A. (BVMF:PRIO3)</v>
    <v>0.01</v>
    <v>2.5770000000000003E-4</v>
    <v>6083300</v>
  </rv>
  <rv s="2">
    <v>518</v>
  </rv>
  <rv s="0">
    <v>https://www.bing.com/financeapi/forcetrigger?t=apn2c7&amp;q=BVMF%3aODPV3&amp;form=skydnc</v>
    <v>Learn more on Bing</v>
  </rv>
  <rv s="8">
    <v>pt-BR</v>
    <v>apn2c7</v>
    <v>268435456</v>
    <v>1</v>
    <v>Da plataforma Refinitiv</v>
    <v>14</v>
    <v>15</v>
    <v>ODONTOPREV S.A. (BVMF:ODPV3)</v>
    <v>12</v>
    <v>16</v>
    <v>Finance</v>
    <v>5</v>
    <v>12.8</v>
    <v>9.34</v>
    <v>BVMF</v>
    <v>552495700</v>
    <v>12.8</v>
    <v>1987</v>
    <v>12.21</v>
    <v>0.51170000000000004</v>
    <v>B3 - Brazil Stock Exchange</v>
    <v>7071944960</v>
    <v>A ODONTOPREV S.A. é uma empresa estabelecida no Brasil, que atua principalmente na prestação de serviços de tratamento dentário. A empresa opera no gerenciamento, na venda e no fornecimento de planos e serviços privados de tratamentos dentários. Oferece serviços para pessoas físicas e jurídicas. Os serviços odontológicos da empresa estão organizados em três segmentos principais: planos coletivos pré-pagos, planos coletivos pós-pagos e planos individuais pré-pagos. Através de sua subsidiária indireta Easy Software Ltda., a empresa também atua no desenvolvimento de software de computadores para a indústria odontológica. A ODONTOPREV S.A. tem participação acionária em várias subsidiárias, como Clidec - Clínica Dentária Especializada Cura Dar's Ltda., Odontoprev Serviços Ltda., Garcia Pedrosa Ltda. e Adcon Administradora de Convênios Odontológicos Ltda. Ademais, a empresa é uma subsidiária da Bradesco Saúde S.A., uma unidade do Banco Bradesco Seguros e Previdência S.A., que pertence ao Banco Bradesco S.A.</v>
    <v>BVMF</v>
    <v>12.25</v>
    <v>2026</v>
    <v>45884.958333333336</v>
    <v>520</v>
    <v>2197630</v>
    <v>BRL</v>
    <v>ODONTOPREV S.A.</v>
    <v>ODONTOPREV S.A.</v>
    <v>12.3</v>
    <v>12.8</v>
    <v>Alameda Araguaia, 2104 - 21 Andar, Alphaville, BARUERI, SAO PAULO, 06.460-040 BR</v>
    <v>Healthcare Providers &amp; Services</v>
    <v>ODPV3</v>
    <v>Ações</v>
    <v>ODONTOPREV S.A. (BVMF:ODPV3)</v>
    <v>0.55000000000000004</v>
    <v>4.4898E-2</v>
    <v>1391400</v>
  </rv>
  <rv s="2">
    <v>521</v>
  </rv>
  <rv s="0">
    <v>https://www.bing.com/financeapi/forcetrigger?t=c1w2k2&amp;q=BVMF%3aRECV3&amp;form=skydnc</v>
    <v>Learn more on Bing</v>
  </rv>
  <rv s="8">
    <v>pt-BR</v>
    <v>c1w2k2</v>
    <v>268435456</v>
    <v>1</v>
    <v>Da plataforma Refinitiv</v>
    <v>14</v>
    <v>15</v>
    <v>PetroRecôncavo S.A. (BVMF:RECV3)</v>
    <v>12</v>
    <v>16</v>
    <v>Finance</v>
    <v>5</v>
    <v>19.47</v>
    <v>11.88</v>
    <v>BVMF</v>
    <v>293472100</v>
    <v>12.73</v>
    <v>2000</v>
    <v>12.5</v>
    <v>0.8327</v>
    <v>B3 - Brazil Stock Exchange</v>
    <v>3721226228</v>
    <v>A PetroReconcavo SA é uma empresa operadora independente de petróleo e gás sediada no Brasil. A Companhia se especializa na operação, desenvolvimento e revitalização de campos maduros em bacias terrestres de óleo e gás (onshore). A Companhia possui 155,9 MMboe de reservas brutas 2P (working interest). A Companhia avança na criação das condições de acesso às infraestruturas essenciais de escoamento e processamento de gás natural mediante a contratação de serviços na modalidade de “tolling”, que a permite acessar diretamente o mercado nacional de gás. O modelo de negócios da Companhia baseia-se na compra (ou na prestação de serviços de operação) de concessões de campos onshore maduros, operando esses campos, revitalizando-os e estendendo suas reservas.</v>
    <v>BVMF</v>
    <v>12.66</v>
    <v>532</v>
    <v>45884.958356481482</v>
    <v>523</v>
    <v>1731250</v>
    <v>BRL</v>
    <v>PetroRecôncavo S.A.</v>
    <v>PetroRecôncavo S.A.</v>
    <v>12.66</v>
    <v>12.68</v>
    <v>Est Do Vinte Mil Km 3,5 Estacao De Sao Roque, Mata De Sao Joao, MATA DE SAO JOAO, BAHIA, 48.280-000 BR</v>
    <v>Oil &amp; Gas</v>
    <v>RECV3</v>
    <v>Ações</v>
    <v>PetroRecôncavo S.A. (BVMF:RECV3)</v>
    <v>0.02</v>
    <v>1.58E-3</v>
    <v>1685100</v>
  </rv>
  <rv s="2">
    <v>524</v>
  </rv>
  <rv s="0">
    <v>https://www.bing.com/financeapi/forcetrigger?t=btrmim&amp;q=BVMF%3aMDNE3&amp;form=skydnc</v>
    <v>Learn more on Bing</v>
  </rv>
  <rv s="8">
    <v>pt-BR</v>
    <v>btrmim</v>
    <v>268435456</v>
    <v>1</v>
    <v>Da plataforma Refinitiv</v>
    <v>14</v>
    <v>15</v>
    <v>Moura Dubeux Engenharia S/A (BVMF:MDNE3)</v>
    <v>12</v>
    <v>16</v>
    <v>Finance</v>
    <v>5</v>
    <v>24.77</v>
    <v>9.74</v>
    <v>BVMF</v>
    <v>84909370</v>
    <v>23.95</v>
    <v>1987</v>
    <v>23.29</v>
    <v>1.6379999999999999</v>
    <v>B3 - Brazil Stock Exchange</v>
    <v>1996219288</v>
    <v>A Moura Dubeux Engenharia SA é uma empresa sediada no Brasil que atua principalmente no setor imobiliário residencial. A Empresa atua na compra e venda de propriedades; parcelamento e locação, incorporação e construção de imóveis. O portfólio da Companhia inclui principalmente edifícios de apartamentos nos estados brasileiros de Alagoas, Bahia, Ceará, Pernambuco e Rio Grande do Norte. Em 31 de dezembro de 2011, as subsidiárias da Companhia incluíam MD Colonial Empreendimentos Imobiliarios Ltda, MD PE Distribution Park Suape Ltda, MD PE Novo Jardim Construções SA, MD PE Cedro Empreendimentos Imobiliarios Ltda, Moura Dubeux Engenharia e Empreendimentos SA, Clic Administradora SA, MD Imoveis Ltda, AGM Empreendimentos Imobiliarios Ltda e MD Edificio Hilson de Azavedo Mota Ltda, entre outros.</v>
    <v>BVMF</v>
    <v>23.55</v>
    <v>1388</v>
    <v>45884.958391203705</v>
    <v>526</v>
    <v>810620</v>
    <v>BRL</v>
    <v>Moura Dubeux Engenharia S/A</v>
    <v>Moura Dubeux Engenharia S/A</v>
    <v>23.73</v>
    <v>23.51</v>
    <v>Av Engenheiro Domingos Ferreira 467 13 Andar Parte, Pina, RECIFE, PERNAMBUCO, 51.011-050 BR</v>
    <v>Real Estate Operations</v>
    <v>MDNE3</v>
    <v>Ações</v>
    <v>Moura Dubeux Engenharia S/A (BVMF:MDNE3)</v>
    <v>-0.04</v>
    <v>-1.699E-3</v>
    <v>567000</v>
  </rv>
  <rv s="2">
    <v>527</v>
  </rv>
  <rv s="0">
    <v>https://www.bing.com/financeapi/forcetrigger?t=apn94c&amp;q=BVMF%3aRCSL4&amp;form=skydnc</v>
    <v>Learn more on Bing</v>
  </rv>
  <rv s="8">
    <v>pt-BR</v>
    <v>apn94c</v>
    <v>268435456</v>
    <v>1</v>
    <v>Da plataforma Refinitiv</v>
    <v>14</v>
    <v>15</v>
    <v>RECRUSUL S.A. (BVMF:RCSL4)</v>
    <v>12</v>
    <v>16</v>
    <v>Finance</v>
    <v>5</v>
    <v>2.33</v>
    <v>0.64</v>
    <v>BVMF</v>
    <v>31822290</v>
    <v>1.2</v>
    <v>1954</v>
    <v>1.06</v>
    <v>1.4278</v>
    <v>B3 - Brazil Stock Exchange</v>
    <v>41726150</v>
    <v>A RECRUSUL S.A. é uma empresa brasileira que se dedica principalmente à produção de semirreboques e tanques especializados. A Empresa divide seu negócio em dois segmentos: Implementos Rodoviários e Refrigeração Industrial e Assistência Técnica. Por meio do segmento de Implementos Rodoviários, a Empresa atua na produção de semirreboques refrigerados; tanques para transporte de combustíveis; tanques de aço inoxidável para produtos químicos, petroquímicos e alimentos em geral, e silos para indústrias de alimentos, cimento e construção, entre outros. No segmento de Refrigeração e Assistência Técnica, a Empresa atua no fornecimento de soluções customizadas para equipamentos industriais, como evaporadores, separadores e tanques de líquidos, condensadores evaporativos, painéis isolantes, túneis de congelamento e portas isoladas. Em 31 de dezembro de 2011, as subsidiárias da Empresa eram Refrima SA, Refrisa SA e Recrusul Turismo Ltda.</v>
    <v>BVMF</v>
    <v>1.08</v>
    <v>106</v>
    <v>45884.958333333336</v>
    <v>529</v>
    <v>2955130</v>
    <v>BRL</v>
    <v>RECRUSUL S.A.</v>
    <v>RECRUSUL S.A.</v>
    <v>1.1000000000000001</v>
    <v>1.1000000000000001</v>
    <v>Av. Luiz Pasteur, 1020, Tres Portos, SAPUCAIA DO SUL, RIO GRANDE DO SUL, 93.212-360 BR</v>
    <v>Automobiles &amp; Auto Parts</v>
    <v>RCSL4</v>
    <v>Ações</v>
    <v>RECRUSUL S.A. (BVMF:RCSL4)</v>
    <v>0.02</v>
    <v>1.8519000000000001E-2</v>
    <v>6734200</v>
  </rv>
  <rv s="2">
    <v>530</v>
  </rv>
  <rv s="0">
    <v>https://www.bing.com/financeapi/forcetrigger?t=apnhfr&amp;q=BVMF%3aTPIS3&amp;form=skydnc</v>
    <v>Learn more on Bing</v>
  </rv>
  <rv s="8">
    <v>pt-BR</v>
    <v>apnhfr</v>
    <v>268435456</v>
    <v>1</v>
    <v>Da plataforma Refinitiv</v>
    <v>14</v>
    <v>15</v>
    <v>TPI - Triunfo Participações e Investimentos S.A. (BVMF:TPIS3)</v>
    <v>12</v>
    <v>16</v>
    <v>Finance</v>
    <v>5</v>
    <v>7.1</v>
    <v>3.59</v>
    <v>BVMF</v>
    <v>44000000</v>
    <v>3.67</v>
    <v>1999</v>
    <v>3.59</v>
    <v>1.8051999999999999</v>
    <v>B3 - Brazil Stock Exchange</v>
    <v>157960000</v>
    <v>A TPI - Triunfo Participações e Investimentos S.A. é uma empresa holding estabelecida no Brasil, que atua principalmente na operação de rodovias. A empresa divide seus negócios em quatro segmentos principais: concessões de rodovias, administração de portos, transporte costeiro e energia. No segmento de concessões de rodovias, a Triunfo atua na gestão, cobrança de pedágio, manutenção e conservação de estradas. No segmento de administração de portos, atua na operação de portos e em serviços de armazenagem. No segmento de transporte costeiro, a empresa opera no transporte aquático de cargas e em serviços de navegação. No segmento de energia, atua na geração e na transmissão da energia elétrica. A Triunfo conta com várias subsidiárias, inclusive a empresa Concessionária de Rodovias do Norte S.A. e a Transbrasiliana Concessionária de Rodovia S.A., dentre outras. Em 26 de agosto de 2014, a empresa adquiriu o Fundo de Investimento em Participações Constantinopla.</v>
    <v>BVMF</v>
    <v>3.66</v>
    <v>3380</v>
    <v>45884.958333333336</v>
    <v>532</v>
    <v>11910</v>
    <v>BRL</v>
    <v>TPI - Triunfo Participações e Investimentos S.A.</v>
    <v>TPI - Triunfo Participações e Investimentos S.A.</v>
    <v>3.66</v>
    <v>3.59</v>
    <v>Rua Olimpiadas, 205,14 andar, Vila Olimpia, SAO PAULO, SAO PAULO, 04.551-000 BR</v>
    <v>Transport Infrastructure</v>
    <v>TPIS3</v>
    <v>Ações</v>
    <v>TPI - Triunfo Participações e Investimentos S.A. (BVMF:TPIS3)</v>
    <v>-7.0000000000000007E-2</v>
    <v>-1.9126000000000001E-2</v>
    <v>19700</v>
  </rv>
  <rv s="2">
    <v>533</v>
  </rv>
  <rv s="0">
    <v>https://www.bing.com/financeapi/forcetrigger?t=apml6h&amp;q=BVMF%3aTASA4&amp;form=skydnc</v>
    <v>Learn more on Bing</v>
  </rv>
  <rv s="8">
    <v>pt-BR</v>
    <v>apml6h</v>
    <v>268435456</v>
    <v>1</v>
    <v>Da plataforma Refinitiv</v>
    <v>14</v>
    <v>15</v>
    <v>Taurus Armas S.A (BVMF:TASA4)</v>
    <v>12</v>
    <v>16</v>
    <v>Finance</v>
    <v>5</v>
    <v>10.6</v>
    <v>4.5</v>
    <v>BVMF</v>
    <v>139297900</v>
    <v>4.75</v>
    <v>1939</v>
    <v>4.63</v>
    <v>1.2588999999999999</v>
    <v>B3 - Brazil Stock Exchange</v>
    <v>699842600</v>
    <v>A Taurus Armas SA, anteriormente conhecida como Forjas Taurus SA, é uma empresa sediada no Brasil e tem como atividade principal a produção de armas curtas. A Companhia divide seus segmentos operacionais em armas, capacetes e outros. O segmento de armas fabrica e distribui revólveres, pistolas civis e militares e munições, bem como peças de metal personalizadas, como peças de motocicletas. O segmento de capacetes está envolvido na produção de capacetes para motociclistas. O segmento outros inclui a fabricação e comercialização de vidros, produtos plásticos injetados, como recipientes para resíduos, ferramentas para construção, mecânica e jardinagem e Metal Injection Moulding (MIM), utilizados em diversos setores, como automotivo, eletrônico ou petrolífero, entre outros. A Companhia, em conjunto com suas subsidiárias, opera múltiplas unidades fabris localizadas no estado brasileiro do Rio Grande do Sul, no estado do Paraná, no estado da Bahia e nos Estados Unidos.</v>
    <v>BVMF</v>
    <v>4.76</v>
    <v>3286</v>
    <v>45884.958391203705</v>
    <v>535</v>
    <v>361070</v>
    <v>BRL</v>
    <v>Taurus Armas S.A</v>
    <v>Taurus Armas S.A</v>
    <v>4.74</v>
    <v>4.6900000000000004</v>
    <v>Avenida Sao Borja 2181/Predio A, Fazenda Sao Borja, SAO LEOPOLDO, RIO GRANDE DO SUL, 93.035-411 BR</v>
    <v>Aerospace &amp; Defense</v>
    <v>TASA4</v>
    <v>Ações</v>
    <v>Taurus Armas S.A (BVMF:TASA4)</v>
    <v>-7.0000000000000007E-2</v>
    <v>-1.4705999999999999E-2</v>
    <v>288800</v>
  </rv>
  <rv s="2">
    <v>536</v>
  </rv>
  <rv s="0">
    <v>https://www.bing.com/financeapi/forcetrigger?t=apnd4c&amp;q=BVMF%3aSNSY5&amp;form=skydnc</v>
    <v>Learn more on Bing</v>
  </rv>
  <rv s="8">
    <v>pt-BR</v>
    <v>apnd4c</v>
    <v>268435456</v>
    <v>1</v>
    <v>Da plataforma Refinitiv</v>
    <v>14</v>
    <v>15</v>
    <v>Sansuy S/A Indústria de Plásticos em Recuperação Judicial (BVMF:SNSY5)</v>
    <v>12</v>
    <v>16</v>
    <v>Finance</v>
    <v>5</v>
    <v>6.29</v>
    <v>3.29</v>
    <v>BVMF</v>
    <v>7716400</v>
    <v>3.53</v>
    <v>1979</v>
    <v>3.53</v>
    <v>0.45500000000000002</v>
    <v>B3 - Brazil Stock Exchange</v>
    <v>48368780</v>
    <v>Sansuy SA Industria de Plasticos em Recuperacao Judicial é uma produtora brasileira de mangueiras resistentes a alta pressão para pulverização agrícola. A empresa está organizada em duas principais unidades de negócios: Plásticos laminados e confecionados de cloreto de polivinilo (PVC), bem como tubos de plástico. Os laminados de PVC são inicialmente fabricados usando o processo de calandragem. O resultado é um produto com uma estrutura reforçada (laminado reforçado) e flexibilidade projetado para várias necessidades, incluindo a fabricação de lonas de vinil e revestimentos para o mercado automotivo. A unidade da empresa em Embu das Artes é responsável pela produção de tubos de polietileno de alta densidade (HDPE) até um diâmetro interno de 3000 mm. Os clientes da Sansuy SA incluem Mercedes Benz, Promo Inflavieis, Weatherhaven e WhiteMartins.</v>
    <v>BVMF</v>
    <v>3.51</v>
    <v>1460</v>
    <v>45884.958333333336</v>
    <v>538</v>
    <v>950</v>
    <v>BRL</v>
    <v>Sansuy S/A Indústria de Plásticos em Recuperação Judicial</v>
    <v>Sansuy S/A Indústria de Plásticos em Recuperação Judicial</v>
    <v>3.53</v>
    <v>3.53</v>
    <v>Rua dos Plasticos, 761, Area Indl. Leste, CAMACARI, BAHIA, 42.810-240 BR</v>
    <v>Chemicals</v>
    <v>SNSY5</v>
    <v>Ações</v>
    <v>Sansuy S/A Indústria de Plásticos em Recuperação Judicial (BVMF:SNSY5)</v>
    <v>0.02</v>
    <v>5.6979999999999999E-3</v>
    <v>100</v>
  </rv>
  <rv s="2">
    <v>539</v>
  </rv>
  <rv s="0">
    <v>https://www.bing.com/financeapi/forcetrigger?t=bvjsa2&amp;q=BVMF%3aLAVV3&amp;form=skydnc</v>
    <v>Learn more on Bing</v>
  </rv>
  <rv s="8">
    <v>pt-BR</v>
    <v>bvjsa2</v>
    <v>268435456</v>
    <v>1</v>
    <v>Da plataforma Refinitiv</v>
    <v>14</v>
    <v>15</v>
    <v>Lavvi Empreendimentos Imobiliários S/A (BVMF:LAVV3)</v>
    <v>12</v>
    <v>16</v>
    <v>Finance</v>
    <v>5</v>
    <v>13.03</v>
    <v>6.62</v>
    <v>BVMF</v>
    <v>195434400</v>
    <v>12.7</v>
    <v>2016</v>
    <v>11.96</v>
    <v>1.1553</v>
    <v>B3 - Brazil Stock Exchange</v>
    <v>2413614000</v>
    <v>Lavvi Empreendimentos Imobiliarios S/A, antiga Lavvi Empreendimentos Imobiliarios Ltda é uma empresa brasileira de desenvolvimento e construção de imóveis residenciais e não residenciais de médio, alto e alto nível, na capital de São Paulo. As atividades da Companhia são compostas por um segmento operacional: O desenvolvimento imobiliário. Os projetos da Lavvi incluem Soleil by Boca do Lobo, Heaven Residences, Green View Residence, Wonder by Praças da Cidade, Heaven Apartments e Wonder Ipiranga Residence. A Lavvi Empreendimentos Imobiliários S/A adquire o terreno, desenvolve e legaliza o projeto, comercializa as unidades e entrega o projeto imobiliário final. A Companhia possui duas subsidiárias: LV Construcao e Empreitada Ltda e Lior Consultoria Imobiliaria Ltda.</v>
    <v>BVMF</v>
    <v>12.21</v>
    <v>16</v>
    <v>45884.958391203705</v>
    <v>541</v>
    <v>417190</v>
    <v>BRL</v>
    <v>Lavvi Empreendimentos Imobiliários S/A</v>
    <v>Lavvi Empreendimentos Imobiliários S/A</v>
    <v>12.7</v>
    <v>12.12</v>
    <v>Avenida Angelica, 2346 8 andar CJ 84, Bairro Consolacao, Sao Paulo, SAO PAULO, 01.228-200 BR</v>
    <v>Real Estate Operations</v>
    <v>LAVV3</v>
    <v>Ações</v>
    <v>Lavvi Empreendimentos Imobiliários S/A (BVMF:LAVV3)</v>
    <v>-0.09</v>
    <v>-7.3709999999999999E-3</v>
    <v>512600</v>
  </rv>
  <rv s="2">
    <v>542</v>
  </rv>
  <rv s="0">
    <v>https://www.bing.com/financeapi/forcetrigger?t=aplvcw&amp;q=BVMF%3aALPA3&amp;form=skydnc</v>
    <v>Learn more on Bing</v>
  </rv>
  <rv s="8">
    <v>pt-BR</v>
    <v>aplvcw</v>
    <v>268435456</v>
    <v>1</v>
    <v>Da plataforma Refinitiv</v>
    <v>14</v>
    <v>15</v>
    <v>ALPARGATAS S.A. (BVMF:ALPA3)</v>
    <v>12</v>
    <v>16</v>
    <v>Finance</v>
    <v>5</v>
    <v>9.5</v>
    <v>5.61</v>
    <v>BVMF</v>
    <v>683062200</v>
    <v>8.9</v>
    <v>1907</v>
    <v>8.51</v>
    <v>1.0237000000000001</v>
    <v>B3 - Brazil Stock Exchange</v>
    <v>6288699000</v>
    <v>Alpargatas SA, anteriormente São Paulo Alpargatas SA, é uma empresa brasileira que atua na produção de calçados, vestuário e artigos esportivos. A Companhia fabrica e vende calçados e seus componentes, roupas e produtos têxteis. O portfólio de marcas da empresa inclui Havaianas, fabricando chinelos em vários designs e cores; Osklen, uma marca de moda que oferece roupas masculinas e femininas, sapatos e acessórios, como bolsas e óculos de sol, e Dupe, fabricante de sandálias que usa a tecnologia HXP Gel que proporciona mais conforto e suavidade aos pés dos consumidores. A empresa está presente em todo o mundo, incluindo Colômbia, Hong Kong, Londres, Lisboa e São Paulo.</v>
    <v>BVMF</v>
    <v>8.93</v>
    <v>17000</v>
    <v>45884.958333333336</v>
    <v>544</v>
    <v>2415310</v>
    <v>BRL</v>
    <v>ALPARGATAS S.A.</v>
    <v>ALPARGATAS S.A.</v>
    <v>8.9</v>
    <v>8.58</v>
    <v>Av. das Nacoes Unidas, 14.261, Vila Gertrudes, SAO PAULO, SAO PAULO, 04.794-000 BR</v>
    <v>Textiles &amp; Apparel</v>
    <v>ALPA3</v>
    <v>Ações</v>
    <v>ALPARGATAS S.A. (BVMF:ALPA3)</v>
    <v>-0.35</v>
    <v>-3.9194E-2</v>
    <v>4300</v>
  </rv>
  <rv s="2">
    <v>545</v>
  </rv>
  <rv s="0">
    <v>https://www.bing.com/financeapi/forcetrigger?t=c2vjhw&amp;q=BVMF%3aLVTC3&amp;form=skydnc</v>
    <v>Learn more on Bing</v>
  </rv>
  <rv s="9">
    <v>pt-BR</v>
    <v>c2vjhw</v>
    <v>268435456</v>
    <v>1</v>
    <v>Da plataforma Refinitiv</v>
    <v>17</v>
    <v>18</v>
    <v>Livetech da Bahia Indústria e Comércio S.A. (BVMF:LVTC3)</v>
    <v>12</v>
    <v>19</v>
    <v>Finance</v>
    <v>5</v>
    <v>4.0199999999999996</v>
    <v>2.0099999999999998</v>
    <v>BVMF</v>
    <v>63461460</v>
    <v>3.27</v>
    <v>2003</v>
    <v>3.18</v>
    <v>1.48</v>
    <v>B3 - Brazil Stock Exchange</v>
    <v>207518974</v>
    <v>A Livetech da Bahia Industria e Comercio SA (WDC Networks) é uma empresa de fornecimento de equipamentos e de soluções de Telecom, Tecnologia da Informação (TI), e Energia Solar sediada no Brasil que atende uma variada gama de clientes nacionalmente e na Colômbia, Estados Unidos e Panamá. A Companhia desenvolveu um modelo de negócio de locação de equipamentos, transformando Capex em Opex, denominado como TaaS (Technology as a Service). A Companhia fornece serviços e produtos, incluindo infraestrutura de banda larga, câmeras de vigilância, sistemas de controle de acesso, Cibersegurança, data center, automação, e geradores de energia solar.</v>
    <v>BVMF</v>
    <v>3.17</v>
    <v>45884.958391203705</v>
    <v>547</v>
    <v>35880</v>
    <v>BRL</v>
    <v>Livetech da Bahia Indústria e Comércio S.A.</v>
    <v>Livetech da Bahia Indústria e Comércio S.A.</v>
    <v>3.21</v>
    <v>3.27</v>
    <v>Rodovia BA-262, Ilheus x Urucuca, s/n, Km 2,8 Quadra A, Polo de Informatica, Iguape, ILHEUS, BAHIA, 45.658-335 BR</v>
    <v>Telecommunications Services</v>
    <v>LVTC3</v>
    <v>Ações</v>
    <v>Livetech da Bahia Indústria e Comércio S.A. (BVMF:LVTC3)</v>
    <v>0.1</v>
    <v>3.1545999999999998E-2</v>
    <v>10500</v>
  </rv>
  <rv s="2">
    <v>548</v>
  </rv>
  <rv s="0">
    <v>https://www.bing.com/financeapi/forcetrigger?t=aplzoc&amp;q=BVMF%3aBEEF3&amp;form=skydnc</v>
    <v>Learn more on Bing</v>
  </rv>
  <rv s="8">
    <v>pt-BR</v>
    <v>aplzoc</v>
    <v>268435456</v>
    <v>1</v>
    <v>Da plataforma Refinitiv</v>
    <v>14</v>
    <v>15</v>
    <v>Minerva S.A (BVMF:BEEF3)</v>
    <v>12</v>
    <v>16</v>
    <v>Finance</v>
    <v>5</v>
    <v>7.3</v>
    <v>3.75</v>
    <v>BVMF</v>
    <v>994489400</v>
    <v>4.92</v>
    <v>1992</v>
    <v>4.75</v>
    <v>0.77549999999999997</v>
    <v>B3 - Brazil Stock Exchange</v>
    <v>4882942954</v>
    <v>A Minerva SA é uma empresa sediada no Brasil que tem por objetivo principal a produção e comercialização de carne bovina. As atividades da Empresa estão divididas em dois segmentos de negócio: Carne e Pecuária. A divisão Carnes atua na produção e comercialização de carne bovina in natura. Este segmento inclui o processamento de carne bovina, suína e de aves, bem como a produção e comercialização de subprodutos do gado, como peles ou miúdos. A divisão Pecuária tem como foco a exportação de gado vivo. A Companhia opera frigoríficos no Brasil, Paraguai Uruguai, Colômbia e Argentina, planta de processamento de carnes no Brasil e duas plantas de processamento de proteínas na Argentina. A Firma possui diversas subsidiárias, como Minerva Dawn Farms Industria e Comercio de Proteinas SA, CSAP Companhia Sul Americana de Pecuaria SA e Athena Foods SA, entre outras.</v>
    <v>BVMF</v>
    <v>4.79</v>
    <v>22000</v>
    <v>45884.958333333336</v>
    <v>550</v>
    <v>14338290</v>
    <v>BRL</v>
    <v>Minerva S.A</v>
    <v>Minerva S.A</v>
    <v>4.7699999999999996</v>
    <v>4.91</v>
    <v>Avenida Antonio Manco Bernardes s/n, BARRETOS, SAO PAULO, 14.781-545 BR</v>
    <v>Food &amp; Tobacco</v>
    <v>BEEF3</v>
    <v>Ações</v>
    <v>Minerva S.A (BVMF:BEEF3)</v>
    <v>0.12</v>
    <v>2.5051999999999998E-2</v>
    <v>8681200</v>
  </rv>
  <rv s="2">
    <v>551</v>
  </rv>
  <rv s="0">
    <v>https://www.bing.com/financeapi/forcetrigger?t=aplvfr&amp;q=BVMF%3aALPA4&amp;form=skydnc</v>
    <v>Learn more on Bing</v>
  </rv>
  <rv s="8">
    <v>pt-BR</v>
    <v>aplvfr</v>
    <v>268435456</v>
    <v>1</v>
    <v>Da plataforma Refinitiv</v>
    <v>14</v>
    <v>15</v>
    <v>ALPARGATAS S.A. (BVMF:ALPA4)</v>
    <v>12</v>
    <v>16</v>
    <v>Finance</v>
    <v>5</v>
    <v>10.01</v>
    <v>5.86</v>
    <v>BVMF</v>
    <v>683062200</v>
    <v>9.5399999999999991</v>
    <v>1907</v>
    <v>9.27</v>
    <v>1.0237000000000001</v>
    <v>B3 - Brazil Stock Exchange</v>
    <v>6288699000</v>
    <v>Alpargatas SA, anteriormente São Paulo Alpargatas SA, é uma empresa brasileira que atua na produção de calçados, vestuário e artigos esportivos. A Companhia fabrica e vende calçados e seus componentes, roupas e produtos têxteis. O portfólio de marcas da empresa inclui Havaianas, fabricando chinelos em vários designs e cores; Osklen, uma marca de moda que oferece roupas masculinas e femininas, sapatos e acessórios, como bolsas e óculos de sol, e Dupe, fabricante de sandálias que usa a tecnologia HXP Gel que proporciona mais conforto e suavidade aos pés dos consumidores. A empresa está presente em todo o mundo, incluindo Colômbia, Hong Kong, Londres, Lisboa e São Paulo.</v>
    <v>BVMF</v>
    <v>9.48</v>
    <v>17000</v>
    <v>45884.958333333336</v>
    <v>553</v>
    <v>2415310</v>
    <v>BRL</v>
    <v>ALPARGATAS S.A.</v>
    <v>ALPARGATAS S.A.</v>
    <v>9.35</v>
    <v>9.4</v>
    <v>Av. das Nacoes Unidas, 14.261, Vila Gertrudes, SAO PAULO, SAO PAULO, 04.794-000 BR</v>
    <v>Textiles &amp; Apparel</v>
    <v>ALPA4</v>
    <v>Ações</v>
    <v>ALPARGATAS S.A. (BVMF:ALPA4)</v>
    <v>-0.08</v>
    <v>-8.4390000000000003E-3</v>
    <v>998800</v>
  </rv>
  <rv s="2">
    <v>554</v>
  </rv>
  <rv s="0">
    <v>https://www.bing.com/financeapi/forcetrigger?t=c2tzrw&amp;q=BVMF%3aMLAS3&amp;form=skydnc</v>
    <v>Learn more on Bing</v>
  </rv>
  <rv s="8">
    <v>pt-BR</v>
    <v>c2tzrw</v>
    <v>268435456</v>
    <v>1</v>
    <v>Da plataforma Refinitiv</v>
    <v>14</v>
    <v>15</v>
    <v>GRUPO MULTI S.A. (BVMF:MLAS3)</v>
    <v>12</v>
    <v>16</v>
    <v>Finance</v>
    <v>5</v>
    <v>2.1</v>
    <v>0.99</v>
    <v>BVMF</v>
    <v>820539200</v>
    <v>1.01</v>
    <v>1988</v>
    <v>0.99</v>
    <v>1.8257000000000001</v>
    <v>B3 - Brazil Stock Exchange</v>
    <v>828744592</v>
    <v>O Grupo Multi SA, anteriormente Multilaser Industrial SA, é uma empresa diversificada de bens de consumo com sede no Brasil. Está envolvida no desenvolvimento, fabricação, distribuição, vendas e serviços pós-venda de vários produtos em diferentes setores, como smartphones, drives USB (Universal Serial Bus), pequenos aparelhos, utensílios domésticos, acessórios e equipamentos esportivos, instrumentos de saúde, redes de telecomunicações, acessórios e produtos automotivos, áudio e vídeo, segurança eletrônica, animais de estimação e cuidados infantis. As atividades do Grupo Multi estão divididas em quatro segmentos: Dispositivos Móveis, Suprimentos de Escritório e Tecnologia da Informação (TI), Produtos Elétricos Domésticos e Kids &amp; Sports. A empresa está estruturada em 14 unidades de negócios com equipes especializadas em áreas como marketing, engenharia e desenvolvimento de produtos.</v>
    <v>BVMF</v>
    <v>1.01</v>
    <v>5000</v>
    <v>45884.958391203705</v>
    <v>556</v>
    <v>1206550</v>
    <v>BRL</v>
    <v>GRUPO MULTI S.A.</v>
    <v>GRUPO MULTI S.A.</v>
    <v>1.01</v>
    <v>1.01</v>
    <v>Avenida Brigadeiro Faria Lima, n 1811 15 andar, Jardim America, SAO PAULO, SAO PAULO, 01.452-000 BR</v>
    <v>Computers, Phones &amp; Household Electronics</v>
    <v>MLAS3</v>
    <v>Ações</v>
    <v>GRUPO MULTI S.A. (BVMF:MLAS3)</v>
    <v>0</v>
    <v>0</v>
    <v>1322700</v>
  </rv>
  <rv s="2">
    <v>557</v>
  </rv>
  <rv s="0">
    <v>https://www.bing.com/financeapi/forcetrigger?t=apmj52&amp;q=BVMF%3aEUCA4&amp;form=skydnc</v>
    <v>Learn more on Bing</v>
  </rv>
  <rv s="8">
    <v>pt-BR</v>
    <v>apmj52</v>
    <v>268435456</v>
    <v>1</v>
    <v>Da plataforma Refinitiv</v>
    <v>14</v>
    <v>15</v>
    <v>Eucatex S.A. Industria e Comercio (BVMF:EUCA4)</v>
    <v>12</v>
    <v>16</v>
    <v>Finance</v>
    <v>5</v>
    <v>19.3</v>
    <v>11.85</v>
    <v>BVMF</v>
    <v>92619260</v>
    <v>17.600000000000001</v>
    <v>1951</v>
    <v>17.350000000000001</v>
    <v>1.0196000000000001</v>
    <v>B3 - Brazil Stock Exchange</v>
    <v>1648829000</v>
    <v>A EUCATEX S.A. INDÚSTRIA E COMÉRCIO é uma empresa brasileira que se dedica essencialmente à fabricação de painéis de madeira e tintas. A Empresa produz e comercializa painéis prensados, painéis de fibra de média densidade (MDF), MDF fino de alta densidade (THDF), aglomerado de densidade média (MDP), piso laminado e portas, entre outros. Através de suas subsidiárias, a Empresa também atua na produção e venda de tintas decorativas e vernizes, atividades florestais e distribuição de energia elétrica. Em 31 de dezembro de 2011, a Empresa operava quatro unidades industriais e aproximadamente 45.400 hectares de floresta localizados no estado brasileiro de São Paulo. Em 31 de dezembro de 2011, as subsidiárias diretas da Empresa eram a Eucatex Tintas e Vernizes Ltda., a Eucatex Distribuidora de Solventes Ltda., a Eucatex of North America Inc, Tamboré Ind e Com Prod Met Ltda., Eucatex Comercial e Logística Ltda., Novo Prisma Agro-Florestal Ltda., Eucatex Imobiliária Ltda. e ECTX SA.</v>
    <v>BVMF</v>
    <v>17.350000000000001</v>
    <v>2378</v>
    <v>45884.958333333336</v>
    <v>559</v>
    <v>34920</v>
    <v>BRL</v>
    <v>Eucatex S.A. Industria e Comercio</v>
    <v>Eucatex S.A. Industria e Comercio</v>
    <v>17.54</v>
    <v>17.600000000000001</v>
    <v>Av. Juscelino Kubitschek, 1830 11 andar,Torre I, Vila Olimpia, SAO PAULO, SAO PAULO, 04.543-900 BR</v>
    <v>Paper &amp; Forest Products</v>
    <v>EUCA4</v>
    <v>Ações</v>
    <v>Eucatex S.A. Industria e Comercio (BVMF:EUCA4)</v>
    <v>0.25</v>
    <v>1.4409E-2</v>
    <v>20100</v>
  </rv>
  <rv s="2">
    <v>560</v>
  </rv>
  <rv s="0">
    <v>https://www.bing.com/financeapi/forcetrigger?t=azh5a2&amp;q=BVMF%3aB3SA3&amp;form=skydnc</v>
    <v>Learn more on Bing</v>
  </rv>
  <rv s="8">
    <v>pt-BR</v>
    <v>azh5a2</v>
    <v>268435456</v>
    <v>1</v>
    <v>Da plataforma Refinitiv</v>
    <v>14</v>
    <v>15</v>
    <v>B3 S.A - Brasil, Bolsa, Balcão (BVMF:B3SA3)</v>
    <v>12</v>
    <v>16</v>
    <v>Finance</v>
    <v>5</v>
    <v>15.03</v>
    <v>8.84</v>
    <v>BVMF</v>
    <v>5426500000</v>
    <v>13.16</v>
    <v>2007</v>
    <v>12.77</v>
    <v>1.5052000000000001</v>
    <v>B3 - Brazil Stock Exchange</v>
    <v>71358475000</v>
    <v>B3 SA Brasil Bolsa Balcão, anteriormente BM &amp; F Bovespa SA Bolsa de Valores Mercadorias e Futuros, é uma fornecedora de infra-estruturaa de mercado financeiro no Brasil. As ofertas de serviços da Companhia varia entre negociação cambial, compensação e outros serviços pós-negociação e registro de transações de balcão (OTC). A Companhia também fornece um serviço de listagem e atua como depósito central de valores mobiliários (CSD). Desenvolve soluções de software e oferece serviços de licenciamento de índice. Seu negócio está dividido em quatro segmentos: Bovespa, que abrange a negociação, compensação e liquidação de ações e derivativos patrimoniais; BM &amp; F, que abrange a negociação, compensação e liquidação de derivativos financeiros e de mercadorias (commodities); Cetip Securities (Cetip UTVM), cobrindo os sistemas de registro, compensação, liquidação e custódia de títulos de renda fixa e derivados OTC e Cetip Financing (Cetip UFIN), que fornece um sistema eletrônico privado integrado para registro de empréstimos de veículos e imóveis.</v>
    <v>BVMF</v>
    <v>12.85</v>
    <v>2135</v>
    <v>45884.958333333336</v>
    <v>562</v>
    <v>27917670</v>
    <v>BRL</v>
    <v>B3 S.A - Brasil, Bolsa, Balcão</v>
    <v>B3 S.A - Brasil, Bolsa, Balcão</v>
    <v>12.77</v>
    <v>13.15</v>
    <v>Praca Antonio Prado, 48 7 andar, Centro, SAO PAULO, SAO PAULO, 01.010-901 BR</v>
    <v>Investment Banking &amp; Investment Services</v>
    <v>B3SA3</v>
    <v>Ações</v>
    <v>B3 S.A - Brasil, Bolsa, Balcão (BVMF:B3SA3)</v>
    <v>0.3</v>
    <v>2.3345999999999999E-2</v>
    <v>25138200</v>
  </rv>
  <rv s="2">
    <v>563</v>
  </rv>
  <rv s="0">
    <v>https://www.bing.com/financeapi/forcetrigger?t=c33rbh&amp;q=BVMF%3aKRSA3&amp;form=skydnc</v>
    <v>Learn more on Bing</v>
  </rv>
  <rv s="7">
    <v>pt-BR</v>
    <v>c33rbh</v>
    <v>268435456</v>
    <v>1</v>
    <v>Da plataforma Refinitiv</v>
    <v>10</v>
    <v>11</v>
    <v>Kora Saúde Participações S.A. (BVMF:KRSA3)</v>
    <v>12</v>
    <v>13</v>
    <v>Finance</v>
    <v>5</v>
    <v>10</v>
    <v>4.17</v>
    <v>BVMF</v>
    <v>77334810</v>
    <v>8.8800000000000008</v>
    <v>2011</v>
    <v>8.8699999999999992</v>
    <v>0.82779999999999998</v>
    <v>B3 - Brazil Stock Exchange</v>
    <v>685959764</v>
    <v>A Kora Saude Participacoes SA é uma rede hospitalar sediada no Brasil. Com presença na gestão de leitos em cinco estados (Espírito Santo, Mato Grosso, Tocantins, Goiânia e Ceará) e nas cidades satélites do Distrito Federal, a Companhia também opera um parque na oferta de serviços de apoio diagnóstico e terapêutico, incluindo oncologia, análises clínicas, radiologia, hemodinâmica e outros. A Companhia conta com projetos de expansão de hospitais (brownfields) e construção de hospitais (greenfields). A grande maioria dos profissionais que prestam serviços nos hospitais da Companhia são independentes.</v>
    <v>BVMF</v>
    <v>8.8800000000000008</v>
    <v>4500</v>
    <v>45761.947916666664</v>
    <v>565</v>
    <v>BRL</v>
    <v>Kora Saúde Participações S.A.</v>
    <v>Kora Saúde Participações S.A.</v>
    <v>8.8800000000000008</v>
    <v>8.8699999999999992</v>
    <v>Avenida Desembargador Santos Neves n 207, Santa Lucia, VITORIA, ESPIRITO SANTO, 29.056-055 BR</v>
    <v>Healthcare Providers &amp; Services</v>
    <v>KRSA3</v>
    <v>Ações</v>
    <v>Kora Saúde Participações S.A. (BVMF:KRSA3)</v>
    <v>0</v>
    <v>0</v>
    <v>20000</v>
  </rv>
  <rv s="2">
    <v>566</v>
  </rv>
  <rv s="0">
    <v>https://www.bing.com/financeapi/forcetrigger?t=apm2pr&amp;q=BVMF%3aBOBR4&amp;form=skydnc</v>
    <v>Learn more on Bing</v>
  </rv>
  <rv s="8">
    <v>pt-BR</v>
    <v>apm2pr</v>
    <v>268435456</v>
    <v>1</v>
    <v>Da plataforma Refinitiv</v>
    <v>14</v>
    <v>15</v>
    <v>BOMBRIL S.A. (BVMF:BOBR4)</v>
    <v>12</v>
    <v>16</v>
    <v>Finance</v>
    <v>5</v>
    <v>3.06</v>
    <v>1.31</v>
    <v>BVMF</v>
    <v>260509800</v>
    <v>1.35</v>
    <v>1948</v>
    <v>1.31</v>
    <v>0.91390000000000005</v>
    <v>B3 - Brazil Stock Exchange</v>
    <v>346478034</v>
    <v>A Bombril SA, anteriormente conhecida como Bombril Cirio SA, é uma empresa brasileira envolvida na indústria de produtos de higiene e limpeza. A empresa fornece fabrica e comercializa uma gama de produtos para consumo doméstico e industrial, tais como lãs de aço, detergentes líquidos, pó de limpeza, desinfetantes, limpadores, detergentes, detergentes, produtos de limpeza, produtos de limpeza, produtos de limpeza, etc. produtos de sabão, amaciadores, esponjas sintéticas, líquido de lavanderia, sachets perfumados, e purificadores de ar, entre outros. A empresa oferece produtos sob várias marcas, incluindo Bombril, Limpol, Sapolio Radium, Pinho Bril, pratice, Tanto, Mon Bijou e Lysoform, entre outros. Por meio de suas subsidiárias, a Companhia atua no comércio por grosso de cosméticos, artigos de perfumaria e produtos de cuidados pessoais, bem como no setor imobiliário.</v>
    <v>BVMF</v>
    <v>1.34</v>
    <v>2911</v>
    <v>45884.958333333336</v>
    <v>568</v>
    <v>4360</v>
    <v>BRL</v>
    <v>BOMBRIL S.A.</v>
    <v>BOMBRIL S.A.</v>
    <v>1.31</v>
    <v>1.33</v>
    <v>Via Anchieta, KM 14,S/N, Rudge Ramos, SAO BERNARDO DO CAMPO, SAO PAULO, 09.696-000 BR</v>
    <v>Personal &amp; Household Products &amp; Services</v>
    <v>BOBR4</v>
    <v>Ações</v>
    <v>BOMBRIL S.A. (BVMF:BOBR4)</v>
    <v>-0.01</v>
    <v>-7.463E-3</v>
    <v>14600</v>
  </rv>
  <rv s="2">
    <v>569</v>
  </rv>
  <rv s="0">
    <v>https://www.bing.com/financeapi/forcetrigger?t=apmivh&amp;q=BVMF%3aETER3&amp;form=skydnc</v>
    <v>Learn more on Bing</v>
  </rv>
  <rv s="8">
    <v>pt-BR</v>
    <v>apmivh</v>
    <v>268435456</v>
    <v>1</v>
    <v>Da plataforma Refinitiv</v>
    <v>14</v>
    <v>15</v>
    <v>Eternit S.A. - Em Recuperação Judicial (BVMF:ETER3)</v>
    <v>12</v>
    <v>16</v>
    <v>Finance</v>
    <v>5</v>
    <v>6.36</v>
    <v>3.58</v>
    <v>BVMF</v>
    <v>61776580</v>
    <v>4.25</v>
    <v>1940</v>
    <v>4.0999999999999996</v>
    <v>1.8624000000000001</v>
    <v>B3 - Brazil Stock Exchange</v>
    <v>258843870</v>
    <v>A Eternit SA em Recuperacao Judicial, anteriormente Industrias Eternit SA é uma empresa brasileira com atividades no setor de coberturas. O objetivo da empresa é desenvolver e fabricar produtos e soluções para a indústria da construção civil. O portfólio de produtos da Eternit inclui materiais de cobertura (painéis de cobertura de fibrocimento e telhas de concreto), soluções de construção (painéis de revestimento de cimento, painéis de revestimento de parede, linha pratic), solar (telhas fotovoltaicas e folha solar), bem como acessórios (fita adesiva multiusos etertape, lã de rocha e membrana à prova d'água eternit). As unidades de produção da Companhia estão distribuídas em todas as regiões do Brasil e estão localizadas em cidades como Colombo no Paraná, Hortolandia em São Paulo, Rio de Janeiro e Simoes Filho na Bahia.</v>
    <v>BVMF</v>
    <v>4.1900000000000004</v>
    <v>631</v>
    <v>45884.958391203705</v>
    <v>571</v>
    <v>168180</v>
    <v>BRL</v>
    <v>Eternit S.A. - Em Recuperação Judicial</v>
    <v>Eternit S.A. - Em Recuperação Judicial</v>
    <v>4.2300000000000004</v>
    <v>4.1900000000000004</v>
    <v>Rua Dr. Fernandes Coelho, 85, 8 andar, Pinheiros, SAO PAULO, SAO PAULO, 05.423-040 BR</v>
    <v>Construction Materials</v>
    <v>ETER3</v>
    <v>Ações</v>
    <v>Eternit S.A. - Em Recuperação Judicial (BVMF:ETER3)</v>
    <v>0</v>
    <v>0</v>
    <v>51000</v>
  </rv>
  <rv s="2">
    <v>572</v>
  </rv>
  <rv s="0">
    <v>https://www.bing.com/financeapi/forcetrigger?t=bxgbu2&amp;q=BVMF%3aESPA3&amp;form=skydnc</v>
    <v>Learn more on Bing</v>
  </rv>
  <rv s="8">
    <v>pt-BR</v>
    <v>bxgbu2</v>
    <v>268435456</v>
    <v>1</v>
    <v>Da plataforma Refinitiv</v>
    <v>14</v>
    <v>15</v>
    <v>MPM Corpóreos S.A. (BVMF:ESPA3)</v>
    <v>12</v>
    <v>16</v>
    <v>Finance</v>
    <v>5</v>
    <v>1.23</v>
    <v>0.66</v>
    <v>BVMF</v>
    <v>361423100</v>
    <v>1.02</v>
    <v>2016</v>
    <v>0.98</v>
    <v>1.5911999999999999</v>
    <v>B3 - Brazil Stock Exchange</v>
    <v>361423100</v>
    <v>A MPM Corporeos SA é uma provedora de serviços de cuidados pessoais com sede no Brasil. A Companhia atua principalmente no setor de depilação a laser, atendendo clientes em lojas próprias e franqueadas em todos os estados brasileiros com a marca Espacolaser e na Argentina com a marca Definit. A sua oferta dirige-se a mulheres e homens e inclui a depilação de 35 e 29 zonas do corpo, respetivamente. Além disso, por meio da marca Estudioface, o Escritório oferece serviços e tratamentos de estética facial, como injeções de toxina botulínica (botox), outros preenchimentos, tratamentos faciais a laser e peelings, entre outros.</v>
    <v>BVMF</v>
    <v>1.01</v>
    <v>3038</v>
    <v>45884.958333333336</v>
    <v>574</v>
    <v>474190</v>
    <v>BRL</v>
    <v>MPM Corpóreos S.A.</v>
    <v>MPM Corpóreos S.A.</v>
    <v>1.02</v>
    <v>1</v>
    <v>Avenida dos Eucaliptos, no 763 sala 2, Indianopolis, Sao Paulo, SAO PAULO, 04.517-050 BR</v>
    <v>Personal &amp; Household Products &amp; Services</v>
    <v>ESPA3</v>
    <v>Ações</v>
    <v>MPM Corpóreos S.A. (BVMF:ESPA3)</v>
    <v>-0.01</v>
    <v>-9.9010000000000001E-3</v>
    <v>397800</v>
  </rv>
  <rv s="2">
    <v>575</v>
  </rv>
  <rv s="0">
    <v>https://www.bing.com/financeapi/forcetrigger?t=c1o4r7&amp;q=BVMF%3aMATD3&amp;form=skydnc</v>
    <v>Learn more on Bing</v>
  </rv>
  <rv s="8">
    <v>pt-BR</v>
    <v>c1o4r7</v>
    <v>268435456</v>
    <v>1</v>
    <v>Da plataforma Refinitiv</v>
    <v>14</v>
    <v>15</v>
    <v>Hospital Mater Dei S.A. (BVMF:MATD3)</v>
    <v>12</v>
    <v>16</v>
    <v>Finance</v>
    <v>5</v>
    <v>5.1100000000000003</v>
    <v>3.3</v>
    <v>BVMF</v>
    <v>339428000</v>
    <v>4.79</v>
    <v>1973</v>
    <v>4.55</v>
    <v>1.5807</v>
    <v>B3 - Brazil Stock Exchange</v>
    <v>1615677280</v>
    <v>A Hospital Mater Dei SA é uma companhia sediada no Brasil que faz parte da Rede Mater Dei de Saúde, uma plataforma integrada na prestação de serviços hospitalares e oncológicos, uma das maiores rede hospitalares de Minas Gerais em número de leitos privados, com atuação também nos estados da Bahia, Pará e Goiás. A Companhia possui leitos hospitalares distribuídos em suas quatro unidades localizadas estrategicamente na região metropolitana de Belo Horizonte e em Belém, além de leitos no Hospital de Salvador/BA, Hospital Santa Genoveva em Uberlândia/MG, Hospital Premium em Goiânia/GO e no Hospital EMEC em Feira de Santana/BA. A Companhia presta serviços para diversas operadoras de planos de saúde independentes e autogestões, tais como: Allianz, Amil, Bacen, Bradesco Saúde, Caixa Econômica Federal, Care Plus, Cassi, Copass, FCA Saúde, Golden Cross, IPSM, Sul América, Vale, entre diversos outros.</v>
    <v>BVMF</v>
    <v>4.6900000000000004</v>
    <v>3677</v>
    <v>45884.958391203705</v>
    <v>577</v>
    <v>186490</v>
    <v>BRL</v>
    <v>Hospital Mater Dei S.A.</v>
    <v>Hospital Mater Dei S.A.</v>
    <v>4.68</v>
    <v>4.76</v>
    <v>R Mato Grosso 1100, Santo Agostinho, BELO HORIZONTE, MINAS GERAIS, 30.190-081 BR</v>
    <v>Healthcare Providers &amp; Services</v>
    <v>MATD3</v>
    <v>Ações</v>
    <v>Hospital Mater Dei S.A. (BVMF:MATD3)</v>
    <v>7.0000000000000007E-2</v>
    <v>1.4924999999999999E-2</v>
    <v>170500</v>
  </rv>
  <rv s="2">
    <v>578</v>
  </rv>
  <rv s="0">
    <v>https://www.bing.com/financeapi/forcetrigger?t=c2vma2&amp;q=BVMF%3aTRAD3&amp;form=skydnc</v>
    <v>Learn more on Bing</v>
  </rv>
  <rv s="8">
    <v>pt-BR</v>
    <v>c2vma2</v>
    <v>268435456</v>
    <v>1</v>
    <v>Da plataforma Refinitiv</v>
    <v>14</v>
    <v>15</v>
    <v>TC S.A. (BVMF:TRAD3)</v>
    <v>12</v>
    <v>16</v>
    <v>Finance</v>
    <v>5</v>
    <v>9.4499999999999993</v>
    <v>2.42</v>
    <v>BVMF</v>
    <v>40021020</v>
    <v>8.2899999999999991</v>
    <v>2016</v>
    <v>7.8</v>
    <v>0.57720000000000005</v>
    <v>B3 - Brazil Stock Exchange</v>
    <v>312163956</v>
    <v>A TC SA, anteriormente conhecida como Tc Traders Club SA, é uma empresa sediada no Brasil que oferece uma plataforma para educação financeira, análise de dados e inteligência de mercado. A principal missão da Companhia é democratizar o mercado financeiro, oferecendo uma plataforma completa para investidores, com espaço para discussões e ideias de investimento, apoiada por dados em tempo real, conteúdo educacional dedicado e ferramentas analíticas adequadas, beneficiando do potencial da tecnologia, pela mudança estrutural do mercado de investimento financeiro e alavancada pelo poder do efeito da rede. O aplicativo móvel TC pode ser baixado gratuitamente na App Store e no Google Play. A Companhia possui diversas subsidiárias, incluindo a Economatica Software de Apoio a Investidores Ltda, e a Pandhora Investimentos Ltda.</v>
    <v>BVMF</v>
    <v>8.39</v>
    <v>179</v>
    <v>45884.958391203705</v>
    <v>580</v>
    <v>41380</v>
    <v>BRL</v>
    <v>TC S.A.</v>
    <v>TC S.A.</v>
    <v>8.2899999999999991</v>
    <v>7.8</v>
    <v>Avenida Presidente Juscelino Kubitschek, n 1830 Torre2, 5 andar,cj52, Vila Nova Conceicao, SAO PAULO, SAO PAULO, 04.543-900 BR</v>
    <v>Professional &amp; Business Education</v>
    <v>TRAD3</v>
    <v>Ações</v>
    <v>TC S.A. (BVMF:TRAD3)</v>
    <v>-0.59</v>
    <v>-7.0321999999999996E-2</v>
    <v>15300</v>
  </rv>
  <rv s="2">
    <v>581</v>
  </rv>
  <rv s="0">
    <v>https://www.bing.com/financeapi/forcetrigger?t=apnl4c&amp;q=BVMF%3aVULC3&amp;form=skydnc</v>
    <v>Learn more on Bing</v>
  </rv>
  <rv s="8">
    <v>pt-BR</v>
    <v>apnl4c</v>
    <v>268435456</v>
    <v>1</v>
    <v>Da plataforma Refinitiv</v>
    <v>14</v>
    <v>15</v>
    <v>Vulcabras S/A (BVMF:VULC3)</v>
    <v>12</v>
    <v>16</v>
    <v>Finance</v>
    <v>5</v>
    <v>21.84</v>
    <v>14.15</v>
    <v>BVMF</v>
    <v>275536300</v>
    <v>20.28</v>
    <v>1952</v>
    <v>19.489999999999998</v>
    <v>0.94259999999999999</v>
    <v>B3 - Brazil Stock Exchange</v>
    <v>5546545719</v>
    <v>Vulcabras S/A, antiga Vulcabras Azaleia S/A é uma empresa brasileira de calçados, especializada em calçados esportivos. A Companhia se reporta como um segmento operacional: Produção e comercialização de calçados esportivos. A Vulcabras opera principalmente através das marcas Olympikus, Under Armour, Mizuno e Botas Vulcabras. A Olympikus tem um amplo portfólio de produtos, com mais de 100 novos modelos e 150 itens de vestuário todos os anos. A Under Armour é uma marca global, fornecedora de vestuário, calçado e acessórios focados no desporto. Mizuno é uma marca japonesa que oferece aos atletas tecnologia avançada, fornecendo uma linha completa de produtos em várias modalidades, enquanto a Botas Vulcabras é fabricante de calçados para o setor industrial. Os produtos são feitos em duas fábricas modernas localizadas na região Nordeste, em Horizonte, Estado do Ceará e Itapetinga, estado da Bahia.</v>
    <v>BVMF</v>
    <v>19.48</v>
    <v>23878</v>
    <v>45884.958333333336</v>
    <v>583</v>
    <v>753550</v>
    <v>BRL</v>
    <v>Vulcabras S/A</v>
    <v>Vulcabras S/A</v>
    <v>20.18</v>
    <v>20.13</v>
    <v>Av. Antonio Frederico Ozanan, 1440, Da Grama, JUNDIAI, SAO PAULO, 13.219-001 BR</v>
    <v>Textiles &amp; Apparel</v>
    <v>VULC3</v>
    <v>Ações</v>
    <v>Vulcabras S/A (BVMF:VULC3)</v>
    <v>0.65</v>
    <v>3.3368000000000002E-2</v>
    <v>2757100</v>
  </rv>
  <rv s="2">
    <v>584</v>
  </rv>
  <rv s="0">
    <v>https://www.bing.com/financeapi/forcetrigger?t=apmw4c&amp;q=BVMF%3aLUPA3&amp;form=skydnc</v>
    <v>Learn more on Bing</v>
  </rv>
  <rv s="8">
    <v>pt-BR</v>
    <v>apmw4c</v>
    <v>268435456</v>
    <v>1</v>
    <v>Da plataforma Refinitiv</v>
    <v>14</v>
    <v>15</v>
    <v>LUPATECH S.A (BVMF:LUPA3)</v>
    <v>12</v>
    <v>16</v>
    <v>Finance</v>
    <v>5</v>
    <v>1.71</v>
    <v>1.1299999999999999</v>
    <v>BVMF</v>
    <v>43716190</v>
    <v>1.17</v>
    <v>1980</v>
    <v>1.1399999999999999</v>
    <v>1.7988</v>
    <v>B3 - Brazil Stock Exchange</v>
    <v>50273618</v>
    <v>A Lupatech S.A., antes Valmicro Indústria e Comércio de Válvulas S.A., é uma empresa com sede no Brasil principalmente dedicada à produção de equipamentos para o setor de petróleo e gás. La Compañía opera a través de dos segmentos comerciales: Productos y Servicios. No segmento de Productos, a Compañía participa na fabricação de cuerdas de anclajes para plataformas de aguas profundas; válvulas manuais e automáticas utilizadas na exploração, produção, transporte e refinamento de petróleo e cadena de hidrocarburo; equipo de terminación para pozos petroleros; sensores ópticos de fibra e compresores veículos de gás natural; revestimientos para tubos de perfuração e produção, válvulas industriais para la maquinaria química, farmacéutica, polpa e papel, alimentos e construção, entre otros. No segmento de Serviços, a Compañía ofrece servicios costa afuera, que inclui a limpeza, a reparação e a manutenção de poços de petróleo, assim como a intervenção, o revestimento, a inspeção de tubérculos e o alquiler de equipos.</v>
    <v>BVMF</v>
    <v>1.17</v>
    <v>448</v>
    <v>45884.958333333336</v>
    <v>586</v>
    <v>43970</v>
    <v>BRL</v>
    <v>LUPATECH S.A</v>
    <v>LUPATECH S.A</v>
    <v>1.17</v>
    <v>1.1499999999999999</v>
    <v>Rodovia Anhanguera, sentido interior/capital,KM 119, predio C, Distrito Industrial, NOVA ODESSA, SAO PAULO, 13.388-220 BR</v>
    <v>Machinery, Equipment &amp; Components</v>
    <v>LUPA3</v>
    <v>Ações</v>
    <v>LUPATECH S.A (BVMF:LUPA3)</v>
    <v>-0.02</v>
    <v>-1.7094000000000002E-2</v>
    <v>9800</v>
  </rv>
  <rv s="2">
    <v>587</v>
  </rv>
  <rv s="0">
    <v>https://www.bing.com/financeapi/forcetrigger?t=apmg77&amp;q=BVMF%3aECOR3&amp;form=skydnc</v>
    <v>Learn more on Bing</v>
  </rv>
  <rv s="8">
    <v>pt-BR</v>
    <v>apmg77</v>
    <v>268435456</v>
    <v>1</v>
    <v>Da plataforma Refinitiv</v>
    <v>14</v>
    <v>15</v>
    <v>ECORODOVIAS INFRAESTRUTURA E LOGÍSTICA S.A. (BVMF:ECOR3)</v>
    <v>12</v>
    <v>16</v>
    <v>Finance</v>
    <v>5</v>
    <v>7.85</v>
    <v>3.79</v>
    <v>BVMF</v>
    <v>696334200</v>
    <v>7.29</v>
    <v>2000</v>
    <v>7.07</v>
    <v>1.6224000000000001</v>
    <v>B3 - Brazil Stock Exchange</v>
    <v>4923082794</v>
    <v>A ECORODOVIAS INFRAESTRUTURA E LOGÍSTICA S.A. é uma empresa estabelecida no Brasil, que atua principalmente na operação de rodovias. As atividades da empresa são divididas em três segmentos de negócios: concessões, logística e portos. A divisão de concessões concentra-se na gestão de pedágios de estradas que ligam portos localizados em Santos, Paranaguá e Rio Grande. A divisão de logística compreende as interconexões das concessões de estrada da empresa, que visam à integração de terminais logísticos modais, terminais portuários, terminais de ligação equipotencial, centros de distribuição, aduana e portos, e o fornecimento de serviços logísticos. A divisão de portos é responsável pelas operações portuárias, manuseio de cargas e armazenamento em terminal próprio, no Porto de Santos. A empresa conta com várias subsidiárias, como a EcoRodovias Concessões e Serviços S.A., Ecoporto Santos S.A. e Elog S.A. É controlada pela Primav Construções e Comércio S.A.</v>
    <v>BVMF</v>
    <v>7.21</v>
    <v>5821</v>
    <v>45884.958333333336</v>
    <v>589</v>
    <v>3397790</v>
    <v>BRL</v>
    <v>ECORODOVIAS INFRAESTRUTURA E LOGÍSTICA S.A.</v>
    <v>ECORODOVIAS INFRAESTRUTURA E LOGÍSTICA S.A.</v>
    <v>7.2</v>
    <v>7.07</v>
    <v>Rua Gomes de Carvalho, n 1.510, Conjuntos 31/32, Vila Olimpia, SAO PAULO, SAO PAULO, 04.547-005 BR</v>
    <v>Transport Infrastructure</v>
    <v>ECOR3</v>
    <v>Ações</v>
    <v>ECORODOVIAS INFRAESTRUTURA E LOGÍSTICA S.A. (BVMF:ECOR3)</v>
    <v>-0.14000000000000001</v>
    <v>-1.9417E-2</v>
    <v>2239500</v>
  </rv>
  <rv s="2">
    <v>590</v>
  </rv>
  <rv s="0">
    <v>https://www.bing.com/financeapi/forcetrigger?t=apn452&amp;q=BVMF%3aPDGR3&amp;form=skydnc</v>
    <v>Learn more on Bing</v>
  </rv>
  <rv s="9">
    <v>pt-BR</v>
    <v>apn452</v>
    <v>268435456</v>
    <v>1</v>
    <v>Da plataforma Refinitiv</v>
    <v>17</v>
    <v>18</v>
    <v>PDG Realty S.A. Empreendimentos e Participações (BVMF:PDGR3)</v>
    <v>12</v>
    <v>19</v>
    <v>Finance</v>
    <v>5</v>
    <v>27.5</v>
    <v>0.16</v>
    <v>BVMF</v>
    <v>657497300</v>
    <v>0.21</v>
    <v>1998</v>
    <v>0.18</v>
    <v>1.7743</v>
    <v>B3 - Brazil Stock Exchange</v>
    <v>118349514</v>
    <v>A PDG Realty S.A. Empreendimentos e Participações é uma empresa holding estabelecida no Brasil, que atua no mercado imobiliário. A principal atividade da empresa é ter participação em outras empresas que operam no setor imobiliário, como acionista, membro de consórcio ou por meio de outros tipos de investimentos. Através de suas subsidiárias, a empresa atua em planejamento, design, construção, comercialização e venda de propriedades imobiliárias, inclusive de apartamentos espaçosos, casas unifamiliares e escritórios. Além disso, dedica-se à compra e ao loteamento de terrenos. Em 31 de dezembro de 2011, as subsidiárias da empresa incluíam a Agre Empreendimentos Imobiliários S.A., CHL Desenvolvimento Imobiliário S.A., Goldfarb Incorporações e Construções S.A., Ecolife Butantã Empreendimentos Imobiliários S.A. e Amazon Empreendimentos Imobiliários Ltda., dentre outras.</v>
    <v>BVMF</v>
    <v>0.18</v>
    <v>45884.958333333336</v>
    <v>592</v>
    <v>1222450</v>
    <v>BRL</v>
    <v>PDG Realty S.A. Empreendimentos e Participações</v>
    <v>PDG Realty S.A. Empreendimentos e Participações</v>
    <v>0.2</v>
    <v>0.18</v>
    <v>Av. Dr. Cardoso de Melo 1855, 6 andar, Vila Olimpia, SAO PAULO, SAO PAULO, 04.548-005 BR</v>
    <v>Holding Companies</v>
    <v>PDGR3</v>
    <v>Ações</v>
    <v>PDG Realty S.A. Empreendimentos e Participações (BVMF:PDGR3)</v>
    <v>0</v>
    <v>0</v>
    <v>2068300</v>
  </rv>
  <rv s="2">
    <v>593</v>
  </rv>
  <rv s="0">
    <v>https://www.bing.com/financeapi/forcetrigger?t=apmamw&amp;q=BVMF%3aCOCE5&amp;form=skydnc</v>
    <v>Learn more on Bing</v>
  </rv>
  <rv s="8">
    <v>pt-BR</v>
    <v>apmamw</v>
    <v>268435456</v>
    <v>1</v>
    <v>Da plataforma Refinitiv</v>
    <v>14</v>
    <v>15</v>
    <v>Companhia Energética do Ceará (BVMF:COCE5)</v>
    <v>12</v>
    <v>16</v>
    <v>Finance</v>
    <v>5</v>
    <v>30.79</v>
    <v>22.25</v>
    <v>BVMF</v>
    <v>86302020</v>
    <v>29</v>
    <v>1971</v>
    <v>28.75</v>
    <v>0.31430000000000002</v>
    <v>B3 - Brazil Stock Exchange</v>
    <v>2617091000</v>
    <v>A Companhia Energética do Ceara (Coelce) é uma empresa brasileira que atua no setor de energia elétrica. A Companhia tem por objetivo principal a distribuição de energia elétrica para consumo industrial, rural, público, comercial e residencial. A área de concessão da Companhia inclui o estado brasileiro do Ceará. Adicionalmente, a Coelce atua na pesquisa, estudos, planejamento, construção e exploração do sistema de distribuição de energia elétrica. As atividades da Companhia são regulamentadas pela Agência Nacional de Energia Elétrica (ANEEL). A Companhia é controlada pelo Grupo Endesa, por meio da Investluz SA. Em maio de 2014, a Enersis SA do Chile, uma unidade da subsidiária Endesa Latinoamerica SA da unidade Endesa SA da Enel Energy Europe Srl (Enel Energy), adquiriu 15.184% de participação da Coelce; após a aquisição da Enersis SA do Chile, detém 75.269% das ações da Companhia.</v>
    <v>BVMF</v>
    <v>29.1</v>
    <v>2098</v>
    <v>45884.958333333336</v>
    <v>595</v>
    <v>7980</v>
    <v>BRL</v>
    <v>Companhia Energética do Ceará</v>
    <v>Companhia Energética do Ceará</v>
    <v>28.99</v>
    <v>29</v>
    <v>R Padre Valdevino 150, Centro, FORTALEZA, CEARA, 60.135-040 BR</v>
    <v>Electrical Utilities &amp; IPPs</v>
    <v>COCE5</v>
    <v>Ações</v>
    <v>Companhia Energética do Ceará (BVMF:COCE5)</v>
    <v>-0.1</v>
    <v>-3.4360000000000003E-3</v>
    <v>1100</v>
  </rv>
  <rv s="2">
    <v>596</v>
  </rv>
  <rv s="0">
    <v>https://www.bing.com/financeapi/forcetrigger?t=bskpw7&amp;q=BVMF%3aCEAB3&amp;form=skydnc</v>
    <v>Learn more on Bing</v>
  </rv>
  <rv s="8">
    <v>pt-BR</v>
    <v>bskpw7</v>
    <v>268435456</v>
    <v>1</v>
    <v>Da plataforma Refinitiv</v>
    <v>14</v>
    <v>15</v>
    <v>C&amp;A MODAS S.A. (BVMF:CEAB3)</v>
    <v>12</v>
    <v>16</v>
    <v>Finance</v>
    <v>5</v>
    <v>21.3</v>
    <v>7.3</v>
    <v>BVMF</v>
    <v>308245100</v>
    <v>15.45</v>
    <v>1981</v>
    <v>14.88</v>
    <v>2.0823</v>
    <v>B3 - Brazil Stock Exchange</v>
    <v>4608264245</v>
    <v>A C&amp;A Modas SA, anteriormente conhecida como C&amp;A Modas Ltda, é uma empresa de moda com sede no Brasil, que administra uma cadeia de lojas de varejo e um portal da Web. A Companhia vende uma variedade de produtos, como roupas, acessórios e calçados para homens, mulheres e crianças; cosméticos para homem e mulher; dispositivos eletrônicos, incluindo smartphones, notebooks, tablets e acessórios relacionados, entre outros. Sua oferta inclui também produtos de diferentes marcas que o cliente pode comprar também por meio de um aplicativo móvel.</v>
    <v>BVMF</v>
    <v>15.1</v>
    <v>15000</v>
    <v>45884.958356481482</v>
    <v>598</v>
    <v>4209740</v>
    <v>BRL</v>
    <v>C&amp;A MODAS S.A.</v>
    <v>C&amp;A MODAS S.A.</v>
    <v>15.15</v>
    <v>14.95</v>
    <v>Alameda Araguaia, 1.222/1.022, Alphaville, BARUERI, SAO PAULO, 06.455-000 BR</v>
    <v>Specialty Retailers</v>
    <v>CEAB3</v>
    <v>Ações</v>
    <v>C&amp;A MODAS S.A. (BVMF:CEAB3)</v>
    <v>-0.15</v>
    <v>-9.9340000000000001E-3</v>
    <v>3730700</v>
  </rv>
  <rv s="2">
    <v>599</v>
  </rv>
  <rv s="0">
    <v>https://www.bing.com/financeapi/forcetrigger?t=bv5ur7&amp;q=BVMF%3aAMBP3&amp;form=skydnc</v>
    <v>Learn more on Bing</v>
  </rv>
  <rv s="9">
    <v>pt-BR</v>
    <v>bv5ur7</v>
    <v>268435456</v>
    <v>1</v>
    <v>Da plataforma Refinitiv</v>
    <v>17</v>
    <v>18</v>
    <v>Ambipar Participações e Empreendimentos S.A. (BVMF:AMBP3)</v>
    <v>12</v>
    <v>19</v>
    <v>Finance</v>
    <v>5</v>
    <v>26.85</v>
    <v>6.04</v>
    <v>BVMF</v>
    <v>1670419000</v>
    <v>14.44</v>
    <v>2010</v>
    <v>14.01</v>
    <v>1.601</v>
    <v>B3 - Brazil Stock Exchange</v>
    <v>23402570190</v>
    <v>A Ambipar Participações e Empreendimentos SA é uma empresa brasileira que atua no setor de gestão ambiental. Atua por meio de Ambipar Ambiente e Resposta Ambipar. A Ambipar Meio Ambiente é especializada em soluções ambientais e terceirização de mão de obra. Oferece um portfólio de soluções customizadas que vão desde a geração, transporte, recuperação e destinação final de resíduos. A Ambipar Response é especializada na gestão de crises e no atendimento a emergências que afetem a saúde, o meio ambiente e o patrimônio. Possui bases de apoio a emergências nas Américas, Europa e África que funcionam 24 horas por dia, ininterruptamente. A Resposta Ambipar tem como foco a Prevenção para estabelecer medidas de proteção e resposta; Preparação, como treinamento de resposta envolvendo produtos químicos (HAZMAT), combate a incêndio, espaços confinados ou outros tipos de emergências, e Resposta especializada em serviços de emergência, com rápido tempo de resposta.</v>
    <v>BVMF</v>
    <v>14.37</v>
    <v>45884.958356481482</v>
    <v>601</v>
    <v>554170</v>
    <v>BRL</v>
    <v>Ambipar Participações e Empreendimentos S.A.</v>
    <v>Ambipar Participações e Empreendimentos S.A.</v>
    <v>14.07</v>
    <v>14.01</v>
    <v>Av Pacaembu 1088 Sala 09, Pacaembu, SAO PAULO, SAO PAULO, 01.234-000 BR</v>
    <v>Professional &amp; Commercial Services</v>
    <v>AMBP3</v>
    <v>Ações</v>
    <v>Ambipar Participações e Empreendimentos S.A. (BVMF:AMBP3)</v>
    <v>-0.36</v>
    <v>-2.5051999999999998E-2</v>
    <v>287300</v>
  </rv>
  <rv s="2">
    <v>602</v>
  </rv>
  <rv s="0">
    <v>https://www.bing.com/financeapi/forcetrigger?t=bwzurw&amp;q=BVMF%3aNGRD3&amp;form=skydnc</v>
    <v>Learn more on Bing</v>
  </rv>
  <rv s="8">
    <v>pt-BR</v>
    <v>bwzurw</v>
    <v>268435456</v>
    <v>1</v>
    <v>Da plataforma Refinitiv</v>
    <v>14</v>
    <v>15</v>
    <v>Neogrid Participações S.A (BVMF:NGRD3)</v>
    <v>12</v>
    <v>16</v>
    <v>Finance</v>
    <v>5</v>
    <v>35</v>
    <v>18.23</v>
    <v>BVMF</v>
    <v>9140940</v>
    <v>26</v>
    <v>2008</v>
    <v>25.4</v>
    <v>1.0531999999999999</v>
    <v>B3 - Brazil Stock Exchange</v>
    <v>234008200</v>
    <v>A Neogrid Participações SA (Neogrid) é uma empresa brasileira que atua no setor de tecnologia. A Empresa desenvolve softwares para gerenciamento e sincronização de cadeias de suprimentos, conectando fabricantes, distribuidores, operadores logísticos, varejistas, instituições financeiras e governo. Por meio da plataforma digital, a Firma oferece soluções para empresas de diversos segmentos, como agronegócio, bens de consumo, farmácia, eletroeletrônico, construção civil e moda, entre outros. Além disso, a Neogrid oferece assessoria técnica em TI, serviços de treinamento e suporte, instalação, configuração e manutenção de softwares e bancos de dados. A Companhia possui várias subsidiárias no Brasil, Holanda, Estados Unidos e Reino Unido.</v>
    <v>BVMF</v>
    <v>25.6</v>
    <v>719</v>
    <v>45884.958391203705</v>
    <v>604</v>
    <v>10250</v>
    <v>BRL</v>
    <v>Neogrid Participações S.A</v>
    <v>Neogrid Participações S.A</v>
    <v>25.7</v>
    <v>26</v>
    <v>Avenida Santos Dumont, 935 1 andar, Santo Antonio, Joinville, SANTA CATARINA, 89.218-105 BR</v>
    <v>Software &amp; IT Services</v>
    <v>NGRD3</v>
    <v>Ações</v>
    <v>Neogrid Participações S.A (BVMF:NGRD3)</v>
    <v>0.4</v>
    <v>1.5625E-2</v>
    <v>9800</v>
  </rv>
  <rv s="2">
    <v>605</v>
  </rv>
  <rv s="0">
    <v>https://www.bing.com/financeapi/forcetrigger?t=apm6k2&amp;q=BVMF%3aCAML3&amp;form=skydnc</v>
    <v>Learn more on Bing</v>
  </rv>
  <rv s="8">
    <v>pt-BR</v>
    <v>apm6k2</v>
    <v>268435456</v>
    <v>1</v>
    <v>Da plataforma Refinitiv</v>
    <v>14</v>
    <v>15</v>
    <v>CAMIL ALIMENTOS S.A. (BVMF:CAML3)</v>
    <v>12</v>
    <v>16</v>
    <v>Finance</v>
    <v>5</v>
    <v>9.6300000000000008</v>
    <v>3.38</v>
    <v>BVMF</v>
    <v>350000000</v>
    <v>4.53</v>
    <v>1990</v>
    <v>4.3899999999999997</v>
    <v>0.3982</v>
    <v>B3 - Brazil Stock Exchange</v>
    <v>1550500000</v>
    <v>A Camil Alimentos SA é uma empresa sediada no Brasil e dedica-se principalmente ao setor de processamento de alimentos. A Companhia tem como foco a fabricação e comercialização de arroz, bolacha de arroz, feijão, ervilha, grão de bico e sementes de lentilha, farelo de soja, pipoca, açúcar e frutos do mar, entre outros. Os produtos da Companhia são distribuídos sob várias marcas, incluindo Camil, Pescador, Coqueiro, União, Barra, Dolce, Namorado, Butui, Bonzao, Neve e Ducula no Brasil; Saman no Uruguai; Tucapel no Chile, bem como Costeno e Paisana no Peru. A Companhia opera unidades de processamento de grãos, fábricas de processamento de pescado e usinas de açúcar. A Companhia controla diversas subsidiárias, como a Camil Internacional Argentina SA, a Carreteiro Indústria e Comércio de Alimentos Ltda e a Ciclo Logística Ltda.</v>
    <v>BVMF</v>
    <v>4.49</v>
    <v>7000</v>
    <v>45884.958391203705</v>
    <v>607</v>
    <v>1080170</v>
    <v>BRL</v>
    <v>CAMIL ALIMENTOS S.A.</v>
    <v>CAMIL ALIMENTOS S.A.</v>
    <v>4.49</v>
    <v>4.43</v>
    <v>Av. Doutora Ruth Cardoso 8501, 12 andar, Pinheiros, Eldorado Business Tower, SAO PAULO, SAO PAULO, 05.425-070 BR</v>
    <v>Food &amp; Tobacco</v>
    <v>CAML3</v>
    <v>Ações</v>
    <v>CAMIL ALIMENTOS S.A. (BVMF:CAML3)</v>
    <v>-0.06</v>
    <v>-1.3363E-2</v>
    <v>992700</v>
  </rv>
  <rv s="2">
    <v>608</v>
  </rv>
  <rv s="0">
    <v>https://www.bing.com/financeapi/forcetrigger?t=apml3m&amp;q=BVMF%3aTASA3&amp;form=skydnc</v>
    <v>Learn more on Bing</v>
  </rv>
  <rv s="8">
    <v>pt-BR</v>
    <v>apml3m</v>
    <v>268435456</v>
    <v>1</v>
    <v>Da plataforma Refinitiv</v>
    <v>14</v>
    <v>15</v>
    <v>Taurus Armas S.A (BVMF:TASA3)</v>
    <v>12</v>
    <v>16</v>
    <v>Finance</v>
    <v>5</v>
    <v>10.55</v>
    <v>5.16</v>
    <v>BVMF</v>
    <v>139297900</v>
    <v>5.55</v>
    <v>1939</v>
    <v>5.16</v>
    <v>1.2588999999999999</v>
    <v>B3 - Brazil Stock Exchange</v>
    <v>699842600</v>
    <v>A Taurus Armas SA, anteriormente conhecida como Forjas Taurus SA, é uma empresa sediada no Brasil e tem como atividade principal a produção de armas curtas. A Companhia divide seus segmentos operacionais em armas, capacetes e outros. O segmento de armas fabrica e distribui revólveres, pistolas civis e militares e munições, bem como peças de metal personalizadas, como peças de motocicletas. O segmento de capacetes está envolvido na produção de capacetes para motociclistas. O segmento outros inclui a fabricação e comercialização de vidros, produtos plásticos injetados, como recipientes para resíduos, ferramentas para construção, mecânica e jardinagem e Metal Injection Moulding (MIM), utilizados em diversos setores, como automotivo, eletrônico ou petrolífero, entre outros. A Companhia, em conjunto com suas subsidiárias, opera múltiplas unidades fabris localizadas no estado brasileiro do Rio Grande do Sul, no estado do Paraná, no estado da Bahia e nos Estados Unidos.</v>
    <v>BVMF</v>
    <v>5.48</v>
    <v>3286</v>
    <v>45884.958391203705</v>
    <v>610</v>
    <v>361070</v>
    <v>BRL</v>
    <v>Taurus Armas S.A</v>
    <v>Taurus Armas S.A</v>
    <v>5.55</v>
    <v>5.16</v>
    <v>Avenida Sao Borja 2181/Predio A, Fazenda Sao Borja, SAO LEOPOLDO, RIO GRANDE DO SUL, 93.035-411 BR</v>
    <v>Aerospace &amp; Defense</v>
    <v>TASA3</v>
    <v>Ações</v>
    <v>Taurus Armas S.A (BVMF:TASA3)</v>
    <v>-0.32</v>
    <v>-5.8394000000000001E-2</v>
    <v>21000</v>
  </rv>
  <rv s="2">
    <v>611</v>
  </rv>
  <rv s="0">
    <v>https://www.bing.com/financeapi/forcetrigger?t=bpryr7&amp;q=BVMF%3aSBFG3&amp;form=skydnc</v>
    <v>Learn more on Bing</v>
  </rv>
  <rv s="8">
    <v>pt-BR</v>
    <v>bpryr7</v>
    <v>268435456</v>
    <v>1</v>
    <v>Da plataforma Refinitiv</v>
    <v>14</v>
    <v>15</v>
    <v>GRUPO SBF S.A. (BVMF:SBFG3)</v>
    <v>12</v>
    <v>16</v>
    <v>Finance</v>
    <v>5</v>
    <v>17.91</v>
    <v>8.92</v>
    <v>BVMF</v>
    <v>244013000</v>
    <v>10.34</v>
    <v>2011</v>
    <v>9.9600000000000009</v>
    <v>2.2239</v>
    <v>B3 - Brazil Stock Exchange</v>
    <v>2447450390</v>
    <v>O Grupo SBF SA é uma empresa sediada no Brasil que atua no setor de vestuário e vestuário. A empresa é especializada no varejo de roupas através de uma rede de lojas, bem como através do seu site na Internet. A Companhia oferece diferentes tipos de produtos dividindo-os em: esportes, homens, mulheres, crianças, calçados, acessórios, equipamentos e suplementos, entre outros. A Companhia também oferece seus produtos outlet, em uma seção especial onde oferece produtos antigos com desconto no preço. É vendido em mais de 180 lojas em regiões como Espírito Santo, São Paulo, Amazonas e Rio de Janeiro, dentro do território brasileiro. Também opera um serviço de personal trainer on-line chamado Bora.</v>
    <v>BVMF</v>
    <v>10.220000000000001</v>
    <v>8196</v>
    <v>45884.958391203705</v>
    <v>613</v>
    <v>2451100</v>
    <v>BRL</v>
    <v>GRUPO SBF S.A.</v>
    <v>GRUPO SBF S.A.</v>
    <v>10.29</v>
    <v>10.029999999999999</v>
    <v>Av Dra Ruth Cardoso 7221 Andar Ed Birman 3, Pinheiros, PINHEIROS, SAO PAULO, 05.425-902 BR</v>
    <v>Specialty Retailers</v>
    <v>SBFG3</v>
    <v>Ações</v>
    <v>GRUPO SBF S.A. (BVMF:SBFG3)</v>
    <v>-0.19</v>
    <v>-1.8591E-2</v>
    <v>1793500</v>
  </rv>
  <rv s="2">
    <v>614</v>
  </rv>
  <rv s="0">
    <v>https://www.bing.com/financeapi/forcetrigger?t=apnfbh&amp;q=BVMF%3aTECN3&amp;form=skydnc</v>
    <v>Learn more on Bing</v>
  </rv>
  <rv s="8">
    <v>pt-BR</v>
    <v>apnfbh</v>
    <v>268435456</v>
    <v>1</v>
    <v>Da plataforma Refinitiv</v>
    <v>14</v>
    <v>15</v>
    <v>TECHNOS S.A. (BVMF:TECN3)</v>
    <v>12</v>
    <v>16</v>
    <v>Finance</v>
    <v>5</v>
    <v>7.26</v>
    <v>4.46</v>
    <v>BVMF</v>
    <v>61856210</v>
    <v>6.63</v>
    <v>2007</v>
    <v>6.4</v>
    <v>0.88570000000000004</v>
    <v>B3 - Brazil Stock Exchange</v>
    <v>403921051</v>
    <v>A TECHNOS S.A., anteriormente GMT Participações S.A., é uma empresa brasileira que se dedica à fabricação e comercialização de relógios. Através de sua subsidiária Technos da Amazônia Indústria e Comércio S.A., a empresa produz e vende relógios sob as marcas Technos e Mariner. Também possui uma licença para fabricação de relógios de pulso sob as marcas Mormaii, Seiko e Euro. A empresa opera uma fábrica industrial localizada na Zona Franca de Manaus, no estado brasileiro do Amazonas. A TECHNOS S.A. distribui seus produtos no Brasil por meio de uma rede de lojas e centros de serviço. Em 31 de dezembro de 2011, o acionista majoritário da empresa era o Fundo de Investimento e Participações GMT, que detinha uma participação de 58,38% na TECHNOS S.A.</v>
    <v>BVMF</v>
    <v>6.53</v>
    <v>900</v>
    <v>45884.958391203705</v>
    <v>616</v>
    <v>44970</v>
    <v>BRL</v>
    <v>TECHNOS S.A.</v>
    <v>TECHNOS S.A.</v>
    <v>6.59</v>
    <v>6.53</v>
    <v>Avenida Das Americas, 4200 - Bloco 5 - 6 Andar, Barra Da Tijuca, RIO DE JANEIRO, RIO DE JANEIRO, 22.640-907 BR</v>
    <v>Specialty Retailers</v>
    <v>TECN3</v>
    <v>Ações</v>
    <v>TECHNOS S.A. (BVMF:TECN3)</v>
    <v>0</v>
    <v>0</v>
    <v>37400</v>
  </rv>
  <rv s="2">
    <v>617</v>
  </rv>
  <rv s="0">
    <v>https://www.bing.com/financeapi/forcetrigger?t=apncxm&amp;q=BVMF%3aSMTO3&amp;form=skydnc</v>
    <v>Learn more on Bing</v>
  </rv>
  <rv s="8">
    <v>pt-BR</v>
    <v>apncxm</v>
    <v>268435456</v>
    <v>1</v>
    <v>Da plataforma Refinitiv</v>
    <v>14</v>
    <v>15</v>
    <v>São Martinho S.A. (BVMF:SMTO3)</v>
    <v>12</v>
    <v>16</v>
    <v>Finance</v>
    <v>5</v>
    <v>29.75</v>
    <v>16.25</v>
    <v>BVMF</v>
    <v>332435400</v>
    <v>16.91</v>
    <v>1943</v>
    <v>16.29</v>
    <v>0.37430000000000002</v>
    <v>B3 - Brazil Stock Exchange</v>
    <v>5415372666</v>
    <v>São Martinho SA é uma empresa brasileira de açúcar e energia. As operações da Companhia incluem a produção e comercialização de açúcar, etanol, eletricidade e outros produtos da cana-de-açúcar. As operações da São Martinho SA compreendem quatro fábricas: São Martinho, Santa Cruz e Iracema, bem como Boa Vista. O portfólio da empresa inclui vários tipos de açúcar, incluindo açúcar branco, de polaridade muito alta e muito alta polaridade (VHP e VHP). São Martinho SA produz etanol hidratado (para veículos movidos a etanol), etanol anidro (usado como aditivo de combustível) e etanol industrial para outros fins. Também gera eletricidade a partir do bagaço de cana-de-açúcar. A Companhia possui várias subsidiárias, incluindo a Sao Martinho Terras Agricolas SA, Sao Martinho Terras Imobiliarias SA, Bioenergia Sao Martinho Ltda e Bioenergética Santa Cruz SA.</v>
    <v>BVMF</v>
    <v>16.91</v>
    <v>7869</v>
    <v>45884.958356481482</v>
    <v>619</v>
    <v>1809230</v>
    <v>BRL</v>
    <v>São Martinho S.A.</v>
    <v>São Martinho S.A.</v>
    <v>16.91</v>
    <v>16.29</v>
    <v>Fazenda Sao Martinho, S/Nr., Zona Rural, PRADOPOLIS, SAO PAULO, 14.850-000 BR</v>
    <v>Food &amp; Tobacco</v>
    <v>SMTO3</v>
    <v>Ações</v>
    <v>São Martinho S.A. (BVMF:SMTO3)</v>
    <v>-0.62</v>
    <v>-3.6665000000000003E-2</v>
    <v>2369700</v>
  </rv>
  <rv s="2">
    <v>620</v>
  </rv>
  <rv s="0">
    <v>https://www.bing.com/financeapi/forcetrigger?t=apn852&amp;q=BVMF%3aRANI3&amp;form=skydnc</v>
    <v>Learn more on Bing</v>
  </rv>
  <rv s="8">
    <v>pt-BR</v>
    <v>apn852</v>
    <v>268435456</v>
    <v>1</v>
    <v>Da plataforma Refinitiv</v>
    <v>14</v>
    <v>15</v>
    <v>IRANI PAPEL E EMBALAGEM S.A. (BVMF:RANI3)</v>
    <v>12</v>
    <v>16</v>
    <v>Finance</v>
    <v>5</v>
    <v>8.08</v>
    <v>5.88</v>
    <v>BVMF</v>
    <v>239829900</v>
    <v>7.43</v>
    <v>1941</v>
    <v>7.3</v>
    <v>0.61580000000000001</v>
    <v>B3 - Brazil Stock Exchange</v>
    <v>1777139559</v>
    <v>A Irani Papel e Embalagem SA, anteriormente conhecida como Celulose Irani SA, (Irani) é uma empresa brasileira que atua principalmente na indústria de papel. As atividades da Companhia estão divididas em três linhas de negócios: segmento Embalagem de Papelão Ondulado (Embalagem PO), que fabrica caixas e chapas de papelão ondulado; Segmento de Papel para Embalagem, que produz papéis Kraft de alta e baixa gramatura e papel reciclado; RS Segmento Florestal e Resinas, por meio do qual a Companhia cultiva pinus, comercializa madeira e produz resina extraída do pinus, que é utilizada como matéria-prima para a produção de alcatrão e terebintina. A Irani possui várias subsidiárias, como a Iraflor Comércio de Madeiras Ltda, a Irani Geração de Energia Sustentavel Ltda, a HGE Geração de Energia Sustentavel SA e a Hsul Florestal SA.</v>
    <v>BVMF</v>
    <v>7.34</v>
    <v>2348</v>
    <v>45884.958333333336</v>
    <v>622</v>
    <v>809600</v>
    <v>BRL</v>
    <v>IRANI PAPEL E EMBALAGEM S.A.</v>
    <v>IRANI PAPEL E EMBALAGEM S.A.</v>
    <v>7.33</v>
    <v>7.41</v>
    <v>Avenida Carlos Gomes,n400, Edificio Joao Benjamin Zaffari, salas 502/503, Boa Vista, PORTO ALEGRE, RIO GRANDE DO SUL, 90.480-900 BR</v>
    <v>Containers &amp; Packaging</v>
    <v>RANI3</v>
    <v>Ações</v>
    <v>IRANI PAPEL E EMBALAGEM S.A. (BVMF:RANI3)</v>
    <v>7.0000000000000007E-2</v>
    <v>9.5370000000000003E-3</v>
    <v>497500</v>
  </rv>
  <rv s="2">
    <v>623</v>
  </rv>
  <rv s="0">
    <v>https://www.bing.com/financeapi/forcetrigger?t=bvlnz2&amp;q=BVMF%3aPETZ3&amp;form=skydnc</v>
    <v>Learn more on Bing</v>
  </rv>
  <rv s="9">
    <v>pt-BR</v>
    <v>bvlnz2</v>
    <v>268435456</v>
    <v>1</v>
    <v>Da plataforma Refinitiv</v>
    <v>17</v>
    <v>18</v>
    <v>Pet Center Comércio e Participações S.A. (BVMF:PETZ3)</v>
    <v>12</v>
    <v>19</v>
    <v>Finance</v>
    <v>5</v>
    <v>5.57</v>
    <v>3.23</v>
    <v>BVMF</v>
    <v>462739900</v>
    <v>4</v>
    <v>2013</v>
    <v>3.82</v>
    <v>1.1655</v>
    <v>B3 - Brazil Stock Exchange</v>
    <v>1804685610</v>
    <v>A Pet Center Comércio e Participações SA é uma empresa brasileira que atua na indústria pet. A Empresa atua principalmente como revendedora de alimentos e insumos para animais de estimação, como brinquedos, camas, roupas, tigelas, maca, aquários, medicamentos e vitaminas, entre outros. Atua por meio de plataforma digital e lojas físicas, localizadas em 13 estados e no Distrito Federal. A Empresa também presta serviços veterinários em clínicas e hospitais, bem como serviços de higiene e estética animal em lojas. Além disso, a Firma organiza eventos relacionados a animais de estimação, como desfiles e concursos de moda, e promove adoções de cães e gatos. A Empresa é controlada pelo WP XI A Fundo de Investimento em Participações Multiestrategia.</v>
    <v>BVMF</v>
    <v>3.98</v>
    <v>45884.958356481482</v>
    <v>625</v>
    <v>7552810</v>
    <v>BRL</v>
    <v>Pet Center Comércio e Participações S.A.</v>
    <v>Pet Center Comércio e Participações S.A.</v>
    <v>4</v>
    <v>3.9</v>
    <v>Rua Guaranta, 555/587 Sala 1, Pari, SAO PAULO, SAO PAULO, 03.035-050 BR</v>
    <v>Specialty Retailers</v>
    <v>PETZ3</v>
    <v>Ações</v>
    <v>Pet Center Comércio e Participações S.A. (BVMF:PETZ3)</v>
    <v>-0.08</v>
    <v>-2.0101000000000001E-2</v>
    <v>9215900</v>
  </rv>
  <rv s="2">
    <v>626</v>
  </rv>
  <rv s="0">
    <v>https://www.bing.com/financeapi/forcetrigger?t=apnh77&amp;q=BVMF%3aTOTS3&amp;form=skydnc</v>
    <v>Learn more on Bing</v>
  </rv>
  <rv s="9">
    <v>pt-BR</v>
    <v>apnh77</v>
    <v>268435456</v>
    <v>1</v>
    <v>Da plataforma Refinitiv</v>
    <v>17</v>
    <v>18</v>
    <v>TOTVS S.A. (BVMF:TOTS3)</v>
    <v>12</v>
    <v>19</v>
    <v>Finance</v>
    <v>5</v>
    <v>45.31</v>
    <v>25.69</v>
    <v>BVMF</v>
    <v>599401600</v>
    <v>42.16</v>
    <v>1983</v>
    <v>41.06</v>
    <v>0.96630000000000005</v>
    <v>B3 - Brazil Stock Exchange</v>
    <v>25270771455</v>
    <v>A Totvs SA é uma empresa brasileira que atua no setor de tecnologia da informação (TI). A empresa tem como foco o desenvolvimento de soluções integradas de software de gestão, plataformas de colaboração e produtividade, bem como serviços de consultoria. A empresa fornece principalmente aplicativos de planejamento de recursos empresariais (ERP), que integram eletronicamente os níveis estratégicos e operacionais de uma empresa usuária. Oferece softwares ERP em diversas áreas, como administração, educação, finanças, industrial, recursos humanos, atendimento e logística. A Companhia atua no Brasil, Argentina, Colômbia, México, Portugal e Estados Unidos, entre outros. Controla uma série de subsidiárias, incluindo Solucoes em Software e Serviços TTS Ltda, Datasul Argentina SA e Neolog Consultoria e Sistemas SA.</v>
    <v>BVMF</v>
    <v>41.3</v>
    <v>45884.958333333336</v>
    <v>628</v>
    <v>2958150</v>
    <v>BRL</v>
    <v>TOTVS S.A.</v>
    <v>TOTVS S.A.</v>
    <v>41.4</v>
    <v>42.16</v>
    <v>Avenida Braz Leme 1000, Casa Verde, SAO PAULO, SAO PAULO, 02.511-000 BR</v>
    <v>Software &amp; IT Services</v>
    <v>TOTS3</v>
    <v>Ações</v>
    <v>TOTVS S.A. (BVMF:TOTS3)</v>
    <v>0.86</v>
    <v>2.0823000000000001E-2</v>
    <v>2805400</v>
  </rv>
  <rv s="2">
    <v>629</v>
  </rv>
  <rv s="0">
    <v>https://www.bing.com/financeapi/forcetrigger?t=apmipr&amp;q=BVMF%3aYDUQ3&amp;form=skydnc</v>
    <v>Learn more on Bing</v>
  </rv>
  <rv s="8">
    <v>pt-BR</v>
    <v>apmipr</v>
    <v>268435456</v>
    <v>1</v>
    <v>Da plataforma Refinitiv</v>
    <v>14</v>
    <v>15</v>
    <v>YDUQS Participações S.A. (BVMF:YDUQ3)</v>
    <v>12</v>
    <v>16</v>
    <v>Finance</v>
    <v>5</v>
    <v>17.8</v>
    <v>7.54</v>
    <v>BVMF</v>
    <v>274088800</v>
    <v>13.06</v>
    <v>2007</v>
    <v>12.27</v>
    <v>2.0470999999999999</v>
    <v>B3 - Brazil Stock Exchange</v>
    <v>3576858840</v>
    <v>A YDUQS Participações SA é uma empresa com sede no Brasil que se dedica à prestação de serviços educacionais. A empresa está focada no desenvolvimento de instituições de ensino superior. Sua gama de serviços abrange cursos presenciais e a distância com programas de pós-graduação e mestrado em administração de empresas (MBA), cursos profissionalizantes, preparatórios para exames, cursos de curta duração, além de treinamentos empresariais para profissionais, entre outros. Os cursos da Companhia oferecem desenvolvimento nas áreas jurídica, gestão, humanidades, saúde e tecnologia. Sua rede educacional é formada por universidades, campi, centros de ensino a distância e faculdades. A Companhia atua no Brasil por meio das marcas: Estácio, UniToledo, Adtalem (IBMEC, Wyden, Damasio Educacional, SJT Med e Clio).</v>
    <v>BVMF</v>
    <v>13.04</v>
    <v>16000</v>
    <v>45884.958356481482</v>
    <v>631</v>
    <v>3763430</v>
    <v>BRL</v>
    <v>YDUQS Participações S.A.</v>
    <v>YDUQS Participações S.A.</v>
    <v>12.6</v>
    <v>13.05</v>
    <v>Avenida Venezuela 43, 6 andar, Saude, RIO DE JANEIRO, RIO DE JANEIRO, 20.081-311 BR</v>
    <v>School, College &amp; University</v>
    <v>YDUQ3</v>
    <v>Ações</v>
    <v>YDUQS Participações S.A. (BVMF:YDUQ3)</v>
    <v>0.01</v>
    <v>7.6689999999999994E-4</v>
    <v>5618100</v>
  </rv>
  <rv s="2">
    <v>632</v>
  </rv>
  <rv s="0">
    <v>https://www.bing.com/financeapi/forcetrigger?t=bvs1lh&amp;q=BVMF%3aJSLG3&amp;form=skydnc</v>
    <v>Learn more on Bing</v>
  </rv>
  <rv s="8">
    <v>pt-BR</v>
    <v>bvs1lh</v>
    <v>268435456</v>
    <v>1</v>
    <v>Da plataforma Refinitiv</v>
    <v>14</v>
    <v>15</v>
    <v>JSL S.A. (BVMF:JSLG3)</v>
    <v>12</v>
    <v>16</v>
    <v>Finance</v>
    <v>5</v>
    <v>9.6199999999999992</v>
    <v>5</v>
    <v>BVMF</v>
    <v>286431100</v>
    <v>5.39</v>
    <v>1969</v>
    <v>5.2</v>
    <v>1.4767999999999999</v>
    <v>B3 - Brazil Stock Exchange</v>
    <v>1518084830</v>
    <v>A JSL SA é uma empresa brasileira que atua no setor de logística. A Empresa presta serviços através de seis linhas de negócio: Transporte Rodoviário de Carga e Logística Rodoviária Dedicada de Carga, envolvida na cadeia de abastecimento e gestão das informações da cadeia logística do cliente; Commodity Logistics, que oferece soluções customizadas para os setores de papel e celulose, mineração e sucroenergético; Logística Interna, que consiste no manuseio interno de matérias-primas, produtos, gestão de estoque e abastecimento da linha de montagem do cliente; Distribuição Urbana, que inclui abastecimento de pontos de venda e gestão de devolução de embalagens; Serviços de Warehousing, dedicados à recepção, armazenamento e expedição de mercadorias e gestão de inventário; e Afretamento, que presta serviços de transporte para funcionários de empresas clientes por meio dos demais serviços prestados pela Companhia. A Firma é controlada pela Simpar SA.</v>
    <v>BVMF</v>
    <v>5.33</v>
    <v>28000</v>
    <v>45884.958333333336</v>
    <v>634</v>
    <v>585550</v>
    <v>BRL</v>
    <v>JSL S.A.</v>
    <v>JSL S.A.</v>
    <v>5.39</v>
    <v>5.3</v>
    <v>Rua Doutor Renato Paes de Barros, 1017, Conjunto 91,ED. Corporate Park, Itaim Bibi, SAO PAULO, SAO PAULO, 04.530-001 BR</v>
    <v>Freight &amp; Logistics Services</v>
    <v>JSLG3</v>
    <v>Ações</v>
    <v>JSL S.A. (BVMF:JSLG3)</v>
    <v>-0.03</v>
    <v>-5.6289999999999995E-3</v>
    <v>389900</v>
  </rv>
  <rv s="2">
    <v>635</v>
  </rv>
  <rv s="0">
    <v>https://www.bing.com/financeapi/forcetrigger?t=c337yc&amp;q=BVMF%3aONCO3&amp;form=skydnc</v>
    <v>Learn more on Bing</v>
  </rv>
  <rv s="9">
    <v>pt-BR</v>
    <v>c337yc</v>
    <v>268435456</v>
    <v>1</v>
    <v>Da plataforma Refinitiv</v>
    <v>17</v>
    <v>18</v>
    <v>Oncoclínicas do Brasil Serviços Médicos S.A. (BVMF:ONCO3)</v>
    <v>12</v>
    <v>19</v>
    <v>Finance</v>
    <v>5</v>
    <v>6.84</v>
    <v>1.74</v>
    <v>BVMF</v>
    <v>651756300</v>
    <v>5.37</v>
    <v>2010</v>
    <v>5.0999999999999996</v>
    <v>1.3439000000000001</v>
    <v>B3 - Brazil Stock Exchange</v>
    <v>3499931331</v>
    <v>A Oncoclinicas do Brasil Servicos Medicos SA é uma empresa brasileira que atua no setor de serviços médicos ambulatoriais. A empresa presta serviços médicos focados em Oncologia. A Companhia, desde sua fundação, além de atuar diretamente no tratamento de pacientes com câncer, se dedicou ao estudo e identificação das oportunidades terapêuticas adequadas para os pacientes e das tendências de crescimento no setor. A empresa detém participação em diversas subsidiárias, como Centro de Quimioterapia Antiblastica e Imunoterapia SA, Centro Mineiro de Infrações SA e Centro Paulista de Oncologia SA.</v>
    <v>BVMF</v>
    <v>5.39</v>
    <v>45884.958356481482</v>
    <v>637</v>
    <v>853310</v>
    <v>BRL</v>
    <v>Oncoclínicas do Brasil Serviços Médicos S.A.</v>
    <v>Oncoclínicas do Brasil Serviços Médicos S.A.</v>
    <v>5.2</v>
    <v>5.37</v>
    <v>Avenida Presidente Juscelino Kubitschek, n 510 2 andar, Vila Nova Conceicao, SAO PAULO, SAO PAULO, 04.543-906 BR</v>
    <v>Healthcare Providers &amp; Services</v>
    <v>ONCO3</v>
    <v>Ações</v>
    <v>Oncoclínicas do Brasil Serviços Médicos S.A. (BVMF:ONCO3)</v>
    <v>-0.02</v>
    <v>-3.7109999999999999E-3</v>
    <v>1321200</v>
  </rv>
  <rv s="2">
    <v>638</v>
  </rv>
  <rv s="0">
    <v>https://www.bing.com/financeapi/forcetrigger?t=apltk2&amp;q=BVMF%3aAALR3&amp;form=skydnc</v>
    <v>Learn more on Bing</v>
  </rv>
  <rv s="9">
    <v>pt-BR</v>
    <v>apltk2</v>
    <v>268435456</v>
    <v>1</v>
    <v>Da plataforma Refinitiv</v>
    <v>17</v>
    <v>18</v>
    <v>ALLIANÇA SAÚDE E PARTICIPAÇÕES S.A. (BVMF:AALR3)</v>
    <v>12</v>
    <v>19</v>
    <v>Finance</v>
    <v>5</v>
    <v>16.489999999999998</v>
    <v>3.88</v>
    <v>BVMF</v>
    <v>152359500</v>
    <v>5.65</v>
    <v>1992</v>
    <v>5.41</v>
    <v>0.9032</v>
    <v>B3 - Brazil Stock Exchange</v>
    <v>837977250</v>
    <v>Allianca Saude e Participações SA é uma empresa brasileira que atua no setor de serviços e equipamentos de saúde. A Empresa e suas subsidiárias têm como objetivo corporativo a prestação de diagnóstico de serviços médicos, incluindo: Diagnóstico de imagem e métodos gráficos; medicina nuclear e citologia; anatomia patológica; e análises clínicas, diretamente ou utilizando empresas médicas especializadas e laboratórios contratados, bem como outros serviços de auxílio de apoio diagnóstico. A Companhia e suas subsidiárias também operam na exploração de atividades relacionadas a: Importação, para uso próprio de equipamentos médico-hospitalares, kits de diagnóstico e equipamentos relacionados em geral; consultoria, assessoria, cursos e palestras na área da saúde; e pesquisa e desenvolvimento científico e tecnológico no campo da medicina diagnóstica; preparação, edição, publicação e distribuição de jornais, livros, revistas, periódicos e outros veículos de comunicação escrita.</v>
    <v>BVMF</v>
    <v>5.54</v>
    <v>45884.958391203705</v>
    <v>640</v>
    <v>104790</v>
    <v>BRL</v>
    <v>ALLIANÇA SAÚDE E PARTICIPAÇÕES S.A.</v>
    <v>ALLIANÇA SAÚDE E PARTICIPAÇÕES S.A.</v>
    <v>5.49</v>
    <v>5.5</v>
    <v>Avenida Presidente Juscelino Kubitschek, 1830, Sala 111 - Bloco 1, Vila Nova Conceicao, SAO PAULO, SAO PAULO, 04.543-900 BR</v>
    <v>Healthcare Providers &amp; Services</v>
    <v>AALR3</v>
    <v>Ações</v>
    <v>ALLIANÇA SAÚDE E PARTICIPAÇÕES S.A. (BVMF:AALR3)</v>
    <v>-0.04</v>
    <v>-7.2199999999999999E-3</v>
    <v>47900</v>
  </rv>
  <rv s="2">
    <v>641</v>
  </rv>
  <rv s="0">
    <v>https://www.bing.com/financeapi/forcetrigger?t=apmpqh&amp;q=BVMF%3aHBOR3&amp;form=skydnc</v>
    <v>Learn more on Bing</v>
  </rv>
  <rv s="8">
    <v>pt-BR</v>
    <v>apmpqh</v>
    <v>268435456</v>
    <v>1</v>
    <v>Da plataforma Refinitiv</v>
    <v>14</v>
    <v>15</v>
    <v>HELBOR EMPREENDIMENTOS S.A. (BVMF:HBOR3)</v>
    <v>12</v>
    <v>16</v>
    <v>Finance</v>
    <v>5</v>
    <v>3.2</v>
    <v>1.24</v>
    <v>BVMF</v>
    <v>133851100</v>
    <v>2.88</v>
    <v>1977</v>
    <v>2.68</v>
    <v>2.0055000000000001</v>
    <v>B3 - Brazil Stock Exchange</v>
    <v>385491168</v>
    <v>A Helbor Empreendimentos SA, anteriormente denominada Helbor Empreendimentos Imobiliarios Ltda, é uma empresa com sede no Brasil que atua no setor imobiliário. A Companhia dedica-se principalmente ao desenvolvimento, aquisição, venda e administração de propriedades imobiliárias residenciais e comerciais. A Companhia está presente no mercado nacional em cerca de dez estados e no Distrito Federal, abrangendo aproximadamente 31 cidades brasileiras. A Companhia opera por meio de várias subsidiárias, incluindo SCP Helbor Resort Reserva do Mar, SCP Helbor Tendence, SCP Howa, SCP Coral Gables, SPE Capital Federal Investimentos Imobiliários Ltda, SCP Edificio Helbor Home Flex Gonzaga e SCP Helbor Reserva do Itapety, entre outras.</v>
    <v>BVMF</v>
    <v>2.81</v>
    <v>183</v>
    <v>45884.958333333336</v>
    <v>643</v>
    <v>1226050</v>
    <v>BRL</v>
    <v>HELBOR EMPREENDIMENTOS S.A.</v>
    <v>HELBOR EMPREENDIMENTOS S.A.</v>
    <v>2.85</v>
    <v>2.88</v>
    <v>Av. Vereador Narciso Yague Guimaraes, N 1145,15 Andar, Jardim Armenia, MOGI DAS CRUZES, SAO PAULO, 08.780-500 BR</v>
    <v>Real Estate Operations</v>
    <v>HBOR3</v>
    <v>Ações</v>
    <v>HELBOR EMPREENDIMENTOS S.A. (BVMF:HBOR3)</v>
    <v>7.0000000000000007E-2</v>
    <v>2.4910999999999999E-2</v>
    <v>1967500</v>
  </rv>
  <rv s="2">
    <v>644</v>
  </rv>
  <rv s="0">
    <v>https://www.bing.com/financeapi/forcetrigger?t=apmbxm&amp;q=BVMF%3aCRPG5&amp;form=skydnc</v>
    <v>Learn more on Bing</v>
  </rv>
  <rv s="9">
    <v>pt-BR</v>
    <v>apmbxm</v>
    <v>268435456</v>
    <v>1</v>
    <v>Da plataforma Refinitiv</v>
    <v>17</v>
    <v>18</v>
    <v>Tronox Pigmentos do Brasil SA (BVMF:CRPG5)</v>
    <v>12</v>
    <v>19</v>
    <v>Finance</v>
    <v>5</v>
    <v>29.49</v>
    <v>14.62</v>
    <v>BVMF</v>
    <v>29018750</v>
    <v>15.99</v>
    <v>1966</v>
    <v>14.87</v>
    <v>0.8206</v>
    <v>B3 - Brazil Stock Exchange</v>
    <v>471934300</v>
    <v>A Tronox Pigmentos do Brasil SA, anteriormente conhecida como Cristal Pigmentos do Brasil SA, é uma empresa sediada no Brasil que atua principalmente na fabricação de produtos químicos, como dióxido de titânio e ácido sulfúrico. O dióxido de titânio (TiO2), principal produto da empresa, é usado na fabricação de tintas, papéis, garrafas de plástico, tapume de vinil e materiais de embalagem, entre outros. A Companhia também atua na produção e comercialização de minerais, incluindo rutilo, ilmenita e zircão. Opera uma unidade industrial no estado da Bahia e uma mina no estado da Paraíba. Em 31 de dezembro de 2011, a subsidiária da Companhia era a Millennium Inorganic Chemicals Mineracao Ltda, que atua no setor de mineração.</v>
    <v>BVMF</v>
    <v>15.25</v>
    <v>45884.958333333336</v>
    <v>646</v>
    <v>1530</v>
    <v>BRL</v>
    <v>Tronox Pigmentos do Brasil SA</v>
    <v>Tronox Pigmentos do Brasil SA</v>
    <v>15.49</v>
    <v>14.87</v>
    <v>Rodovia Ba 099 Km 20 Centro, Abrantes, CAMACARI, BAHIA, 42.840-000 BR</v>
    <v>Chemicals</v>
    <v>CRPG5</v>
    <v>Ações</v>
    <v>Tronox Pigmentos do Brasil SA (BVMF:CRPG5)</v>
    <v>-0.38</v>
    <v>-2.4917999999999999E-2</v>
    <v>3100</v>
  </rv>
  <rv s="2">
    <v>647</v>
  </rv>
  <rv s="0">
    <v>https://www.bing.com/financeapi/forcetrigger?t=apmvrw&amp;q=BVMF%3aLOGN3&amp;form=skydnc</v>
    <v>Learn more on Bing</v>
  </rv>
  <rv s="8">
    <v>pt-BR</v>
    <v>apmvrw</v>
    <v>268435456</v>
    <v>1</v>
    <v>Da plataforma Refinitiv</v>
    <v>14</v>
    <v>15</v>
    <v>LOG-IN LOGISTICA INTERMODAL S.A. (BVMF:LOGN3)</v>
    <v>12</v>
    <v>16</v>
    <v>Finance</v>
    <v>5</v>
    <v>38.5</v>
    <v>19.25</v>
    <v>BVMF</v>
    <v>107306500</v>
    <v>25.15</v>
    <v>1973</v>
    <v>24.91</v>
    <v>0.96689999999999998</v>
    <v>B3 - Brazil Stock Exchange</v>
    <v>2692320085</v>
    <v>A Log-in Logística Intermodal SA, antiga Docenave Navegação Vale do Rio Doce SA, é uma empresa com sede no Brasil que planeja, administra e opera soluções de movimentação de cargas por meio da cabotagem, complementadas por serviços rodoviários. A Companhia opera uma malha interligada, que inclui movimentação portuária e transporte porta a porta, por meio de uma malha intermodal que cobre o Brasil e a região do Mercado Comum do Sul (Mercosul). As atividades da Companhia estão divididas em três áreas: Navegação Costeira, que oferece transporte marítimo em portos da costa brasileira e do Mercosul, integrado aos serviços contratados de transporte rodoviário de curta distância; Terminal Portuário, que administra e opera um terminal portuário de contêineres, o Terminal Vila Velha (TVV), no estado do Espírito Santo, Brasil, e Terminais Intermodais, incluindo terminais intermodais terrestres integrados aos serviços da área de Navegação Costeira.</v>
    <v>BVMF</v>
    <v>25</v>
    <v>750</v>
    <v>45884.958333333336</v>
    <v>649</v>
    <v>14900</v>
    <v>BRL</v>
    <v>LOG-IN LOGISTICA INTERMODAL S.A.</v>
    <v>LOG-IN LOGISTICA INTERMODAL S.A.</v>
    <v>24.91</v>
    <v>25.09</v>
    <v>Rua do Passeio, 78 12 andar - 1201, Centro, RIO DE JANEIRO, RIO DE JANEIRO, 20.021-290 BR</v>
    <v>Freight &amp; Logistics Services</v>
    <v>LOGN3</v>
    <v>Ações</v>
    <v>LOG-IN LOGISTICA INTERMODAL S.A. (BVMF:LOGN3)</v>
    <v>0.09</v>
    <v>3.5999999999999999E-3</v>
    <v>3500</v>
  </rv>
  <rv s="2">
    <v>650</v>
  </rv>
  <rv s="0">
    <v>https://www.bing.com/financeapi/forcetrigger?t=bxgk6h&amp;q=BVMF%3aVAMO3&amp;form=skydnc</v>
    <v>Learn more on Bing</v>
  </rv>
  <rv s="8">
    <v>pt-BR</v>
    <v>bxgk6h</v>
    <v>268435456</v>
    <v>1</v>
    <v>Da plataforma Refinitiv</v>
    <v>14</v>
    <v>15</v>
    <v>Vamos Locação de Caminhões, Máquinas e Equipamentos S.A. (BVMF:VAMO3)</v>
    <v>12</v>
    <v>16</v>
    <v>Finance</v>
    <v>5</v>
    <v>7.65</v>
    <v>3.54</v>
    <v>BVMF</v>
    <v>1081033000</v>
    <v>3.91</v>
    <v>2015</v>
    <v>3.8</v>
    <v>1.2736000000000001</v>
    <v>B3 - Brazil Stock Exchange</v>
    <v>4161975000</v>
    <v>Somos Locacao de Caminhoes, Maquinas e Equipamentos SA é uma empresa pública brasileira que realiza suas atividades através de três segmentos: Locação de caminhões, máquinas e equipamentos; concessionárias de caminhões, máquinas e equipamentos; e customização de caminhões. O segmento de locação de caminhões, máquinas e equipamentos compreende a terceirização de frotas por meio do leasing de caminhões, máquinas e equipamentos e gerenciamento de frotas. O segmento de concessionárias de caminhões, máquinas e equipamentos compreende a comercialização de caminhões novos e usados, máquinas e equipamentos, bem como peças, máquinas e acessórios, prestação de serviços de mecânica, carroçaria e pintura. O segmento de personalização de camiões inclui serviços de personalização e soluções personalizadas para veículos pesados.</v>
    <v>BVMF</v>
    <v>3.85</v>
    <v>2291</v>
    <v>45884.958356481482</v>
    <v>652</v>
    <v>13538790</v>
    <v>BRL</v>
    <v>Vamos Locação de Caminhões, Máquinas e Equipamentos S.A.</v>
    <v>Vamos Locação de Caminhões, Máquinas e Equipamentos S.A.</v>
    <v>3.9</v>
    <v>3.83</v>
    <v>Rua Doutor Renato Paes de Barros, 1017, 6 andar, Itaim Bibi, SAO PAULO, SAO PAULO, 04.530-001 BR</v>
    <v>Freight &amp; Logistics Services</v>
    <v>VAMO3</v>
    <v>Ações</v>
    <v>Vamos Locação de Caminhões, Máquinas e Equipamentos S.A. (BVMF:VAMO3)</v>
    <v>-0.02</v>
    <v>-5.195E-3</v>
    <v>12382300</v>
  </rv>
  <rv s="2">
    <v>653</v>
  </rv>
  <rv s="0">
    <v>https://www.bing.com/financeapi/forcetrigger?t=apmsww&amp;q=BVMF%3aJHSF3&amp;form=skydnc</v>
    <v>Learn more on Bing</v>
  </rv>
  <rv s="9">
    <v>pt-BR</v>
    <v>apmsww</v>
    <v>268435456</v>
    <v>1</v>
    <v>Da plataforma Refinitiv</v>
    <v>17</v>
    <v>18</v>
    <v>JHS F Participações S.A (BVMF:JHSF3)</v>
    <v>12</v>
    <v>19</v>
    <v>Finance</v>
    <v>5</v>
    <v>5.55</v>
    <v>3.39</v>
    <v>BVMF</v>
    <v>681322800</v>
    <v>5.49</v>
    <v>2006</v>
    <v>5.32</v>
    <v>1.5049999999999999</v>
    <v>B3 - Brazil Stock Exchange</v>
    <v>3713209260</v>
    <v>A JHSF Participações SA é uma holding sediada no Brasil. Centra-se no setor imobiliário de alta qualidade. As operações da Companhia estão divididas em vários segmentos de negócio: Desenvolvimento Imobiliário, Casas de Aluguer e Clubes, Centros Comerciais, Hospitalidade e Gastronomia, Aeroporto Executivo, Varejo, ID digital e capital. As principais marcas da JHSF incluem Fazenda Boa Vista, Cidade Jardim Mall, Catarina Fashion Outlet e Fasano. A JHSF Participações SA opera através de inúmeras subsidiárias, incluindo a JHSF Investimentos em Negócios Aeronautas Ltda, Companhia Urbanizadora Jardim Panorama SA, Corbas Administradora de Bens Ltda, JHSF Administradora do Catarina Aeroporto Executivo SA, bem como a JHSF Faria Lima Administracao e Participações Ltda.</v>
    <v>BVMF</v>
    <v>5.27</v>
    <v>45884.958333333336</v>
    <v>655</v>
    <v>2300390</v>
    <v>BRL</v>
    <v>JHS F Participações S.A</v>
    <v>JHS F Participações S.A</v>
    <v>5.36</v>
    <v>5.45</v>
    <v>Avenida Alcides Sangirardi s/n - 301 Usina SP Espaco C.01.01, Cidade Jardim, SAO PAULO, SAO PAULO, 05.672-015 BR</v>
    <v>Real Estate Operations</v>
    <v>JHSF3</v>
    <v>Ações</v>
    <v>JHS F Participações S.A (BVMF:JHSF3)</v>
    <v>0.18</v>
    <v>3.4155999999999999E-2</v>
    <v>4142700</v>
  </rv>
  <rv s="2">
    <v>656</v>
  </rv>
  <rv s="0">
    <v>https://www.bing.com/financeapi/forcetrigger?t=apmtf2&amp;q=BVMF%3aSIMH3&amp;form=skydnc</v>
    <v>Learn more on Bing</v>
  </rv>
  <rv s="8">
    <v>pt-BR</v>
    <v>apmtf2</v>
    <v>268435456</v>
    <v>1</v>
    <v>Da plataforma Refinitiv</v>
    <v>14</v>
    <v>15</v>
    <v>SIMPAR S.A. (BVMF:SIMH3)</v>
    <v>12</v>
    <v>16</v>
    <v>Finance</v>
    <v>5</v>
    <v>7.04</v>
    <v>2.95</v>
    <v>BVMF</v>
    <v>873040500</v>
    <v>4.5199999999999996</v>
    <v>2005</v>
    <v>4.22</v>
    <v>1.653</v>
    <v>B3 - Brazil Stock Exchange</v>
    <v>3727882934</v>
    <v>A Simpar SA é uma provedora de serviços de investimento financeiro com sede no Brasil. Atua como holding do Grupo JSL. Por meio de suas controladas, a Companhia presta serviços divididos em sete segmentos: JSL Logística, voltada para os setores de transporte e logística; Movida, que atua no setor de aluguel de veículos leves e gestão de frotas; CS Brasil, que presta serviços a órgãos públicos e empresas, incluindo gestão e terceirização de frotas, transporte urbano de passageiros e serviços de limpeza urbana; Concessionarias Originais, que tem por objeto a comercialização de automóveis e peças Volkswagen, FIAT e Ford; BBC, oferecendo serviços financeiros, como leasing, emissão e administração de cartões de crédito e processamento de pagamentos eletrônicos; e Holding e outras, compostas principalmente por entidades sediadas no exterior, utilizadas como veículos de captação de recursos.</v>
    <v>BVMF</v>
    <v>4.45</v>
    <v>55000</v>
    <v>45884.958391203705</v>
    <v>658</v>
    <v>4731960</v>
    <v>BRL</v>
    <v>SIMPAR S.A.</v>
    <v>SIMPAR S.A.</v>
    <v>4.38</v>
    <v>4.2699999999999996</v>
    <v>Rua Doutor Renato Paes de Barros, 1017, 10 andar, cj. 101, Itaim Bibi, SAO PAULO, SAO PAULO, 04.530-001 BR</v>
    <v>Freight &amp; Logistics Services</v>
    <v>SIMH3</v>
    <v>Ações</v>
    <v>SIMPAR S.A. (BVMF:SIMH3)</v>
    <v>-0.18</v>
    <v>-4.0448999999999999E-2</v>
    <v>5085700</v>
  </rv>
  <rv s="2">
    <v>659</v>
  </rv>
  <rv s="0">
    <v>https://www.bing.com/financeapi/forcetrigger?t=apmp9c&amp;q=BVMF%3aGUAR3&amp;form=skydnc</v>
    <v>Learn more on Bing</v>
  </rv>
  <rv s="8">
    <v>pt-BR</v>
    <v>apmp9c</v>
    <v>268435456</v>
    <v>1</v>
    <v>Da plataforma Refinitiv</v>
    <v>14</v>
    <v>15</v>
    <v>Guararapes Confecções S/A (BVMF:GUAR3)</v>
    <v>12</v>
    <v>16</v>
    <v>Finance</v>
    <v>5</v>
    <v>9.57</v>
    <v>5.48</v>
    <v>BVMF</v>
    <v>499200000</v>
    <v>8.33</v>
    <v>1956</v>
    <v>8.08</v>
    <v>2.2058</v>
    <v>B3 - Brazil Stock Exchange</v>
    <v>4073472000</v>
    <v>A Guararapes Confecções S.A. é uma empresa brasileira que se dedica principalmente à indústria da moda. A Empresa está envolvida na fabricação, comércio atacadista, varejista e exportação de vestuário e tecidos, bem como na importação e venda por atacado de calçados, roupa de banho e mesa, perfumes e cosméticos, entre outros. As atividades da Empresa estão divididas em três segmentos de negócios: Varejo, que se concentra na venda de vestuário e outros bens por meio da rede de lojas sob a marca Lojas Riachuelo; Finanças, que oferece empréstimos ao consumidor concedidos por meio de cartões de crédito, e Outros, que inclui arrendamento e gestão de imóveis comerciais, bem como transporte rodoviário, entre outros. A Empresa opera por meio de diversas subsidiárias, como Lojas Riachuelo SA, Midway Shopping Center Ltda., Midway SA - Crédito Financiamento e Investimento e Transportadora Casa Verde Ltda.</v>
    <v>BVMF</v>
    <v>8.14</v>
    <v>31919</v>
    <v>45884.958391203705</v>
    <v>661</v>
    <v>1141280</v>
    <v>BRL</v>
    <v>Guararapes Confecções S/A</v>
    <v>Guararapes Confecções S/A</v>
    <v>8.14</v>
    <v>8.16</v>
    <v>Rodovia BR 101 Norte, n 9.000, Anexo Guararapes Confeccoes, N. Sra. Apresentacao, NATAL, RIO GRANDE DO NORTE, 59.115-900 BR</v>
    <v>Specialty Retailers</v>
    <v>GUAR3</v>
    <v>Ações</v>
    <v>Guararapes Confecções S/A (BVMF:GUAR3)</v>
    <v>0.02</v>
    <v>2.457E-3</v>
    <v>579700</v>
  </rv>
  <rv s="2">
    <v>662</v>
  </rv>
  <rv s="0">
    <v>https://www.bing.com/financeapi/forcetrigger?t=apnc27&amp;q=BVMF%3aSGPS3&amp;form=skydnc</v>
    <v>Learn more on Bing</v>
  </rv>
  <rv s="7">
    <v>pt-BR</v>
    <v>apnc27</v>
    <v>268435456</v>
    <v>1</v>
    <v>Da plataforma Refinitiv</v>
    <v>10</v>
    <v>11</v>
    <v>SPRINGS GLOBAL PARTICIPACOES S.A. EM RECUPERACAO JUDICIAL (BVMF:SGPS3)</v>
    <v>12</v>
    <v>13</v>
    <v>Finance</v>
    <v>5</v>
    <v>1.75</v>
    <v>1.64</v>
    <v>BVMF</v>
    <v>10000000</v>
    <v>1.64</v>
    <v>2005</v>
    <v>1.64</v>
    <v>2.1299000000000001</v>
    <v>B3 - Brazil Stock Exchange</v>
    <v>16399999</v>
    <v>A SPRINGS Global Participações SA em Recuperacao Judicial é uma holding brasileira que atua na indústria têxtil. Através de suas subsidiárias, a empresa integrou verticalmente a produção de seus produtos, desde fiação, tecelagem, preparação, tingimento, impressão, acabamento e costura, com fábricas no Brasil (nove unidades) e Argentina (uma unidade). No Brasil, as principais marcas comercializadas pela Springs Global são a Santista, que é vendida tanto por atacado quanto por varejo online; a Artex, que atende canais de distribuição por atacado e varejo; e a MMartan e a Casa Moyses, que são vendidas exclusivamente em lojas de varejo de marca única. No mercado argentino, a empresa tem as marcas Palette, Arco-iris e Fantasia.</v>
    <v>BVMF</v>
    <v>1.75</v>
    <v>7454</v>
    <v>45519.947916666664</v>
    <v>664</v>
    <v>BRL</v>
    <v>SPRINGS GLOBAL PARTICIPACOES S.A. EM RECUPERACAO JUDICIAL</v>
    <v>SPRINGS GLOBAL PARTICIPACOES S.A. EM RECUPERACAO JUDICIAL</v>
    <v>1.64</v>
    <v>1.64</v>
    <v>Av. Lincoln Alves dos Santos, 955, Distrito Industrial, MONTES CLAROS, MINAS GERAIS, 39.404-005 BR</v>
    <v>Textiles &amp; Apparel</v>
    <v>SGPS3</v>
    <v>Ações</v>
    <v>SPRINGS GLOBAL PARTICIPACOES S.A. EM RECUPERACAO JUDICIAL (BVMF:SGPS3)</v>
    <v>-0.11</v>
    <v>-6.2856999999999996E-2</v>
    <v>19800</v>
  </rv>
  <rv s="2">
    <v>665</v>
  </rv>
  <rv s="0">
    <v>https://www.bing.com/financeapi/forcetrigger?t=apmuk2&amp;q=BVMF%3aCOGN3&amp;form=skydnc</v>
    <v>Learn more on Bing</v>
  </rv>
  <rv s="8">
    <v>pt-BR</v>
    <v>apmuk2</v>
    <v>268435456</v>
    <v>1</v>
    <v>Da plataforma Refinitiv</v>
    <v>14</v>
    <v>15</v>
    <v>COGNA EDUCAÇÃO S.A. (BVMF:COGN3)</v>
    <v>12</v>
    <v>16</v>
    <v>Finance</v>
    <v>5</v>
    <v>3.19</v>
    <v>0.95</v>
    <v>BVMF</v>
    <v>1876606000</v>
    <v>2.9</v>
    <v>1998</v>
    <v>2.82</v>
    <v>1.8660000000000001</v>
    <v>B3 - Brazil Stock Exchange</v>
    <v>5310794980</v>
    <v>A Cogna Educação SA, anteriormente Kroton Educacional SA, é uma empresa sediada no Brasil, atuante no setor de educação privada. A Companhia se concentra no desenvolvimento de escolas primárias e secundárias, programas de pós-graduação e pós-graduação, além de cursos vocacionais. As atividades da Companhia são divididas em três segmentos de negócios: Ensino superior em sala de aula, que oferece programas de ensino secundário no campus; Ensino superior a distância (EAD), que fornece programas de ensino médio por meio de plataforma on-line, e Educação básica, que inclui escolas primárias próprias e gerenciadas, coleta e desenvolvimento de materiais de ensino, consultoria de gestão escolar, ferramentas de apoio educacional, entre outros. A Companhia opera diversas marcas, como Anhanguera, Fama, Pitagoras, Unic, Unime e Unopar. Além disso, está envolvida no atacado, varejo, distribuição, importação e exportação de livros didáticos, livros didáticos, revistas e outras publicações relacionadas à educação.</v>
    <v>BVMF</v>
    <v>2.87</v>
    <v>26933</v>
    <v>45884.958356481482</v>
    <v>667</v>
    <v>40342790</v>
    <v>BRL</v>
    <v>COGNA EDUCAÇÃO S.A.</v>
    <v>COGNA EDUCAÇÃO S.A.</v>
    <v>2.87</v>
    <v>2.83</v>
    <v>Rua dos Guajajaras, n 591 4 andar, sala 1, Lourdes, BELO HORIZONTE, MINAS GERAIS, 30.180-101 BR</v>
    <v>School, College &amp; University</v>
    <v>COGN3</v>
    <v>Ações</v>
    <v>COGNA EDUCAÇÃO S.A. (BVMF:COGN3)</v>
    <v>-0.04</v>
    <v>-1.3937E-2</v>
    <v>17273100</v>
  </rv>
  <rv s="2">
    <v>668</v>
  </rv>
  <rv s="0">
    <v>https://www.bing.com/financeapi/forcetrigger?t=apn2nm&amp;q=BVMF%3aOIBR4&amp;form=skydnc</v>
    <v>Learn more on Bing</v>
  </rv>
  <rv s="8">
    <v>pt-BR</v>
    <v>apn2nm</v>
    <v>268435456</v>
    <v>1</v>
    <v>Da plataforma Refinitiv</v>
    <v>14</v>
    <v>15</v>
    <v>Oi S.A. – Em Recuperação Judicial (BVMF:OIBR4)</v>
    <v>12</v>
    <v>16</v>
    <v>Finance</v>
    <v>5</v>
    <v>14.3</v>
    <v>5.65</v>
    <v>BVMF</v>
    <v>330121700</v>
    <v>7.56</v>
    <v>1963</v>
    <v>7.3</v>
    <v>1.3743000000000001</v>
    <v>B3 - Brazil Stock Exchange</v>
    <v>195893300</v>
    <v>オーアイ・エム・リューペラカオ・ジュディシアル（Oi SA - em Recuperacao Judicial）は、ブラジルの通信サービス・プロバイダー会社である。【事業内容】固定電話交換サービス（STFC）のコンセッション事業者であり、市内および地域内長距離通信事業者としてSTFCの提供に従事する。セグメントにはOi Fibra、Oi Solucoes、Servicos Legadosがある。Oiは、固定電話、携帯電話、ブロードバンド、有料テレビ、データ通信、インターネット・プロバイダー・サービスなどの総合通信サービスを提供する。Oi Fibraセグメントは、ブロードバンド、固定音声、IPTVサービスを一般家庭および中小企業向けに販売する。Oi Solucoesセグメントは、中・大企業向けビジネスソリューション、デジタルおよびITサービスを含む。Servicos Legadosセグメントは、銅線技術、DTH TV、規制卸売サービスを含む。</v>
    <v>BVMF</v>
    <v>7.55</v>
    <v>2600</v>
    <v>45884.833252314813</v>
    <v>670</v>
    <v>17980</v>
    <v>BRL</v>
    <v>Oi S.A. – Em Recuperação Judicial</v>
    <v>Oi S.A. – Em Recuperação Judicial</v>
    <v>7.47</v>
    <v>7.3</v>
    <v>Rua do Lavradio, 71,2 andar, Centro, RIO DE JANEIRO, RIO DE JANEIRO, 20.230-070 BR</v>
    <v>Telecommunications Services</v>
    <v>OIBR4</v>
    <v>Ações</v>
    <v>Oi S.A. – Em Recuperação Judicial (BVMF:OIBR4)</v>
    <v>-0.25</v>
    <v>-3.3113000000000004E-2</v>
    <v>2500</v>
  </rv>
  <rv s="2">
    <v>671</v>
  </rv>
  <rv s="0">
    <v>https://www.bing.com/financeapi/forcetrigger?t=c3an52&amp;q=BVMF%3aVITT3&amp;form=skydnc</v>
    <v>Learn more on Bing</v>
  </rv>
  <rv s="8">
    <v>pt-BR</v>
    <v>c3an52</v>
    <v>268435456</v>
    <v>1</v>
    <v>Da plataforma Refinitiv</v>
    <v>14</v>
    <v>15</v>
    <v>VITTIA S.A. (BVMF:VITT3)</v>
    <v>12</v>
    <v>16</v>
    <v>Finance</v>
    <v>5</v>
    <v>6.1</v>
    <v>4.2</v>
    <v>BVMF</v>
    <v>150314000</v>
    <v>4.6500000000000004</v>
    <v>1971</v>
    <v>4.3099999999999996</v>
    <v>0.9839</v>
    <v>B3 - Brazil Stock Exchange</v>
    <v>698960100</v>
    <v>Vittia SA, anteriormente Vittia Fertilizantes e Biologicos SA é uma empresa de biotecnologia sediada no Brasil, presente no mercado agrícola. É focado no controle biológico e inoculantes. As atividades da Companhia são realizadas através de quatro segmentos operacionais: Fertilizantes foliares e Produtos Industriais (produtos baseados em substâncias minerais e/ou orgânicas que fornecem nutrientes às plantas através de aplicações em suas folhas ou sementes); micronutrientes do solo (produtos com alta solubilidade em água que são aplicados diretamente no solo para fornecer micronutrientes às plantas, podendo ser granulado ou moído); produtos biológicos (produtos desenvolvidos à base de microrganismos ou macroorganismos, utilizados para controlar pragas e doenças nocivas em plantas); e Condicionadores de Solo e Fertilizantes Organominerais (produtos utilizados para melhorar as propriedades físicas, físico-químicas e biológicas do solo, com o objetivo de aumentar a eficiência das plantas na absorção de nutrientes).</v>
    <v>BVMF</v>
    <v>4.32</v>
    <v>1158</v>
    <v>45884.958391203705</v>
    <v>673</v>
    <v>194780</v>
    <v>BRL</v>
    <v>VITTIA S.A.</v>
    <v>VITTIA S.A.</v>
    <v>4.32</v>
    <v>4.6500000000000004</v>
    <v>Av. MarginAvenida Marginal Esquerda, 1.000al Esquerda, 1.000, Distrito Industrial, Sao Joaquim da Barra, SAO PAULO, 14.600-000 BR</v>
    <v>Chemicals</v>
    <v>VITT3</v>
    <v>Ações</v>
    <v>VITTIA S.A. (BVMF:VITT3)</v>
    <v>0.33</v>
    <v>7.6388999999999999E-2</v>
    <v>255600</v>
  </rv>
  <rv s="2">
    <v>674</v>
  </rv>
  <rv s="0">
    <v>https://www.bing.com/financeapi/forcetrigger?t=apn7bh&amp;q=BVMF%3aPTBL3&amp;form=skydnc</v>
    <v>Learn more on Bing</v>
  </rv>
  <rv s="8">
    <v>pt-BR</v>
    <v>apn7bh</v>
    <v>268435456</v>
    <v>1</v>
    <v>Da plataforma Refinitiv</v>
    <v>14</v>
    <v>15</v>
    <v>PBG S/A (BVMF:PTBL3)</v>
    <v>12</v>
    <v>16</v>
    <v>Finance</v>
    <v>5</v>
    <v>5.55</v>
    <v>3.25</v>
    <v>BVMF</v>
    <v>140986900</v>
    <v>3.77</v>
    <v>1977</v>
    <v>3.65</v>
    <v>1.7664</v>
    <v>B3 - Brazil Stock Exchange</v>
    <v>531520613</v>
    <v>A PBG S/A, anteriormente denominada Portobello S.A., é uma empresa brasileira dedicada principalmente à produção e comercialização de produtos cerâmicos. O portfólio da Empresa inclui pisos, telhas de porcelana técnica e esmaltada, peças decorativas, mosaicos, produtos para o revestimento de paredes internas e fachadas externas, entre outros. Por meio de suas subsidiárias, a Empresa também está envolvida na administração de rede de lojas de franquia sob as marcas Portobello Shop e Empório Portobello, especializada em telhas cerâmicas. Adicionalmente, a Empresa atua na prestação de serviços complementares na área de materiais de construção. As subsidiárias da Empresa incluem a Portobello America Inc, a PBTech Comércio e Serviços de Revestimentos Cerâmicos Ltda., a Portobello Shop SA e a Mineração Portobello Ltda.</v>
    <v>BVMF</v>
    <v>3.7</v>
    <v>2448</v>
    <v>45884.958391203705</v>
    <v>676</v>
    <v>229850</v>
    <v>BRL</v>
    <v>PBG S/A</v>
    <v>PBG S/A</v>
    <v>3.71</v>
    <v>3.77</v>
    <v>Sc-401 4756, Saco Grande, FLORIANOPOLIS, SANTA CATARINA, 88.032-005 BR</v>
    <v>Homebuilding &amp; Construction Supplies</v>
    <v>PTBL3</v>
    <v>Ações</v>
    <v>PBG S/A (BVMF:PTBL3)</v>
    <v>7.0000000000000007E-2</v>
    <v>1.8918999999999998E-2</v>
    <v>84400</v>
  </rv>
  <rv s="2">
    <v>677</v>
  </rv>
  <rv s="0">
    <v>https://www.bing.com/financeapi/forcetrigger?t=c1c2vh&amp;q=BVMF%3aVVEO3&amp;form=skydnc</v>
    <v>Learn more on Bing</v>
  </rv>
  <rv s="8">
    <v>pt-BR</v>
    <v>c1c2vh</v>
    <v>268435456</v>
    <v>1</v>
    <v>Da plataforma Refinitiv</v>
    <v>14</v>
    <v>15</v>
    <v>CM Hospitalar S.A. (BVMF:VVEO3)</v>
    <v>12</v>
    <v>16</v>
    <v>Finance</v>
    <v>5</v>
    <v>2.94</v>
    <v>0.93</v>
    <v>BVMF</v>
    <v>322820600</v>
    <v>1</v>
    <v>2010</v>
    <v>0.93</v>
    <v>0.96079999999999999</v>
    <v>B3 - Brazil Stock Exchange</v>
    <v>300223158</v>
    <v>A CM Hospitalar SA, anteriormente conhecida como CM Hospitalar Ltda, é uma empresa pública brasileira que atua no comércio por grosso de medicamentos, medicamentos e suprimentos hospitalares. A empresa opera principalmente na exportação, importação, produção, representação, armazenamento, distribuição e expedição de medicamentos, incluindo o controlo especial e o comércio grossista em geral, atuando principalmente no comércio de produtos de saúde, como intermediário entre indústrias e hospitais, clínicas, lares e instituições de saúde no mercado privado e público, além de participar em outros investimentos. Atua em todo o Brasil com uma estrutura comercial e logística. O planejamento a médio e longo prazo da Companhia engloba a aquisição de empresas do segmento e um importante fortalecimento comercial em todo o Brasil, ampliando sua posição na distribuição de medicamentos e suprimentos hospitalares.</v>
    <v>BVMF</v>
    <v>0.98</v>
    <v>6000</v>
    <v>45884.958391203705</v>
    <v>679</v>
    <v>758820</v>
    <v>BRL</v>
    <v>CM Hospitalar S.A.</v>
    <v>CM Hospitalar S.A.</v>
    <v>1</v>
    <v>0.93</v>
    <v>Avenida Luiz Maggioni, n 2.727, Distrito Empresarial, RIBEIRAO PRETO, SAO PAULO, 14.072-055 BR</v>
    <v>Pharmaceuticals</v>
    <v>VVEO3</v>
    <v>Ações</v>
    <v>CM Hospitalar S.A. (BVMF:VVEO3)</v>
    <v>-0.05</v>
    <v>-5.1020000000000003E-2</v>
    <v>1121400</v>
  </rv>
  <rv s="2">
    <v>680</v>
  </rv>
  <rv s="0">
    <v>https://www.bing.com/financeapi/forcetrigger?t=bxi3ec&amp;q=BVMF%3aHBRE3&amp;form=skydnc</v>
    <v>Learn more on Bing</v>
  </rv>
  <rv s="9">
    <v>pt-BR</v>
    <v>bxi3ec</v>
    <v>268435456</v>
    <v>1</v>
    <v>Da plataforma Refinitiv</v>
    <v>17</v>
    <v>18</v>
    <v>HBR Realty Empreendimentos Imobiliários S.A. (BVMF:HBRE3)</v>
    <v>12</v>
    <v>19</v>
    <v>Finance</v>
    <v>5</v>
    <v>5.37</v>
    <v>2.5499999999999998</v>
    <v>BVMF</v>
    <v>103189000</v>
    <v>3.7</v>
    <v>2011</v>
    <v>3.61</v>
    <v>1.4379999999999999</v>
    <v>B3 - Brazil Stock Exchange</v>
    <v>381799300</v>
    <v>A HBR Realty Empreendimentos Imobiliarios SA é uma empresa sediada no Brasil que atua no desenvolvimento e administração de bens imóveis não residenciais localizados principalmente no estado de São Paulo. A Companhia atua por meio de quatro divisões de negócios: ComVem, voltada para unidades comerciais construídas em modelo autônomo ou localizadas no térreo de edifícios residenciais, por meio de parcerias com incorporadoras; HBR3A, dedicado a edifícios de escritórios de alto padrão; HBR Malls, que atua na aquisição e administração de shopping centers; e HBR Opportunities, que inclui outros ativos, como hotéis, estacionamento e self-storage, entre outros. Além disso, a Companhia presta serviços de consultoria para Real Estate Investment Trusts (REITs).</v>
    <v>BVMF</v>
    <v>3.63</v>
    <v>45884.958391203705</v>
    <v>682</v>
    <v>281660</v>
    <v>BRL</v>
    <v>HBR Realty Empreendimentos Imobiliários S.A.</v>
    <v>HBR Realty Empreendimentos Imobiliários S.A.</v>
    <v>3.68</v>
    <v>3.7</v>
    <v>Avenida Vereador Narciso Yague Guimaraes, 1.145, 2 andar, Jardim Armenia, Mogi Das Cruzes, SAO PAULO, 08.780-500 BR</v>
    <v>Real Estate Operations</v>
    <v>HBRE3</v>
    <v>Ações</v>
    <v>HBR Realty Empreendimentos Imobiliários S.A. (BVMF:HBRE3)</v>
    <v>7.0000000000000007E-2</v>
    <v>1.9283999999999999E-2</v>
    <v>87800</v>
  </rv>
  <rv s="2">
    <v>683</v>
  </rv>
  <rv s="0">
    <v>https://www.bing.com/financeapi/forcetrigger?t=apn9a2&amp;q=BVMF%3aRDNI3&amp;form=skydnc</v>
    <v>Learn more on Bing</v>
  </rv>
  <rv s="8">
    <v>pt-BR</v>
    <v>apn9a2</v>
    <v>268435456</v>
    <v>1</v>
    <v>Da plataforma Refinitiv</v>
    <v>14</v>
    <v>15</v>
    <v>RNI Negócios Imobiliários S.A. (BVMF:RDNI3)</v>
    <v>12</v>
    <v>16</v>
    <v>Finance</v>
    <v>5</v>
    <v>3.53</v>
    <v>2.02</v>
    <v>BVMF</v>
    <v>43769810</v>
    <v>2.14</v>
    <v>1991</v>
    <v>2.1</v>
    <v>0.66579999999999995</v>
    <v>B3 - Brazil Stock Exchange</v>
    <v>91916601</v>
    <v>RNI Negócios Imobiliários SA, anteriormente Rodobens Negócios Imobiliários SA, é uma empresa brasileira dedicada ao setor imobiliáiro A Companhia atua na compra e venda de imóveis; subdivisão de terrenos; desenvolvimento e construção de imóveis; prestação de serviços a terceiros e administração de carteira de recebíveis hipotecários próprios ou de terceiros. A Companhia possui várias subsidiárias, incluindo Moradas Rodobens Real Estate Company - Lages III - SPE Ltda, Rodobens Incorporadora Imobiliária 318 - SPE Ltda, Rodobens Moradas Incorporadora Imobiliária - Pacatuba I - SPE Ltda, Sistema Fácil Campinas I SPE Ltda, Sistema Fácil Tambore 8 Villaggio SPE Ltda e Terra Nova Residência XVIII - SPE Ltda.</v>
    <v>BVMF</v>
    <v>2.11</v>
    <v>296</v>
    <v>45884.958333333336</v>
    <v>685</v>
    <v>2140</v>
    <v>BRL</v>
    <v>RNI Negócios Imobiliários S.A.</v>
    <v>RNI Negócios Imobiliários S.A.</v>
    <v>2.13</v>
    <v>2.1</v>
    <v>Av. Francisco das Chagas de Oliveira, 2.500, SAO JOSE DO RIO PRETO, SAO PAULO, 15.085-485 BR</v>
    <v>Real Estate Operations</v>
    <v>RDNI3</v>
    <v>Ações</v>
    <v>RNI Negócios Imobiliários S.A. (BVMF:RDNI3)</v>
    <v>-0.01</v>
    <v>-4.7390000000000002E-3</v>
    <v>3000</v>
  </rv>
  <rv s="2">
    <v>686</v>
  </rv>
  <rv s="0">
    <v>https://www.bing.com/financeapi/forcetrigger?t=aywh77&amp;q=BVMF%3aPCAR3&amp;form=skydnc</v>
    <v>Learn more on Bing</v>
  </rv>
  <rv s="8">
    <v>pt-BR</v>
    <v>aywh77</v>
    <v>268435456</v>
    <v>1</v>
    <v>Da plataforma Refinitiv</v>
    <v>14</v>
    <v>15</v>
    <v>Companhia Brasileira de Distribuição S.A. (BVMF:PCAR3)</v>
    <v>12</v>
    <v>16</v>
    <v>Finance</v>
    <v>5</v>
    <v>4.95</v>
    <v>2.1800000000000002</v>
    <v>BVMF</v>
    <v>490392000</v>
    <v>2.87</v>
    <v>1981</v>
    <v>2.61</v>
    <v>1.9482999999999999</v>
    <v>B3 - Brazil Stock Exchange</v>
    <v>1397617200</v>
    <v>A Companhia Brasileira de Distribuicao SA é uma empresa brasileira de e-commerce de alimentos. As atividades da Companhia são realizadas através de um segmento operacional - varejo. A gama de produtos alimentares inclui alimentos não perecíveis, bebidas, frutas, legumes, carnes em geral, pães, frios, laticínios, produtos de limpeza, produtos descartáveis, bem como produtos de higiene pessoal. A Companhia também comercializa, em menor grau, produtos não alimentares, incluindo roupas, utensílios domésticos e eletrônicos. A Companhia Brasileira de Distribuicao reúne marcas como Compre Bem, Extra e Pao de Acucar, além das marcas de marca própria Qualita, Taeq, Club des Sommeliers. A Companhia opera mais de 800 lojas físicas.</v>
    <v>BVMF</v>
    <v>2.67</v>
    <v>110000</v>
    <v>45884.958356481482</v>
    <v>688</v>
    <v>13009160</v>
    <v>BRL</v>
    <v>Companhia Brasileira de Distribuição S.A.</v>
    <v>Companhia Brasileira de Distribuição S.A.</v>
    <v>2.67</v>
    <v>2.85</v>
    <v>Avenida Brigadeiro Luis Antonio, 3142, Jardim Paulista, SAO PAULO, SAO PAULO, 01.402-901 BR</v>
    <v>Food &amp; Drug Retailing</v>
    <v>PCAR3</v>
    <v>Ações</v>
    <v>Companhia Brasileira de Distribuição S.A. (BVMF:PCAR3)</v>
    <v>0.18</v>
    <v>6.7416000000000004E-2</v>
    <v>20299200</v>
  </rv>
  <rv s="2">
    <v>689</v>
  </rv>
  <rv s="0">
    <v>https://www.bing.com/financeapi/forcetrigger?t=bwihur&amp;q=BVMF%3aCASH3&amp;form=skydnc</v>
    <v>Learn more on Bing</v>
  </rv>
  <rv s="8">
    <v>pt-BR</v>
    <v>bwihur</v>
    <v>268435456</v>
    <v>1</v>
    <v>Da plataforma Refinitiv</v>
    <v>14</v>
    <v>15</v>
    <v>MÉLIUZ S.A. (BVMF:CASH3)</v>
    <v>12</v>
    <v>16</v>
    <v>Finance</v>
    <v>5</v>
    <v>10.34</v>
    <v>2.4</v>
    <v>BVMF</v>
    <v>112784600</v>
    <v>5.75</v>
    <v>2011</v>
    <v>5.38</v>
    <v>1.9231</v>
    <v>B3 - Brazil Stock Exchange</v>
    <v>611292532</v>
    <v>A Meliuz SA é uma provedora de serviços Iinternet sediada no Brasil. Por meio da plataforma digital, a empresa oferece cupons de desconto gratuitos de mais de 800 parceiros, incluindo lojas online brasileiras, bem como empresas envolvidas em turismo, lazer, educação, transporte, seguros, viagens, turismo, viagens, viagens, viagens, viagens, viagens, viagens, etc. gastronomia e outros serviços. A Meliuz também presta serviços financeiros, como cartões de crédito, emitidos em parceria com a BancoPan SA, e programas de reembolso, devolvendo parte de um valor gasto em compras diretamente nas contas bancárias dos consumidores. A plataforma da Empresa consiste em um portal/site, um aplicativo móvel e um plugin de extensão para navegadores Chrome e Firefox.</v>
    <v>BVMF</v>
    <v>5.6</v>
    <v>470</v>
    <v>45884.958333333336</v>
    <v>691</v>
    <v>2722580</v>
    <v>BRL</v>
    <v>MÉLIUZ S.A.</v>
    <v>MÉLIUZ S.A.</v>
    <v>5.75</v>
    <v>5.42</v>
    <v>Rua Jose Versolato, n 111-B Sala 3014, Bairro Carmo, Belo Horizonte, MINAS GERAIS, 30.310-030 BR</v>
    <v>Software &amp; IT Services</v>
    <v>CASH3</v>
    <v>Ações</v>
    <v>MÉLIUZ S.A. (BVMF:CASH3)</v>
    <v>-0.18</v>
    <v>-3.2143000000000005E-2</v>
    <v>2507200</v>
  </rv>
  <rv s="2">
    <v>692</v>
  </rv>
  <rv s="0">
    <v>https://www.bing.com/financeapi/forcetrigger?t=apmkcw&amp;q=BVMF%3aFHER3&amp;form=skydnc</v>
    <v>Learn more on Bing</v>
  </rv>
  <rv s="8">
    <v>pt-BR</v>
    <v>apmkcw</v>
    <v>268435456</v>
    <v>1</v>
    <v>Da plataforma Refinitiv</v>
    <v>14</v>
    <v>15</v>
    <v>FERTILIZANTES HERINGER S.A. (BVMF:FHER3)</v>
    <v>12</v>
    <v>16</v>
    <v>Finance</v>
    <v>5</v>
    <v>10.5</v>
    <v>3.03</v>
    <v>BVMF</v>
    <v>53857280</v>
    <v>4.0599999999999996</v>
    <v>1968</v>
    <v>3.98</v>
    <v>0.4909</v>
    <v>B3 - Brazil Stock Exchange</v>
    <v>218660556</v>
    <v>A Fertilizantes Heringer S.A. é uma empresa estabelecida no Brasil, que se dedica principalmente à produção, ao marketing e à distribuição de fertilizantes sob a marca Heringer. A empresa estrutura seus negócios em dois segmentos: industrial, que consiste na fábrica de ácido sulfúrico e superfosfato simples, e segmento de misturas, que inclui unidades de produção de misturas de fertilizantes. Em 31 de dezembro de 2011, a empresa operava 19 unidades de produção de mistura de fertilizantes. Os produtos da empresa são usados no setor de produção de safra, inclusive na agricultura de cana, soja, milho e café, dentre outros. Por meio de sua subsidiária Logfert Transportes S.A., a empresa também dedica-se a operações de transporte rodoviário. Em 4 de janeiro de 2012, ela adquiriu a Maxifertil Fertilizantes Ltda., localizada no município de Porto Alegre. Em 29 de junho de 2012, a empresa concluiu uma operação de fusão ao incorporar sua subsidiária Maxifertil Fertilizantes Ltda.</v>
    <v>BVMF</v>
    <v>4.0999999999999996</v>
    <v>1466</v>
    <v>45884.958391203705</v>
    <v>694</v>
    <v>9400</v>
    <v>BRL</v>
    <v>FERTILIZANTES HERINGER S.A.</v>
    <v>FERTILIZANTES HERINGER S.A.</v>
    <v>3.98</v>
    <v>4.0599999999999996</v>
    <v>Avenida Irene Karcher, 620, n/a, Betel, PAULINIA, SAO PAULO, 13.148-906 BR</v>
    <v>Chemicals</v>
    <v>FHER3</v>
    <v>Ações</v>
    <v>FERTILIZANTES HERINGER S.A. (BVMF:FHER3)</v>
    <v>-0.04</v>
    <v>-9.7560000000000008E-3</v>
    <v>2100</v>
  </rv>
  <rv s="2">
    <v>695</v>
  </rv>
  <rv s="0">
    <v>https://www.bing.com/financeapi/forcetrigger?t=apmngh&amp;q=BVMF%3aGFSA3&amp;form=skydnc</v>
    <v>Learn more on Bing</v>
  </rv>
  <rv s="8">
    <v>pt-BR</v>
    <v>apmngh</v>
    <v>268435456</v>
    <v>1</v>
    <v>Da plataforma Refinitiv</v>
    <v>14</v>
    <v>15</v>
    <v>Gafisa S.A. (BVMF:GFSA3)</v>
    <v>12</v>
    <v>16</v>
    <v>Finance</v>
    <v>5</v>
    <v>61.8</v>
    <v>13.8</v>
    <v>BVMF</v>
    <v>11160570</v>
    <v>14.69</v>
    <v>1996</v>
    <v>13.8</v>
    <v>1.9341999999999999</v>
    <v>B3 - Brazil Stock Exchange</v>
    <v>154015866</v>
    <v>A Gafisa S.A. é uma construtora nacional diversificada. Os segmentos da empresa são Gafisa (para empreendimentos voltados para alta e média renda) e Tenda (para empreendimentos voltados para baixa renda). As marcas da empresa incluem a Tenda, que atende os segmentos de habitação a preços acessíveis, a Gafisa, que oferece uma variedade de opções residenciais para os segmentos de alta e média renda, e a Alphaville (investimento em equivalência patrimonial), que se concentra na identificação, desenvolvimento e venda de comunidades residenciais. Além disso, presta serviços de construção para terceiros em alguns desenvolvimentos no segmento Gafisa, no qual mantém uma participação acionária. Suas atividades no setor imobiliário incluem desenvolvimentos para venda de unidades residenciais, subdivisões de terra e edifícios comerciais, serviços de construção e venda de unidades por meio de suas subsidiárias de corretagem, a Gafisa Vendas Intermediação Imobiliária Ltda. e a Gafisa Vendas no Rio de Janeiro, conjuntamente referidas como Gafisa Vendas.</v>
    <v>BVMF</v>
    <v>14.41</v>
    <v>295</v>
    <v>45884.958391203705</v>
    <v>697</v>
    <v>327010</v>
    <v>BRL</v>
    <v>Gafisa S.A.</v>
    <v>Gafisa S.A.</v>
    <v>14.61</v>
    <v>13.8</v>
    <v>Av. Pres. Juscelino Kubitschek, 1830, conjunto comercial 32, 3 andar, Bloco 2, Itaim Bibi, SAO PAULO, SAO PAULO, 04.543-900 BR</v>
    <v>Real Estate Operations</v>
    <v>GFSA3</v>
    <v>Ações</v>
    <v>Gafisa S.A. (BVMF:GFSA3)</v>
    <v>-0.61</v>
    <v>-4.2332000000000002E-2</v>
    <v>266400</v>
  </rv>
  <rv s="2">
    <v>698</v>
  </rv>
  <rv s="0">
    <v>https://www.bing.com/financeapi/forcetrigger?t=apmr52&amp;q=BVMF%3aHYPE3&amp;form=skydnc</v>
    <v>Learn more on Bing</v>
  </rv>
  <rv s="8">
    <v>pt-BR</v>
    <v>apmr52</v>
    <v>268435456</v>
    <v>1</v>
    <v>Da plataforma Refinitiv</v>
    <v>14</v>
    <v>15</v>
    <v>Hypera S.A. (BVMF:HYPE3)</v>
    <v>12</v>
    <v>16</v>
    <v>Finance</v>
    <v>5</v>
    <v>30.81</v>
    <v>15.94</v>
    <v>BVMF</v>
    <v>633420800</v>
    <v>23.1</v>
    <v>2001</v>
    <v>22.56</v>
    <v>1.0911</v>
    <v>B3 - Brazil Stock Exchange</v>
    <v>14454662656</v>
    <v>A Hypera SA, anteriormente Hypermarcas SA, é uma empresa sediada no Brasil que atua no setor farmacêutico. As principais unidades de negócio da Companhia incluem Prescrição de Marca, Saúde do Consumidor e Genéricos de Marca. A prescrição de marca está presente nas principais classes terapêuticas no Brasil e atua no segmento de Cuidados Primários sob a marca Mantecorp Farmasa. A unidade de prescrição de marca também atua como Mantecorp Skincare em dermocosméticos, com produtos recomendados por dermatologistas. A saúde do consumidor oferece medicamentos não-prescritos, com marcas como Apracur, Benegrip, Coristina d, Engov, epocler e Estomazil, entre outros. A unidade de Saúde do Consumidor também atua em suplementos nutricionais e vitamínicos, com marcas como Tamarine, Vitasay, Biotonico Fontoura e Zero-Cal.A Genéricos de Marca opera sob a marca Neo Quimica.</v>
    <v>BVMF</v>
    <v>23</v>
    <v>9000</v>
    <v>45884.958356481482</v>
    <v>700</v>
    <v>4142220</v>
    <v>BRL</v>
    <v>Hypera S.A.</v>
    <v>Hypera S.A.</v>
    <v>22.94</v>
    <v>22.82</v>
    <v>Rua Nova Cidade, 404, Vila Olimpia, SAO PAULO, SAO PAULO, 04.547-070 BR</v>
    <v>Pharmaceuticals</v>
    <v>HYPE3</v>
    <v>Ações</v>
    <v>Hypera S.A. (BVMF:HYPE3)</v>
    <v>-0.18</v>
    <v>-7.8259999999999996E-3</v>
    <v>1293100</v>
  </rv>
  <rv s="2">
    <v>701</v>
  </rv>
  <rv s="0">
    <v>https://www.bing.com/financeapi/forcetrigger?t=bwh3vh&amp;q=BVMF%3aENJU3&amp;form=skydnc</v>
    <v>Learn more on Bing</v>
  </rv>
  <rv s="8">
    <v>pt-BR</v>
    <v>bwh3vh</v>
    <v>268435456</v>
    <v>1</v>
    <v>Da plataforma Refinitiv</v>
    <v>14</v>
    <v>15</v>
    <v>ENJOEI S.A. (BVMF:ENJU3)</v>
    <v>12</v>
    <v>16</v>
    <v>Finance</v>
    <v>5</v>
    <v>1.87</v>
    <v>0.91</v>
    <v>BVMF</v>
    <v>205018000</v>
    <v>1</v>
    <v>2012</v>
    <v>0.98</v>
    <v>1.7871999999999999</v>
    <v>B3 - Brazil Stock Exchange</v>
    <v>202967820</v>
    <v>A Enjoei SA, anteriormente conhecida como Enjoei.com.br Atividades de Internet SA, é uma empresa sediada no Brasil que atua na área de serviços de e-commerce. A empresa atua como operador de mercado online, através da plataforma digital enjoei.com.br. A Empresa permite que os usuários vendam e comprem bens usados, tais como vestuário, sapatos, acessórios, móveis, etc. aparelhos de cozinha, telefones, fones de ouvido, jogos e computadores, entre outros. Os clientes criam uma conta, fazem upload de fotos de produtos para venda, categorizam-os e fornecem descrição, preço e outras informações necessárias. A plataforma oferece soluções de entrega e pagamento e funcionalidades adicionais como capacidade de conversar e negociar o preço com o vendedor. Além disso, os usuários podem navegar pelo conteúdo por filtros, como preço, marca, cor, frete e condição do produto.</v>
    <v>BVMF</v>
    <v>0.98</v>
    <v>76</v>
    <v>45884.958391203705</v>
    <v>703</v>
    <v>933230</v>
    <v>BRL</v>
    <v>ENJOEI S.A.</v>
    <v>ENJOEI S.A.</v>
    <v>1</v>
    <v>0.99</v>
    <v>Av. Presidente Juscelino Kubitschek, 1830 12 Andar, Torre 4, Vila Nova Conceicao, Sao Paulo, SAO PAULO, 04.543-900 BR</v>
    <v>Software &amp; IT Services</v>
    <v>ENJU3</v>
    <v>Ações</v>
    <v>ENJOEI S.A. (BVMF:ENJU3)</v>
    <v>0.01</v>
    <v>1.0204E-2</v>
    <v>534700</v>
  </rv>
  <rv s="2">
    <v>704</v>
  </rv>
  <rv s="0">
    <v>https://www.bing.com/financeapi/forcetrigger?t=c2yvmw&amp;q=BVMF%3aRAIZ4&amp;form=skydnc</v>
    <v>Learn more on Bing</v>
  </rv>
  <rv s="8">
    <v>pt-BR</v>
    <v>c2yvmw</v>
    <v>268435456</v>
    <v>1</v>
    <v>Da plataforma Refinitiv</v>
    <v>14</v>
    <v>15</v>
    <v>Raízen S.A. (BVMF:RAIZ4)</v>
    <v>12</v>
    <v>16</v>
    <v>Finance</v>
    <v>5</v>
    <v>3.35</v>
    <v>1.02</v>
    <v>BVMF</v>
    <v>1358937000</v>
    <v>1.08</v>
    <v>1961</v>
    <v>1.02</v>
    <v>1.1349</v>
    <v>B3 - Brazil Stock Exchange</v>
    <v>1413294480</v>
    <v>A Raízen SA, anteriormente conhecida como Raízen Combustiveis SA, é uma empresa com sede no Brasil que atua no setor de energia. As atividades da Empresa são divididas em quatro linhas de negócios: Renováveis, Marketing e Serviços, Proximidade e Açúcar. A divisão Renewables atua na produção de etanol, etanol de segunda geração, bioeletricidade, biogás e bioprodutos. A divisão de Marketing e Serviços está focada na distribuição e venda de combustíveis para postos de gasolina da Shell, aeroportos e outros clientes Business-to-Business (B2B). A divisão Proximity está envolvida na operação de lojas de conveniência sob as marcas OXXO e Shell Select. A divisão Açúcar consiste na produção de açúcar, como cristalino, líquido, refinado, orgânico e Polarização Muito Alta (VHP), entre outros. A empresa atua no Brasil e na Argentina.</v>
    <v>BVMF</v>
    <v>1.05</v>
    <v>45417</v>
    <v>45884.958356481482</v>
    <v>706</v>
    <v>30797760</v>
    <v>BRL</v>
    <v>Raízen S.A.</v>
    <v>Raízen S.A.</v>
    <v>1.05</v>
    <v>1.04</v>
    <v>Avenida Afonso Arinos de Melo Franco, 222. Sala 321, Barra da Tijuca, RIO DE JANEIRO, RIO DE JANEIRO, 22.631-455 BR</v>
    <v>Oil &amp; Gas</v>
    <v>RAIZ4</v>
    <v>Ações</v>
    <v>Raízen S.A. (BVMF:RAIZ4)</v>
    <v>-0.01</v>
    <v>-9.5239999999999995E-3</v>
    <v>36509100</v>
  </rv>
  <rv s="2">
    <v>707</v>
  </rv>
  <rv s="0">
    <v>https://www.bing.com/financeapi/forcetrigger?t=aplygh&amp;q=BVMF%3aBBAS3&amp;form=skydnc</v>
    <v>Learn more on Bing</v>
  </rv>
  <rv s="8">
    <v>pt-BR</v>
    <v>aplygh</v>
    <v>268435456</v>
    <v>1</v>
    <v>Da plataforma Refinitiv</v>
    <v>14</v>
    <v>15</v>
    <v>Banco do Brasil S.A. (BVMF:BBAS3)</v>
    <v>12</v>
    <v>16</v>
    <v>Finance</v>
    <v>5</v>
    <v>29.49</v>
    <v>18.12</v>
    <v>BVMF</v>
    <v>5730834000</v>
    <v>20.8</v>
    <v>1808</v>
    <v>19.02</v>
    <v>0.99360000000000004</v>
    <v>B3 - Brazil Stock Exchange</v>
    <v>113757100000</v>
    <v>O BANCO DO BRASIL S.A. é uma empresa brasileira dedicada sobretudo ao setor financeiro. As atividades da Empresa estão divididas em cinco segmentos: bancário, investimentos, gestão de ativos, segurança e tipos de pagamento. O Banco também participa de outras atividades econômicas, como leasing e suporte operacional. O Banco tem clientes individuais e corporativos. Oferece uma variedade de produtos e serviços financeiros, como depósitos, contas poupança, gestão de ativos, empréstimos, e seguros de saúde, de vida e patrimonial. Além disso, oferece transações financeiras em várias formas, incluindo operações cambiais e atividades complementares, com ênfase na previdência privada, capitalização, valores mobiliários, corretagem, administração de cartões de crédito e de débito, consórcios, fundos de investimento e portfólios de gestão. O BANCO DO BRASIL S.A. atua nos mercados nacional e internacional.</v>
    <v>BVMF</v>
    <v>19.850000000000001</v>
    <v>85953</v>
    <v>45884.958333333336</v>
    <v>709</v>
    <v>43760750</v>
    <v>BRL</v>
    <v>Banco do Brasil S.A.</v>
    <v>Banco do Brasil S.A.</v>
    <v>19.03</v>
    <v>20.65</v>
    <v>Saun Quadra 05, Lote B Ed. BB, Asa Norte, BRASILIA, DISTRITO FEDERAL, 70.040-912 BR</v>
    <v>Banking Services</v>
    <v>BBAS3</v>
    <v>Ações</v>
    <v>Banco do Brasil S.A. (BVMF:BBAS3)</v>
    <v>0.8</v>
    <v>4.0301999999999998E-2</v>
    <v>131325700</v>
  </rv>
  <rv s="2">
    <v>710</v>
  </rv>
  <rv s="0">
    <v>https://www.bing.com/financeapi/forcetrigger?t=apm5tc&amp;q=BVMF%3aEPAR3&amp;form=skydnc</v>
    <v>Learn more on Bing</v>
  </rv>
  <rv s="9">
    <v>pt-BR</v>
    <v>apm5tc</v>
    <v>268435456</v>
    <v>1</v>
    <v>Da plataforma Refinitiv</v>
    <v>17</v>
    <v>18</v>
    <v>EMBPAR PARTICIPAÇÕES S/A (BVMF:EPAR3)</v>
    <v>12</v>
    <v>19</v>
    <v>Finance</v>
    <v>5</v>
    <v>5.3</v>
    <v>3.51</v>
    <v>BVMF</v>
    <v>14860570</v>
    <v>4.45</v>
    <v>1974</v>
    <v>4.3600000000000003</v>
    <v>0.46839999999999998</v>
    <v>B3 - Brazil Stock Exchange</v>
    <v>65237902</v>
    <v>A Embpar Participações SA, anteriormente conhecida como Battistella Administracao e Participações SA, é uma holding sediada no Brasil que atua principalmente no comércio de veículos pesados. A Companhia divide seus negócios em duas áreas: Veículos Pesados e Silvicultura. No segmento de Veículos Pesados, a empresa atua através da subsidiária Cotrasa Veiculos e Servicos Ltda, que atua na revenda de veículos pesados e acessórios da marca Scania, bem como na prestação de assistência técnica, atendendo clientes no Estado do Paraná. No segmento Florestal, a Companhia está envolvida no comércio de madeira, florestamento e reflorestamento, bem como na fabricação e comercialização de produtos de madeira, como madeira serrada, serragem e cavacos. A madeira e seus derivados são oferecidos aos mercados interno e externo.</v>
    <v>BVMF</v>
    <v>4.45</v>
    <v>45884.958333333336</v>
    <v>712</v>
    <v>15050</v>
    <v>BRL</v>
    <v>EMBPAR PARTICIPAÇÕES S/A</v>
    <v>EMBPAR PARTICIPAÇÕES S/A</v>
    <v>4.3899999999999997</v>
    <v>4.3899999999999997</v>
    <v>Alameda Bom Pastor, 3700,Lote A, Sala 06, Barro Preto, SAO JOSE DOS PINHAIS, PARANA, 83.015-140 BR</v>
    <v>Automobiles &amp; Auto Parts</v>
    <v>EPAR3</v>
    <v>Ações</v>
    <v>EMBPAR PARTICIPAÇÕES S/A (BVMF:EPAR3)</v>
    <v>-0.06</v>
    <v>-1.3483E-2</v>
    <v>1500</v>
  </rv>
  <rv s="2">
    <v>713</v>
  </rv>
  <rv s="0">
    <v>https://www.bing.com/financeapi/forcetrigger?t=apm7dm&amp;q=BVMF%3aSYNE3&amp;form=skydnc</v>
    <v>Learn more on Bing</v>
  </rv>
  <rv s="9">
    <v>pt-BR</v>
    <v>apm7dm</v>
    <v>268435456</v>
    <v>1</v>
    <v>Da plataforma Refinitiv</v>
    <v>17</v>
    <v>18</v>
    <v>SYN prop e tech S.A. (BVMF:SYNE3)</v>
    <v>12</v>
    <v>19</v>
    <v>Finance</v>
    <v>5</v>
    <v>7.2</v>
    <v>3.59</v>
    <v>BVMF</v>
    <v>152644400</v>
    <v>7.08</v>
    <v>2007</v>
    <v>6.75</v>
    <v>0.78949999999999998</v>
    <v>B3 - Brazil Stock Exchange</v>
    <v>1063932000</v>
    <v>A SYN PROP e Tech SA, anteriormente conhecida como Cyrela Commercial Properties SA Empreendimentos e Participações, é uma empresa brasileira envolvida no setor imobiliário. A Companhia se concentra no desenvolvimento, comércio e gestão de propriedades comerciais no Brasil. Suas atividades são divididas em cinco segmentos de negócio: Edifícios comerciais, que consiste na venda e locação de imóveis de escritórios completos; Desenvolvimento Imobiliário, que está envolvido na venda de unidades de escritórios em construção; Armazéns, que oferece locação de armazéns industriais; Shopping centers, que é responsável pelo arrendamento de lojas em shopping centers; e Serviços, que fornece gerenciamento de shoppings e estacionamentos, bem como desenvolvimento de imóveis. A Companhia possui uma série de subsidiárias, como Aquarius Empreendimentos e Participações Ltda, Millennium de Investimentos Imobiliarios Ltda e Miconia Empreendimentos Imobiliarios Ltda, entre outras.</v>
    <v>BVMF</v>
    <v>6.97</v>
    <v>45884.958391203705</v>
    <v>715</v>
    <v>485460</v>
    <v>BRL</v>
    <v>SYN prop e tech S.A.</v>
    <v>SYN prop e tech S.A.</v>
    <v>6.97</v>
    <v>6.97</v>
    <v>Avenida Brigadeiro Faria Lima, 3.600 Conj. 141 e 142, Itaim Bibi, SAO PAULO, SAO PAULO, 04.538-132 BR</v>
    <v>Real Estate Operations</v>
    <v>SYNE3</v>
    <v>Ações</v>
    <v>SYN prop e tech S.A. (BVMF:SYNE3)</v>
    <v>0</v>
    <v>0</v>
    <v>618700</v>
  </rv>
  <rv s="2">
    <v>716</v>
  </rv>
  <rv s="0">
    <v>https://www.bing.com/financeapi/forcetrigger?t=apmz27&amp;q=BVMF%3aMRVE3&amp;form=skydnc</v>
    <v>Learn more on Bing</v>
  </rv>
  <rv s="8">
    <v>pt-BR</v>
    <v>apmz27</v>
    <v>268435456</v>
    <v>1</v>
    <v>Da plataforma Refinitiv</v>
    <v>14</v>
    <v>15</v>
    <v>MRV ENGENHARIA E PARTICIPACOES S.A. (BVMF:MRVE3)</v>
    <v>12</v>
    <v>16</v>
    <v>Finance</v>
    <v>5</v>
    <v>8.2200000000000006</v>
    <v>4.43</v>
    <v>BVMF</v>
    <v>562826700</v>
    <v>7.3</v>
    <v>2006</v>
    <v>7.11</v>
    <v>1.6787000000000001</v>
    <v>B3 - Brazil Stock Exchange</v>
    <v>4029839172</v>
    <v>A MRV Engenharia e Participações S/A é uma empresa estabelecida no Brasil, que atua no desenvolvimento do setor imobiliário. As atividades da empresa dividem-se em três segmentos de negócios: empreendimentos imobiliários (residenciais), operando em desenvolvimento, construção e venda de imóveis próprios e de terceiros; imóveis de investimentos (LOG), voltado para construção e aluguel, sob arrendamentos operacionais, de armazéns industriais, shopping e strip malls (pequenos centros comerciais), bem como loteamento e venda terrenos industriais, além de loteamentos urbanos (Urbamais), responsável pelo desenvolvimento e pela venda de loteamentos de terrenos urbanos residenciais e comerciais. O desenvolvimento de projetos e as obras da empresa são realizados diretamente pela própria ou por meio de suas parcerias e entidades com finalidade especial. Suas subsidiárias incluem a MDI Desenvolvimento Imobiliário Ltda., MRV Construções Ltda. e Urbamais Propriedades e Participações S.A., dentre outras.</v>
    <v>BVMF</v>
    <v>7.17</v>
    <v>30000</v>
    <v>45884.958333333336</v>
    <v>718</v>
    <v>12354430</v>
    <v>BRL</v>
    <v>MRV ENGENHARIA E PARTICIPACOES S.A.</v>
    <v>MRV ENGENHARIA E PARTICIPACOES S.A.</v>
    <v>7.2</v>
    <v>7.16</v>
    <v>Avenida Professor Mario Werneck,621, Estoril, BELO HORIZONTE, MINAS GERAIS, 30.455-610 BR</v>
    <v>Real Estate Operations</v>
    <v>MRVE3</v>
    <v>Ações</v>
    <v>MRV ENGENHARIA E PARTICIPACOES S.A. (BVMF:MRVE3)</v>
    <v>-0.01</v>
    <v>-1.3950000000000002E-3</v>
    <v>10925200</v>
  </rv>
  <rv s="2">
    <v>719</v>
  </rv>
  <rv s="0">
    <v>https://www.bing.com/financeapi/forcetrigger?t=apmypr&amp;q=BVMF%3aMOVI3&amp;form=skydnc</v>
    <v>Learn more on Bing</v>
  </rv>
  <rv s="8">
    <v>pt-BR</v>
    <v>apmypr</v>
    <v>268435456</v>
    <v>1</v>
    <v>Da plataforma Refinitiv</v>
    <v>14</v>
    <v>15</v>
    <v>Movida Participações S.A. (BVMF:MOVI3)</v>
    <v>12</v>
    <v>16</v>
    <v>Finance</v>
    <v>5</v>
    <v>8.92</v>
    <v>3.29</v>
    <v>BVMF</v>
    <v>347931500</v>
    <v>7.62</v>
    <v>2014</v>
    <v>7.21</v>
    <v>1.5270999999999999</v>
    <v>B3 - Brazil Stock Exchange</v>
    <v>2519024060</v>
    <v>A Movida Participações S.A. é uma empresa com sede no Brasil que se dedica principalmente ao aluguer de automóveis de passageiros. A Companhia, por meio de suas subsidiárias Movida Locação de Veiculos Ltda e Movida Gestao de Frotas SA, fornece carros dentro de contratos de curto e longo prazos, além de terceirização de frotas para clientes comerciais. Os carros da empresa estão equipados com Sistema de Posicionamento Global (GPS), leitor de música e Internet sem fio, bem como com outras instalações sob demanda, como o assento do bebê. Suas marcas de automóveis incluem Volkswagen, Fiat, Ford, Hyundai, Renault, Jeep, Chevrolet e Mercedes, entre outras. Além disso, a Companhia vende carros usados. A Companhia opera escritórios em várias cidades e perto de aeroportos no Brasil.</v>
    <v>BVMF</v>
    <v>7.48</v>
    <v>6831</v>
    <v>45884.958333333336</v>
    <v>721</v>
    <v>6569100</v>
    <v>BRL</v>
    <v>Movida Participações S.A.</v>
    <v>Movida Participações S.A.</v>
    <v>7.46</v>
    <v>7.24</v>
    <v>Rua Doutor Renato Paes de Barros, 1017, Conjunto 91, Itaim Bibi, SAO PAULO, SAO PAULO, 04.530-001 BR</v>
    <v>Passenger Transportation Services</v>
    <v>MOVI3</v>
    <v>Ações</v>
    <v>Movida Participações S.A. (BVMF:MOVI3)</v>
    <v>-0.24</v>
    <v>-3.2086000000000003E-2</v>
    <v>5034000</v>
  </rv>
  <rv s="2">
    <v>722</v>
  </rv>
  <rv s="0">
    <v>https://www.bing.com/financeapi/forcetrigger?t=aplxmw&amp;q=BVMF%3aAZEV4&amp;form=skydnc</v>
    <v>Learn more on Bing</v>
  </rv>
  <rv s="9">
    <v>pt-BR</v>
    <v>aplxmw</v>
    <v>268435456</v>
    <v>1</v>
    <v>Da plataforma Refinitiv</v>
    <v>17</v>
    <v>18</v>
    <v>AZEVEDO &amp; TRAVASSOS S.A. (BVMF:AZEV4)</v>
    <v>12</v>
    <v>19</v>
    <v>Finance</v>
    <v>5</v>
    <v>1.82</v>
    <v>0.52</v>
    <v>BVMF</v>
    <v>592753700</v>
    <v>0.67</v>
    <v>1922</v>
    <v>0.57999999999999996</v>
    <v>1.0687</v>
    <v>B3 - Brazil Stock Exchange</v>
    <v>363467700</v>
    <v>A Azevedo &amp; Travassos SA é uma empresa brasileira que atua principalmente no setor de construção civil. A Companhia estrutura seus negócios em quatro áreas: construção pesada e civil; montagem eletromecânica; perfuração e completação de poços e incorporação imobiliária. No setor de construção civil e pesada, a Companhia atua na construção de rodovias, ferrovias, avenidas, barragens, aeroportos, pontes, viadutos, metrôs, túneis, prédios industriais e hospitais, entre outros. Na área de montagem eletromecânica, atua principalmente na construção e montagem de gasodutos, óleo e polpa, bem como na recuperação e manutenção de instalações para transporte de óleo e gás. No segmento de perfuração e completação de poços, atua principalmente na perfuração, completação e workover de poços de petróleo, gás, mineração e água. Na área de incorporação imobiliária, a Companhia atua na construção de moradias residenciais.</v>
    <v>BVMF</v>
    <v>0.62</v>
    <v>45884.958333333336</v>
    <v>724</v>
    <v>1519960</v>
    <v>BRL</v>
    <v>AZEVEDO &amp; TRAVASSOS S.A.</v>
    <v>AZEVEDO &amp; TRAVASSOS S.A.</v>
    <v>0.66</v>
    <v>0.57999999999999996</v>
    <v>Rua Vicente Antonio de Oliveira 1050, Pirituba, SAO PAULO, SAO PAULO, 02.955-080 BR</v>
    <v>Construction &amp; Engineering</v>
    <v>AZEV4</v>
    <v>Ações</v>
    <v>AZEVEDO &amp; TRAVASSOS S.A. (BVMF:AZEV4)</v>
    <v>-0.04</v>
    <v>-6.4516000000000004E-2</v>
    <v>3170200</v>
  </rv>
  <rv s="2">
    <v>725</v>
  </rv>
  <rv s="0">
    <v>http://fr.wikipedia.org/wiki/Companhia_Siderúrgica_Nacional</v>
    <v>Wikipedia</v>
  </rv>
  <rv s="10">
    <v>358</v>
    <v>727</v>
  </rv>
  <rv s="11">
    <v>25</v>
    <v>https://www.bing.com/th?id=AMMS_e8b96267310f0adc32724679940e7adf&amp;qlt=95</v>
    <v>728</v>
    <v>0</v>
    <v>https://www.bing.com/images/search?form=xlimg&amp;q=companhia+sider%c3%bargica+nacional</v>
    <v>Image of Companhia Siderúrgica Nacional S. A.</v>
  </rv>
  <rv s="0">
    <v>https://www.bing.com/financeapi/forcetrigger?t=apmcoc&amp;q=BVMF%3aCSNA3&amp;form=skydnc</v>
    <v>Learn more on Bing</v>
  </rv>
  <rv s="12">
    <v>pt-BR</v>
    <v>apmcoc</v>
    <v>268435456</v>
    <v>1</v>
    <v>Da plataforma Refinitiv</v>
    <v>20</v>
    <v>21</v>
    <v>Companhia Siderúrgica Nacional S. A. (BVMF:CSNA3)</v>
    <v>23</v>
    <v>24</v>
    <v>Finance</v>
    <v>5</v>
    <v>13.18</v>
    <v>6.72</v>
    <v>BVMF</v>
    <v>1326094000</v>
    <v>7.03</v>
    <v>1941</v>
    <v>6.72</v>
    <v>1.444</v>
    <v>B3 - Brazil Stock Exchange</v>
    <v>8977656380</v>
    <v>A Companhia Siderurgica Nacional SA é uma empresa sediada no Brasil. Atua em cinco setores estratégicos da economia: Siderurgia, mineração, logística, cimento e energia. O setor siderúrgico da Companhia atua em toda a cadeia produtiva do aço, desde a extração de minério de ferro até a produção e venda de uma gama diversificada de produtos siderúrgicos, incluindo chapas revestidas, aço galvanizado, aço pré-pintado, chapas metálicas e produtos de aço longos (vergalhões e haste de arame). O setor mineiro é responsável pela exportação de minério de ferro. O setor do cimento é responsável pela produção do cimento. O setor logístico oferece serviços integrados de logística (rodoviário, ferroviário, portuário), enquanto o setor energético gerencia a Usina de Cogeração Térmica instalada nas siderúrgicas Presidente Vargas em Volta Redonda e as hidrelétricas de Itaand Igarapava.</v>
    <v>BVMF</v>
    <v>6.97</v>
    <v>24924</v>
    <v>45884.958333333336</v>
    <v>729</v>
    <v>730</v>
    <v>9361400</v>
    <v>BRL</v>
    <v>Companhia Siderúrgica Nacional S. A.</v>
    <v>Companhia Siderúrgica Nacional S. A.</v>
    <v>7.01</v>
    <v>6.77</v>
    <v>Av. Brigadeiro Faria Lima, 3400, 19 andar, Itaim Bibi, SAO PAULO, SAO PAULO, 04.538-132 BR</v>
    <v>Metals &amp; Mining</v>
    <v>CSNA3</v>
    <v>Ações</v>
    <v>Companhia Siderúrgica Nacional S. A. (BVMF:CSNA3)</v>
    <v>-0.2</v>
    <v>-2.8694000000000001E-2</v>
    <v>12375000</v>
  </rv>
  <rv s="2">
    <v>731</v>
  </rv>
  <rv s="0">
    <v>https://www.bing.com/financeapi/forcetrigger?t=apmdhw&amp;q=BVMF%3aCTNM4&amp;form=skydnc</v>
    <v>Learn more on Bing</v>
  </rv>
  <rv s="17">
    <v>pt-BR</v>
    <v>apmdhw</v>
    <v>268435456</v>
    <v>1</v>
    <v>Da plataforma Refinitiv</v>
    <v>40</v>
    <v>41</v>
    <v>Companhia de Tecidos Norte de Minas - COTEMINAS (BVMF:CTNM4)</v>
    <v>12</v>
    <v>42</v>
    <v>Finance</v>
    <v>5</v>
    <v>0.88</v>
    <v>0.86</v>
    <v>BVMF</v>
    <v>30636460</v>
    <v>0.86</v>
    <v>1967</v>
    <v>0.86</v>
    <v>1.2122999999999999</v>
    <v>B3 - Brazil Stock Exchange</v>
    <v>113915100</v>
    <v>Companhia de Tecidos Norte de Minas - COTEMINAS é uma empresa brasileira que se dedica principalmente à indústria têxtil. A Empresa está envolvida na produção, comercialização, importação e exportação de fios e tecidos. Por meio da subsidiária SPRINGS GLOBAL PARTICIPAÇÕES S.A., a Empresa atua na produção de artigos de cama e banho, bem como no varejo de produtos têxteis para uso doméstico sob a marca Artex. Por intermédio da subsidiária Oxford Comércio e Participações SA, ela também está envolvida na fabricação e comercialização de tecidos, que são utilizados principalmente em produtos de vestuário, incluindo roupas esportivas, uniformes profissionais e equipamentos de proteção individual (EPI). Em 19 de abril de 2012, a WEMBLEY SOCIEDADE ANÔNIMA era a principal acionista da Empresa, com 22,03% do total das ações.</v>
    <v>BVMF</v>
    <v>0.88</v>
    <v>45519.947916666664</v>
    <v>733</v>
    <v>BRL</v>
    <v>Companhia de Tecidos Norte de Minas - COTEMINAS</v>
    <v>Companhia de Tecidos Norte de Minas - COTEMINAS</v>
    <v>0.86</v>
    <v>0.86</v>
    <v>Avenida Lincoln Alves Dos Santos,955, Distrito Industrial, MONTES CLAROS, MINAS GERAIS, 39.404-005 BR</v>
    <v>Textiles &amp; Apparel</v>
    <v>CTNM4</v>
    <v>Ações</v>
    <v>Companhia de Tecidos Norte de Minas - COTEMINAS (BVMF:CTNM4)</v>
    <v>-0.02</v>
    <v>-2.2727000000000001E-2</v>
    <v>5000</v>
  </rv>
  <rv s="2">
    <v>734</v>
  </rv>
  <rv s="0">
    <v>https://www.bing.com/financeapi/forcetrigger?t=c213gh&amp;q=BVMF%3aIFCM3&amp;form=skydnc</v>
    <v>Learn more on Bing</v>
  </rv>
  <rv s="8">
    <v>pt-BR</v>
    <v>c213gh</v>
    <v>268435456</v>
    <v>1</v>
    <v>Da plataforma Refinitiv</v>
    <v>14</v>
    <v>15</v>
    <v>Infracommerce CXAAS S.A (BVMF:IFCM3)</v>
    <v>12</v>
    <v>16</v>
    <v>Finance</v>
    <v>5</v>
    <v>5.66</v>
    <v>0.59</v>
    <v>BVMF</v>
    <v>90107840</v>
    <v>0.7</v>
    <v>2020</v>
    <v>0.59</v>
    <v>2.5638000000000001</v>
    <v>B3 - Brazil Stock Exchange</v>
    <v>53163625</v>
    <v>A Infracommerce CXAAS SA é uma empresa de soluções digitais para e-commerce sediada no Brasil. O ecossistema de soluções digitais integradas da Companhia compõe um “white-label digital ecosystem” para marcas e indústrias terem controle sobre suas jornadas de digitalização do go-to-market por meio de uma experiência ao consumidor. A Companhia possui operações no México, Colômbia, Peu, Chile, Argentina e Uruguai, e é responsável pela operação do ecommerce de empresas como Ambev, Nike, Samsung, Motorola, Diageo, Unilever, entre outras. O ecossistema de soluções digitais integradas da Companhia permite uma atuação de forma modular, composta pelas seguintes verticais: infra.digital, infra.shop, infra.data, infra.pay e infra.log. As verticais têm como foco, respectivamente, a otimização da experiência, tecnologia omnichannel completa, uso de inteligência artificial e de dados, soluções de pagamento e crédito, e eficiência logística.</v>
    <v>BVMF</v>
    <v>0.69</v>
    <v>2099</v>
    <v>45884.958333333336</v>
    <v>736</v>
    <v>777140</v>
    <v>BRL</v>
    <v>Infracommerce CXAAS S.A</v>
    <v>Infracommerce CXAAS S.A</v>
    <v>0.69</v>
    <v>0.59</v>
    <v>Av das Nacoes Unidas, 12.901, 32 e 33 andares, Torre Norte CENU, Cidade Moncoes, Sao Paulo, SAO PAULO, 04.578-910 BR</v>
    <v>Software &amp; IT Services</v>
    <v>IFCM3</v>
    <v>Ações</v>
    <v>Infracommerce CXAAS S.A (BVMF:IFCM3)</v>
    <v>-0.1</v>
    <v>-0.144928</v>
    <v>2197000</v>
  </rv>
  <rv s="2">
    <v>737</v>
  </rv>
  <rv s="0">
    <v>https://www.bing.com/financeapi/forcetrigger?t=azs2pr&amp;q=BVMF%3aHAPV3&amp;form=skydnc</v>
    <v>Learn more on Bing</v>
  </rv>
  <rv s="9">
    <v>pt-BR</v>
    <v>azs2pr</v>
    <v>268435456</v>
    <v>1</v>
    <v>Da plataforma Refinitiv</v>
    <v>17</v>
    <v>18</v>
    <v>Hapvida Participações e Investimentos S/A (BVMF:HAPV3)</v>
    <v>12</v>
    <v>19</v>
    <v>Finance</v>
    <v>5</v>
    <v>71.25</v>
    <v>29.7</v>
    <v>BVMF</v>
    <v>502630900</v>
    <v>38.659999999999997</v>
    <v>2001</v>
    <v>37.479999999999997</v>
    <v>1.649</v>
    <v>B3 - Brazil Stock Exchange</v>
    <v>19200500380</v>
    <v>Hapvida Participacoes e Investimentos SA (Hapvida) é uma holding brasileira de saúde. A Companhia e suas controladas têm como atividades principais a cobertura de custos de assistência médica, hospitalar e odontológica de seus associados, a prestação de serviços médicos, hospitalares e odontológicos e exames e diagnósticos por imagem. A Hapvida tem diferentes instalações de saúde, como hospitais, clínicas ou unidades de diagnóstico por imagem. A Companhia opera no Nordeste do Brasil, em mais de 10 estados, como Alagoas, Amazonas, Bahia, Pernambuco, Rio Grande do Norte, Sergipe, entre outros.</v>
    <v>BVMF</v>
    <v>37.770000000000003</v>
    <v>45884.958333333336</v>
    <v>739</v>
    <v>4945640</v>
    <v>BRL</v>
    <v>Hapvida Participações e Investimentos S/A</v>
    <v>Hapvida Participações e Investimentos S/A</v>
    <v>37.69</v>
    <v>38.200000000000003</v>
    <v>Avenida Heraclito Graca n 406, Centro, FORTALEZA, CEARA, 60.140-060 BR</v>
    <v>Healthcare Providers &amp; Services</v>
    <v>HAPV3</v>
    <v>Ações</v>
    <v>Hapvida Participações e Investimentos S/A (BVMF:HAPV3)</v>
    <v>0.43</v>
    <v>1.1385000000000001E-2</v>
    <v>5542200</v>
  </rv>
  <rv s="2">
    <v>740</v>
  </rv>
  <rv s="0">
    <v>https://www.bing.com/financeapi/forcetrigger?t=bvtfnm&amp;q=BVMF%3aSEQL3&amp;form=skydnc</v>
    <v>Learn more on Bing</v>
  </rv>
  <rv s="9">
    <v>pt-BR</v>
    <v>bvtfnm</v>
    <v>268435456</v>
    <v>1</v>
    <v>Da plataforma Refinitiv</v>
    <v>17</v>
    <v>18</v>
    <v>SEQUOIA LOGÍSTICA E TRANSPORTES S.A. (BVMF:SEQL3)</v>
    <v>12</v>
    <v>19</v>
    <v>Finance</v>
    <v>5</v>
    <v>9.2100000000000009</v>
    <v>0.92</v>
    <v>BVMF</v>
    <v>50311580</v>
    <v>0.97</v>
    <v>1996</v>
    <v>0.95</v>
    <v>1.7982</v>
    <v>B3 - Brazil Stock Exchange</v>
    <v>48802232</v>
    <v>A Sequoia Logistica e Transportes SA, anteriormente Sequoia Logistica e Transportes Ltda é uma empresa de logística com sede no Brasil. A Empresa oferece serviços abrangentes no segmento de transporte e logística, com foco em entregas expressas. As atividades da Companhia são realizadas através de um segmento operacional: Serviços de logística e transporte. Em relação às soluções de entrega expressa de e-commerce, a Empresa fornece uma gama completa de serviços de transporte e logística de valor agregado, incluindo serviços de última milha de negócio para consumidor (B2C); serviços de menos carga de caminhão (LTL), consistindo de serviços de transporte com capacidade parcial de veículo e serviços de carga completa (FTL), consistindo de serviços de transporte com capacidade total de veículos.</v>
    <v>BVMF</v>
    <v>0.97</v>
    <v>45884.958333333336</v>
    <v>742</v>
    <v>138630</v>
    <v>BRL</v>
    <v>SEQUOIA LOGÍSTICA E TRANSPORTES S.A.</v>
    <v>SEQUOIA LOGÍSTICA E TRANSPORTES S.A.</v>
    <v>0.96</v>
    <v>0.97</v>
    <v>Alameda Rio Negro, 500 6 Andar, Sala 601, Alphaville, BARUERI, SAO PAULO, 06.454-000 BR</v>
    <v>Freight &amp; Logistics Services</v>
    <v>SEQL3</v>
    <v>Ações</v>
    <v>SEQUOIA LOGÍSTICA E TRANSPORTES S.A. (BVMF:SEQL3)</v>
    <v>0</v>
    <v>0</v>
    <v>117800</v>
  </rv>
  <rv s="2">
    <v>743</v>
  </rv>
  <rv s="0">
    <v>https://www.bing.com/financeapi/forcetrigger?t=axx6m7&amp;q=BVMF%3aBKBR3&amp;form=skydnc</v>
    <v>Learn more on Bing</v>
  </rv>
  <rv s="8">
    <v>pt-BR</v>
    <v>axx6m7</v>
    <v>268435456</v>
    <v>1</v>
    <v>Da plataforma Refinitiv</v>
    <v>14</v>
    <v>15</v>
    <v>ZAMP S.A. (BVMF:ZAMP3)</v>
    <v>12</v>
    <v>16</v>
    <v>Finance</v>
    <v>5</v>
    <v>3.69</v>
    <v>2.09</v>
    <v>BVMF</v>
    <v>406934400</v>
    <v>3.49</v>
    <v>2011</v>
    <v>3.45</v>
    <v>1.2012</v>
    <v>B3 - Brazil Stock Exchange</v>
    <v>1412062368</v>
    <v>A Zamp SA, anteriormente conhecida como BK Brasil Operação e Assessoria a Restaurantes SA, é uma operadora de restaurantes sediada no Brasil com um portfólio de marcas que oferece indulgência e diversidade alimentar. A Companhia opera marcas como Burger King e Popeyes. A sua atividade comercial consiste na importação e exportação de produtos relacionados com a atividade operacional principal dos restaurantes Burger King e Popeyes. Estão incluídos nas ofertas da Companhia alimentos e bebidas do cardápio do Burger King, como cheeseburgers, hambúrgueres de diversos sabores e ofertas premium, como a família Mega Stacker e a Dulce de Leche, anéis de cebola, cachorros-quentes, batatas fritas, frango frito, saladas, refrigerantes, sucos, café e milkshakes, além de bolos e sorvetes.</v>
    <v>BVMF</v>
    <v>3.48</v>
    <v>20000</v>
    <v>45884.958391203705</v>
    <v>745</v>
    <v>588610</v>
    <v>BRL</v>
    <v>ZAMP S.A.</v>
    <v>ZAMP S.A.</v>
    <v>3.48</v>
    <v>3.47</v>
    <v>Al Tocantins 350 Andar 10, Alphaville Centro Industrial E Empresarial/Alphavi, BARUERI, SAO PAULO, 06.455-020 BR</v>
    <v>Hotels &amp; Entertainment Services</v>
    <v>ZAMP3</v>
    <v>Ações</v>
    <v>ZAMP S.A. (BVMF:ZAMP3)</v>
    <v>-0.01</v>
    <v>-2.8739999999999998E-3</v>
    <v>630700</v>
  </rv>
  <rv s="2">
    <v>746</v>
  </rv>
  <rv s="0">
    <v>https://www.bing.com/financeapi/forcetrigger?t=apmrur&amp;q=BVMF%3aINEP4&amp;form=skydnc</v>
    <v>Learn more on Bing</v>
  </rv>
  <rv s="8">
    <v>pt-BR</v>
    <v>apmrur</v>
    <v>268435456</v>
    <v>1</v>
    <v>Da plataforma Refinitiv</v>
    <v>14</v>
    <v>15</v>
    <v>Inepar S.A. Indústria e Construções - em Recuperação Judicial (BVMF:INEP4)</v>
    <v>12</v>
    <v>16</v>
    <v>Finance</v>
    <v>5</v>
    <v>2.54</v>
    <v>1.1499999999999999</v>
    <v>BVMF</v>
    <v>44895590</v>
    <v>1.58</v>
    <v>1968</v>
    <v>1.37</v>
    <v>1.9681999999999999</v>
    <v>B3 - Brazil Stock Exchange</v>
    <v>72604480</v>
    <v>A Inepar SA Industria e Construcoes em Recuperacao Judicial é uma empresa brasileira. A Companhia está envolvida na criação de soluções integradas, fabricação e fornecimento de equipamentos e serviços para geração, transmissão, distribuição e consumo de energia elétrica; exploração e processamento de petróleo e gás; infraestrutura para movimentação de cargas; transporte ferroviário e metropolitano; implantação e expansão de sistemas de infraestrutura de telecomunicações; participação em consórcios e outras empresas, tanto nacional como internacional, como sócio ou acionista. Estas atividades são realizadas diretamente pela Empresa ou através de empresas controladas ou afiliadas. Além disso, parte da história da Companhia envolve a busca de novos parceiros e mercados, e neste momento, busca parcerias nas áreas de saneamento, manutenção de equipamentos de transporte ferroviário, entre outros.</v>
    <v>BVMF</v>
    <v>1.38</v>
    <v>3216</v>
    <v>45884.958333333336</v>
    <v>748</v>
    <v>8380</v>
    <v>BRL</v>
    <v>Inepar S.A. Indústria e Construções - em Recuperação Judicial</v>
    <v>Inepar S.A. Indústria e Construções - em Recuperação Judicial</v>
    <v>1.44</v>
    <v>1.57</v>
    <v>Alameda Dr. Carlos de Carvalho n 373,Cjto. 1101 11 andar, Centro, CURITIBA, PARANA, 80.410-180 BR</v>
    <v>Construction &amp; Engineering</v>
    <v>INEP4</v>
    <v>Ações</v>
    <v>Inepar S.A. Indústria e Construções - em Recuperação Judicial (BVMF:INEP4)</v>
    <v>0.19</v>
    <v>0.137681</v>
    <v>20500</v>
  </rv>
  <rv s="2">
    <v>749</v>
  </rv>
  <rv s="0">
    <v>https://www.bing.com/financeapi/forcetrigger?t=apn2kr&amp;q=BVMF%3aOIBR3&amp;form=skydnc</v>
    <v>Learn more on Bing</v>
  </rv>
  <rv s="8">
    <v>pt-BR</v>
    <v>apn2kr</v>
    <v>268435456</v>
    <v>1</v>
    <v>Da plataforma Refinitiv</v>
    <v>14</v>
    <v>15</v>
    <v>Oi S.A. – Em Recuperação Judicial (BVMF:OIBR3)</v>
    <v>12</v>
    <v>16</v>
    <v>Finance</v>
    <v>5</v>
    <v>5.6</v>
    <v>0.45</v>
    <v>BVMF</v>
    <v>330121700</v>
    <v>0.56999999999999995</v>
    <v>1963</v>
    <v>0.53</v>
    <v>1.3743000000000001</v>
    <v>B3 - Brazil Stock Exchange</v>
    <v>195893300</v>
    <v>オーアイ・エム・リューペラカオ・ジュディシアル（Oi SA - em Recuperacao Judicial）は、ブラジルの通信サービス・プロバイダー会社である。【事業内容】固定電話交換サービス（STFC）のコンセッション事業者であり、市内および地域内長距離通信事業者としてSTFCの提供に従事する。セグメントにはOi Fibra、Oi Solucoes、Servicos Legadosがある。Oiは、固定電話、携帯電話、ブロードバンド、有料テレビ、データ通信、インターネット・プロバイダー・サービスなどの総合通信サービスを提供する。Oi Fibraセグメントは、ブロードバンド、固定音声、IPTVサービスを一般家庭および中小企業向けに販売する。Oi Solucoesセグメントは、中・大企業向けビジネスソリューション、デジタルおよびITサービスを含む。Servicos Legadosセグメントは、銅線技術、DTH TV、規制卸売サービスを含む。</v>
    <v>BVMF</v>
    <v>0.56000000000000005</v>
    <v>2600</v>
    <v>45884.958333333336</v>
    <v>751</v>
    <v>17980</v>
    <v>BRL</v>
    <v>Oi S.A. – Em Recuperação Judicial</v>
    <v>Oi S.A. – Em Recuperação Judicial</v>
    <v>0.56000000000000005</v>
    <v>0.56000000000000005</v>
    <v>Rua do Lavradio, 71,2 andar, Centro, RIO DE JANEIRO, RIO DE JANEIRO, 20.230-070 BR</v>
    <v>Telecommunications Services</v>
    <v>OIBR3</v>
    <v>Ações</v>
    <v>Oi S.A. – Em Recuperação Judicial (BVMF:OIBR3)</v>
    <v>0</v>
    <v>0</v>
    <v>2475600</v>
  </rv>
  <rv s="2">
    <v>752</v>
  </rv>
  <rv s="0">
    <v>https://www.bing.com/financeapi/forcetrigger?t=apmcfr&amp;q=BVMF%3aCSAN3&amp;form=skydnc</v>
    <v>Learn more on Bing</v>
  </rv>
  <rv s="8">
    <v>pt-BR</v>
    <v>apmcfr</v>
    <v>268435456</v>
    <v>1</v>
    <v>Da plataforma Refinitiv</v>
    <v>14</v>
    <v>15</v>
    <v>Cosan S.A (BVMF:CSAN3)</v>
    <v>12</v>
    <v>16</v>
    <v>Finance</v>
    <v>5</v>
    <v>14.18</v>
    <v>5.29</v>
    <v>BVMF</v>
    <v>1866571000</v>
    <v>5.58</v>
    <v>1966</v>
    <v>5.29</v>
    <v>1.1494</v>
    <v>B3 - Brazil Stock Exchange</v>
    <v>10228809080</v>
    <v>A Cosan SA, anteriormente conhecida como Cosan SA Indústria e Comércio, é uma empresa sediada no Brasil que atua principalmente no setor de marketing de petróleo. As atividades da Companhia estão divididas em seis segmentos de negócios: Raizen Energia, que produz e distribui derivados de cana-de-açúcar, como açúcar bruto e etanol hidratado, e co-gera energia a partir do bagaço de cana; Raizen Combustiveis, que distribui combustível, principalmente através de uma rede de postos de gasolina sob a marca Shell; Comgas, que se concentra na distribuição de gás natural no estado de São Paulo, Brasil; Radar, responsável pela compra, venda, gerenciamento e arrendamento de terras agrícolas; Lubrificantes, que fabrica e vende lubrificantes sob a marca Mobil no mercado latino-americano, bem como a marca Comma no mercado europeu e asiático, e Outros, que inclui investimentos em outros negócios. A Companhia é uma subsidiária da Cosan Ltd.</v>
    <v>BVMF</v>
    <v>5.4</v>
    <v>53498</v>
    <v>45884.958333333336</v>
    <v>754</v>
    <v>19760530</v>
    <v>BRL</v>
    <v>Cosan S.A</v>
    <v>Cosan S.A</v>
    <v>5.3</v>
    <v>5.48</v>
    <v>Avenida Brigadeiro Faria Lima, 4.100 16 andar, sala 01, Vila Nova Conceicao, SAO PAULO, SAO PAULO, 04.538-132 BR</v>
    <v>Consumer Goods Conglomerates</v>
    <v>CSAN3</v>
    <v>Ações</v>
    <v>Cosan S.A (BVMF:CSAN3)</v>
    <v>0.08</v>
    <v>1.4815E-2</v>
    <v>15408000</v>
  </rv>
  <rv s="2">
    <v>755</v>
  </rv>
  <rv s="0">
    <v>https://www.bing.com/financeapi/forcetrigger?t=apm4oc&amp;q=BVMF%3aBRKM3&amp;form=skydnc</v>
    <v>Learn more on Bing</v>
  </rv>
  <rv s="8">
    <v>pt-BR</v>
    <v>apm4oc</v>
    <v>268435456</v>
    <v>1</v>
    <v>Da plataforma Refinitiv</v>
    <v>14</v>
    <v>15</v>
    <v>BRASKEM S.A. (BVMF:BRKM3)</v>
    <v>12</v>
    <v>16</v>
    <v>Finance</v>
    <v>5</v>
    <v>20.86</v>
    <v>8.5</v>
    <v>BVMF</v>
    <v>797207800</v>
    <v>8.74</v>
    <v>1972</v>
    <v>8.5</v>
    <v>1.0592999999999999</v>
    <v>B3 - Brazil Stock Exchange</v>
    <v>6623176000</v>
    <v>A Braskem SA é uma petroquímica integrada no Brasil para a primeira e segunda geração de resinas termoplásticas. As atividades da Companhia são divididas em três segmentos operacionais: Brasil; Estados Unidos e Europa; e México. O segmento Brasil está focado na produção de resinas de polietileno (PE), polipropileno (PP) e policloreto de vinilo (PVC), além de insumos químicos básicos como etileno, propileno, butadieno, benzeno, tolueno, etc. cloro, soda e solventes, entre outros. O segmento Estados Unidos e Europa é responsável pela produção de polipropileno em unidades nos Estados Unidos e na Alemanha. O segmento México consiste na operação de blocos de etileno e de polietileno localizados no México.</v>
    <v>BVMF</v>
    <v>8.75</v>
    <v>8126</v>
    <v>45884.958333333336</v>
    <v>757</v>
    <v>4577240</v>
    <v>BRL</v>
    <v>BRASKEM S.A.</v>
    <v>BRASKEM S.A.</v>
    <v>8.74</v>
    <v>8.57</v>
    <v>R Eteno 1561, Polo Industrial De Camacari, CAMACARI, BAHIA, 42.816-200 BR</v>
    <v>Chemicals</v>
    <v>BRKM3</v>
    <v>Ações</v>
    <v>BRASKEM S.A. (BVMF:BRKM3)</v>
    <v>-0.18</v>
    <v>-2.0571000000000002E-2</v>
    <v>19100</v>
  </rv>
  <rv s="2">
    <v>758</v>
  </rv>
  <rv s="0">
    <v>https://www.bing.com/financeapi/forcetrigger?t=apnc7w&amp;q=BVMF%3aSHOW3&amp;form=skydnc</v>
    <v>Learn more on Bing</v>
  </rv>
  <rv s="8">
    <v>pt-BR</v>
    <v>apnc7w</v>
    <v>268435456</v>
    <v>1</v>
    <v>Da plataforma Refinitiv</v>
    <v>14</v>
    <v>15</v>
    <v>T4F ENTRETENIMENTO S.A. (BVMF:SHOW3)</v>
    <v>12</v>
    <v>16</v>
    <v>Finance</v>
    <v>5</v>
    <v>13.1</v>
    <v>5.99</v>
    <v>BVMF</v>
    <v>67412640</v>
    <v>6.36</v>
    <v>1998</v>
    <v>6.22</v>
    <v>1.8861000000000001</v>
    <v>B3 - Brazil Stock Exchange</v>
    <v>419306620</v>
    <v>A T4F Entretenimento SA, anteriormente CIE Brasil SA, é uma empresa pública brasileira que atua no setor de entretenimento ao vivo. A Companhia atua na administração, promoção, organização, produção, agência, programação e implementação de atividades relacionadas ao entretenimento ao vivo, como esportes, artes, cultura, concertos e shows, bem como na administração e operação de locais, tais como teatros, ginásios e estádios. A Companhia opera diferentes níveis de cadeia de valor de entretenimento ao vivo, incluindo: Operação do local; bilhética; vendas de alimentos, bebidas e mercadorias; e patrocínios corporativos. Atualmente, a Companhia opera o Teatro Opera Orbis Seguros, em Buenos Aires, e o Teatro Renault, em São Paulo.</v>
    <v>BVMF</v>
    <v>6.29</v>
    <v>621</v>
    <v>45884.958333333336</v>
    <v>760</v>
    <v>21170</v>
    <v>BRL</v>
    <v>T4F ENTRETENIMENTO S.A.</v>
    <v>T4F ENTRETENIMENTO S.A.</v>
    <v>6.29</v>
    <v>6.22</v>
    <v>Rua Cristiano Viana, n 401, 15 andar, Pinheiros, SAO PAULO, SAO PAULO, 05.411-000 BR</v>
    <v>Hotels &amp; Entertainment Services</v>
    <v>SHOW3</v>
    <v>Ações</v>
    <v>T4F ENTRETENIMENTO S.A. (BVMF:SHOW3)</v>
    <v>-7.0000000000000007E-2</v>
    <v>-1.1129E-2</v>
    <v>40800</v>
  </rv>
  <rv s="2">
    <v>761</v>
  </rv>
  <rv s="0">
    <v>https://www.bing.com/financeapi/forcetrigger?t=azilm7&amp;q=BVMF%3aAZEV3&amp;form=skydnc</v>
    <v>Learn more on Bing</v>
  </rv>
  <rv s="9">
    <v>pt-BR</v>
    <v>azilm7</v>
    <v>268435456</v>
    <v>1</v>
    <v>Da plataforma Refinitiv</v>
    <v>17</v>
    <v>18</v>
    <v>AZEVEDO &amp; TRAVASSOS S.A. (BVMF:AZEV3)</v>
    <v>12</v>
    <v>19</v>
    <v>Finance</v>
    <v>5</v>
    <v>1.82</v>
    <v>0.41</v>
    <v>BVMF</v>
    <v>592753700</v>
    <v>0.64</v>
    <v>1922</v>
    <v>0.55000000000000004</v>
    <v>1.0687</v>
    <v>B3 - Brazil Stock Exchange</v>
    <v>363467700</v>
    <v>A Azevedo &amp; Travassos SA é uma empresa brasileira que atua principalmente no setor de construção civil. A Companhia estrutura seus negócios em quatro áreas: construção pesada e civil; montagem eletromecânica; perfuração e completação de poços e incorporação imobiliária. No setor de construção civil e pesada, a Companhia atua na construção de rodovias, ferrovias, avenidas, barragens, aeroportos, pontes, viadutos, metrôs, túneis, prédios industriais e hospitais, entre outros. Na área de montagem eletromecânica, atua principalmente na construção e montagem de gasodutos, óleo e polpa, bem como na recuperação e manutenção de instalações para transporte de óleo e gás. No segmento de perfuração e completação de poços, atua principalmente na perfuração, completação e workover de poços de petróleo, gás, mineração e água. Na área de incorporação imobiliária, a Companhia atua na construção de moradias residenciais.</v>
    <v>BVMF</v>
    <v>0.6</v>
    <v>45884.958333333336</v>
    <v>763</v>
    <v>1519960</v>
    <v>BRL</v>
    <v>AZEVEDO &amp; TRAVASSOS S.A.</v>
    <v>AZEVEDO &amp; TRAVASSOS S.A.</v>
    <v>0.64</v>
    <v>0.55000000000000004</v>
    <v>Rua Vicente Antonio de Oliveira 1050, Pirituba, SAO PAULO, SAO PAULO, 02.955-080 BR</v>
    <v>Construction &amp; Engineering</v>
    <v>AZEV3</v>
    <v>Ações</v>
    <v>AZEVEDO &amp; TRAVASSOS S.A. (BVMF:AZEV3)</v>
    <v>-0.05</v>
    <v>-8.333299999999999E-2</v>
    <v>2857700</v>
  </rv>
  <rv s="2">
    <v>764</v>
  </rv>
  <rv s="0">
    <v>https://www.bing.com/financeapi/forcetrigger?t=apmoa2&amp;q=BVMF%3aGOLL4&amp;form=skydnc</v>
    <v>Learn more on Bing</v>
  </rv>
  <rv s="8">
    <v>pt-BR</v>
    <v>apmoa2</v>
    <v>268435456</v>
    <v>1</v>
    <v>Da plataforma Refinitiv</v>
    <v>14</v>
    <v>15</v>
    <v>Gol Linhas Aéreas Inteligentes S.A. (BVMF:GOLL54)</v>
    <v>12</v>
    <v>16</v>
    <v>Finance</v>
    <v>5</v>
    <v>701</v>
    <v>0</v>
    <v>BVMF</v>
    <v>3202277000000</v>
    <v>5.44</v>
    <v>2004</v>
    <v>4.8499999999999996</v>
    <v>2.0024999999999999</v>
    <v>B3 - Brazil Stock Exchange</v>
    <v>324897600</v>
    <v>A Gol Linhas Aéreas Inteligentes SA é uma companhia aérea com sede no Brasil que oferece transporte aéreo regular de passageiros e carga para mais de 100 destinos no Brasil, América do Sul, Caribe e Estados Unidos. A Companhia atua por meio de dois segmentos: Transporte Aéreo e Programa de Fidelidade. As operações do segmento de Transporte Aéreo são originadas de sua controlada Gol Linhas Aéreas SA (GLA) para a prestação de serviços de transporte aéreo. Este segmento inclui a GOLLOG, negócio de transporte de cargas e logística da Companhia. A empresa opera uma frota de aproximadamente 140 aeronaves Boeing 737. As operações do segmento de programas de fidelidade são representadas pelo programa de fidelidade SMILES coalition, que permite aos clientes acumular milhas e resgatar passagens para mais de 700 localidades em todo o mundo.</v>
    <v>BVMF</v>
    <v>5.2</v>
    <v>13694</v>
    <v>45884.958333333336</v>
    <v>766</v>
    <v>2045290320</v>
    <v>BRL</v>
    <v>Gol Linhas Aéreas Inteligentes S.A.</v>
    <v>Gol Linhas Aéreas Inteligentes S.A.</v>
    <v>5.3</v>
    <v>4.92</v>
    <v>Praca Comandante Lineu Gomes S/N, Portaria 3, Jardim Aeroporto, SAO PAULO, SAO PAULO, 04.626-020 BR</v>
    <v>Passenger Transportation Services</v>
    <v>GOLL54</v>
    <v>Ações</v>
    <v>Gol Linhas Aéreas Inteligentes S.A. (BVMF:GOLL54)</v>
    <v>-0.28000000000000003</v>
    <v>-5.3845999999999998E-2</v>
    <v>575347</v>
  </rv>
  <rv s="2">
    <v>767</v>
  </rv>
  <rv s="0">
    <v>https://www.bing.com/financeapi/forcetrigger?t=apnbvh&amp;q=BVMF%3aSEER3&amp;form=skydnc</v>
    <v>Learn more on Bing</v>
  </rv>
  <rv s="8">
    <v>pt-BR</v>
    <v>apnbvh</v>
    <v>268435456</v>
    <v>1</v>
    <v>Da plataforma Refinitiv</v>
    <v>14</v>
    <v>15</v>
    <v>Ser Educacional S.A. (BVMF:SEER3)</v>
    <v>12</v>
    <v>16</v>
    <v>Finance</v>
    <v>5</v>
    <v>10.76</v>
    <v>3.9</v>
    <v>BVMF</v>
    <v>128721600</v>
    <v>9.34</v>
    <v>2002</v>
    <v>8.07</v>
    <v>1.8225</v>
    <v>B3 - Brazil Stock Exchange</v>
    <v>1081261440</v>
    <v>A Ser Educacional S.A. é uma empresa brasileira que atua principalmente no setor educacional. A empresa concentra-se no desenvolvimento de instituições de ensino pós-secundário, profissional e superior. A empresa oferece cursos de graduação, pós-graduação, mestrado e doutorado, programas de Mestrado em Administração de Empresas (MBA) e formação profissional. Além disso, gerencia institutos de pesquisa que desenvolvem projetos educacionais, científicos, políticos, econômicos e sociais. A empresa também organiza conferências nacionais e internacionais em várias áreas, como administração de empresas, direito, turismo, comunicações, tecnologia da informação, saúde e educação. A rede educacional da empresa está localizada em mais de 10 estados brasileiros e é composta por universidades, faculdades e um centro universitário.</v>
    <v>BVMF</v>
    <v>8.93</v>
    <v>7800</v>
    <v>45884.958391203705</v>
    <v>769</v>
    <v>729790</v>
    <v>BRL</v>
    <v>Ser Educacional S.A.</v>
    <v>Ser Educacional S.A.</v>
    <v>9.32</v>
    <v>8.4</v>
    <v>Av. da Saudade, 254, Santo Amaro, RECIFE, PERNAMBUCO, 50.100-200 BR</v>
    <v>School, College &amp; University</v>
    <v>SEER3</v>
    <v>Ações</v>
    <v>Ser Educacional S.A. (BVMF:SEER3)</v>
    <v>-0.53</v>
    <v>-5.9351000000000001E-2</v>
    <v>1739700</v>
  </rv>
  <rv s="2">
    <v>770</v>
  </rv>
  <rv s="0">
    <v>https://www.bing.com/financeapi/forcetrigger?t=apmk77&amp;q=BVMF%3aFESA4&amp;form=skydnc</v>
    <v>Learn more on Bing</v>
  </rv>
  <rv s="8">
    <v>pt-BR</v>
    <v>apmk77</v>
    <v>268435456</v>
    <v>1</v>
    <v>Da plataforma Refinitiv</v>
    <v>14</v>
    <v>15</v>
    <v>Companhia de Ferro Ligas da Bahia (Ferbasa) (BVMF:FESA4)</v>
    <v>12</v>
    <v>16</v>
    <v>Finance</v>
    <v>5</v>
    <v>8.2200000000000006</v>
    <v>6.05</v>
    <v>BVMF</v>
    <v>353175000</v>
    <v>6.22</v>
    <v>1961</v>
    <v>6.05</v>
    <v>0.33829999999999999</v>
    <v>B3 - Brazil Stock Exchange</v>
    <v>2752410000</v>
    <v>A Companhia de Ferro Ligas da Bahia Ferbasa é uma empresa sediada no Brasil, principalmente envolvida na produção e comercialização de ferroligas. A Companhia divide seus negócios em dois segmentos principais: Ligas de Cromo, que se dedica à fabricação e comercialização de ferroligas de cromo de alto e baixo carbono, e Silício, que inclui operações relacionadas à produção de ferroligas de silício. Além disso, a Companhia está envolvida na mineração de cromita; fabricação e comercialização de cal viva e cal hidratada; reflorestamento e produção de carvão vegetal e aproveitamento econômico dos resíduos sólidos gerados no processo de produção de ferroligas, incluindo a fabricação e comercialização de escória britada. Em 31 de dezembro de 2011, as subsidiárias da Companhia incluíam Mineração Vale do Jacurici SA, Reflora - Reflorestadora e Agrícola SA, Indústria de Minerios Damacal Ltda e Silício de Alta Pureza da Bahia SA - Silbasa.</v>
    <v>BVMF</v>
    <v>6.19</v>
    <v>3218</v>
    <v>45884.958333333336</v>
    <v>772</v>
    <v>623300</v>
    <v>BRL</v>
    <v>Companhia de Ferro Ligas da Bahia (Ferbasa)</v>
    <v>Companhia de Ferro Ligas da Bahia (Ferbasa)</v>
    <v>6.2</v>
    <v>6.14</v>
    <v>Estrada de Santiago, s/n, Sede, Santiago, POJUCA, BAHIA, 48.120-000 BR</v>
    <v>Metals &amp; Mining</v>
    <v>FESA4</v>
    <v>Ações</v>
    <v>Companhia de Ferro Ligas da Bahia (Ferbasa) (BVMF:FESA4)</v>
    <v>-0.05</v>
    <v>-8.0780000000000001E-3</v>
    <v>637700</v>
  </rv>
  <rv s="2">
    <v>773</v>
  </rv>
  <rv s="0">
    <v>https://www.bing.com/financeapi/forcetrigger?t=bvcw52&amp;q=BVMF%3aLJQQ3&amp;form=skydnc</v>
    <v>Learn more on Bing</v>
  </rv>
  <rv s="8">
    <v>pt-BR</v>
    <v>bvcw52</v>
    <v>268435456</v>
    <v>1</v>
    <v>Da plataforma Refinitiv</v>
    <v>14</v>
    <v>15</v>
    <v>Lojas Quero-Quero S.A (BVMF:LJQQ3)</v>
    <v>12</v>
    <v>16</v>
    <v>Finance</v>
    <v>5</v>
    <v>4.28</v>
    <v>1.87</v>
    <v>BVMF</v>
    <v>206917300</v>
    <v>2.2400000000000002</v>
    <v>1967</v>
    <v>2.13</v>
    <v>1.7891999999999999</v>
    <v>B3 - Brazil Stock Exchange</v>
    <v>463494752</v>
    <v>A Lojas Quero-Quero SA possui e opera lojas de varejo de artefatos domésticos em cidades de pequeno e médio porte do Rio Grande do Sul. A empresa foi fundada em 1967 e está localizada em Cachoeirinha, Brasil.</v>
    <v>BVMF</v>
    <v>2.15</v>
    <v>8200</v>
    <v>45884.958391203705</v>
    <v>775</v>
    <v>2480210</v>
    <v>BRL</v>
    <v>Lojas Quero-Quero S.A</v>
    <v>Lojas Quero-Quero S.A</v>
    <v>2.16</v>
    <v>2.2400000000000002</v>
    <v>Avenida General Flores da Cunha n 1943, Vila Cachoeirinha, CACHOEIRINHA, RIO GRANDE DO SUL, 94.910-003 BR</v>
    <v>Specialty Retailers</v>
    <v>LJQQ3</v>
    <v>Ações</v>
    <v>Lojas Quero-Quero S.A (BVMF:LJQQ3)</v>
    <v>0.09</v>
    <v>4.1860000000000001E-2</v>
    <v>2227600</v>
  </rv>
  <rv s="2">
    <v>776</v>
  </rv>
  <rv s="0">
    <v>https://www.bing.com/financeapi/forcetrigger?t=apnkar&amp;q=BVMF%3aVIVR3&amp;form=skydnc</v>
    <v>Learn more on Bing</v>
  </rv>
  <rv s="8">
    <v>pt-BR</v>
    <v>apnkar</v>
    <v>268435456</v>
    <v>1</v>
    <v>Da plataforma Refinitiv</v>
    <v>14</v>
    <v>15</v>
    <v>Viver Incorporadora e Construtora S.A. (BVMF:VIVR3)</v>
    <v>12</v>
    <v>16</v>
    <v>Finance</v>
    <v>5</v>
    <v>2.69</v>
    <v>0.71</v>
    <v>BVMF</v>
    <v>38366080</v>
    <v>0.77</v>
    <v>1992</v>
    <v>0.71</v>
    <v>1.6668000000000001</v>
    <v>B3 - Brazil Stock Exchange</v>
    <v>28774560</v>
    <v>A Viver Incorporadora e Construtora S.A., antigamente conhecida como Inpar S.A., é uma empresa estabelecida no Brasil, que atua no setor de imóveis. Atua em empreendimentos imobiliários; construção de edifícios; compra e venda de imóveis construídos ou em construção; arrendamento imobiliário e gerenciamento, e loteamento de terrenos. A atividade principal da empresa é o desenvolvimento de projetos de imóveis residenciais e comerciais. Suas subsidiárias incluem a Viver Desenvolvimento Imobiliário Ltda., Inpar Investimentos II S.A., Viver Desenvolvimento e Construção Imobiliária Ltda., OAAP Incorporações e Participações Ltda. e Lagoa dos Ingleses Participações Ltda., dentre outras. Em outubro de 2013, a empresa anunciou a conclusão da venda da totalidade do terreno de um complexo chamado Lagoa dos Ingleses, localizado na cidade de Nova Lima, para a ASM ALICERCE 1 EMPREENDIMENTOS IMOBILIÁRIOS S.A. Em julho de 2014, a empresa vendeu a Inpar Projeto Residencial Raposo km 18,5 SPE Ltda.</v>
    <v>BVMF</v>
    <v>0.77</v>
    <v>256</v>
    <v>45884.958391203705</v>
    <v>778</v>
    <v>26780</v>
    <v>BRL</v>
    <v>Viver Incorporadora e Construtora S.A.</v>
    <v>Viver Incorporadora e Construtora S.A.</v>
    <v>0.77</v>
    <v>0.75</v>
    <v>Avenida Brigadeiro Faria Lima, 1.461, 10 andar, Jardim Paulista, SAO PAULO, SAO PAULO, 01.452-921 BR</v>
    <v>Real Estate Operations</v>
    <v>VIVR3</v>
    <v>Ações</v>
    <v>Viver Incorporadora e Construtora S.A. (BVMF:VIVR3)</v>
    <v>-0.02</v>
    <v>-2.5974000000000001E-2</v>
    <v>16500</v>
  </rv>
  <rv s="2">
    <v>779</v>
  </rv>
  <rv s="0">
    <v>https://www.bing.com/financeapi/forcetrigger?t=apmemw&amp;q=BVMF%3aDASA3&amp;form=skydnc</v>
    <v>Learn more on Bing</v>
  </rv>
  <rv s="8">
    <v>pt-BR</v>
    <v>apmemw</v>
    <v>268435456</v>
    <v>1</v>
    <v>Da plataforma Refinitiv</v>
    <v>14</v>
    <v>15</v>
    <v>Diagnósticos da América S.A (BVMF:DASA3)</v>
    <v>12</v>
    <v>16</v>
    <v>Finance</v>
    <v>5</v>
    <v>3.54</v>
    <v>1.18</v>
    <v>BVMF</v>
    <v>1255007000</v>
    <v>1.5</v>
    <v>1966</v>
    <v>1.32</v>
    <v>1.0523</v>
    <v>B3 - Brazil Stock Exchange</v>
    <v>1807210080</v>
    <v>A DIAGNOSTICOS DA AMERICA S.A. é uma empresa do Brasil, que atua no fornecimento de serviços de suporte ao diagnóstico. Os serviços da empresa estão estruturados em três unidades: ambulatorial e hospitalar, que fornece análises clínicas e diagnósticos por imagem; suporte laboratorial, que fornece serviços para laboratórios de pequeno e médio porte, e setor de saúde pública, no qual a empresa opera por meio da marca CientificaLab, que se concentra no fornecimento de serviços de suporte ao diagnóstico para o setor de saúde pública. Além disso, a empresa atua em atividades relacionadas a testes de alimentos e substâncias para a avaliação de riscos ao ser humano; importação, para uso próprio, de equipamentos médico-hospitalares, conjuntos para diagnósticos e materiais relacionados em geral, e concessão e administração de franquias de negócios, inclusive propaganda e publicação de financiamento, treinamento e seleção de mão de obra, fornecimento de equipamentos e fornecedores de materiais de pesquisa, dentre outras.</v>
    <v>BVMF</v>
    <v>1.44</v>
    <v>18142</v>
    <v>45884.958333333336</v>
    <v>781</v>
    <v>1140160</v>
    <v>BRL</v>
    <v>Diagnósticos da América S.A</v>
    <v>Diagnósticos da América S.A</v>
    <v>1.43</v>
    <v>1.44</v>
    <v>Avenida Jurua, 434, Alphaville, BARUERI, SAO PAULO, 06.455-010 BR</v>
    <v>Healthcare Providers &amp; Services</v>
    <v>DASA3</v>
    <v>Ações</v>
    <v>Diagnósticos da América S.A (BVMF:DASA3)</v>
    <v>0</v>
    <v>0</v>
    <v>2493700</v>
  </rv>
  <rv s="2">
    <v>782</v>
  </rv>
  <rv s="0">
    <v>https://www.bing.com/financeapi/forcetrigger?t=apnakr&amp;q=BVMF%3aRSID3&amp;form=skydnc</v>
    <v>Learn more on Bing</v>
  </rv>
  <rv s="9">
    <v>pt-BR</v>
    <v>apnakr</v>
    <v>268435456</v>
    <v>1</v>
    <v>Da plataforma Refinitiv</v>
    <v>17</v>
    <v>18</v>
    <v>ROSSI RESIDENCIAL S.A. - Em Recuperação Judicial. (BVMF:RSID3)</v>
    <v>12</v>
    <v>19</v>
    <v>Finance</v>
    <v>5</v>
    <v>4.1500000000000004</v>
    <v>1.65</v>
    <v>BVMF</v>
    <v>20272200</v>
    <v>1.99</v>
    <v>1985</v>
    <v>1.93</v>
    <v>0.73609999999999998</v>
    <v>B3 - Brazil Stock Exchange</v>
    <v>40341678</v>
    <v>Rossi Residencial SA - Em Recuperacao Judicial, anteriormente Rossi Residencial SA, é uma empresa pública brasileira envolvida no setor imobiliário. As principais atividades da Companhia se concentram em projetos de desenvolvimento imobiliário, construção e compra e venda de imóveis residenciais e comerciais prontos. Além disso, a Companhia está envolvida na divisão e subdivisão de terrenos, na prestação de serviços de engenharia civil, através de suas próprias operações e estruturas societárias, incluindo a limitação da participação em Sociedades de Propósito Especial (Spes) e consórcios e participação em outras empresas como sócio ou acionista ou como único acionista de subsidiária integral.</v>
    <v>BVMF</v>
    <v>1.92</v>
    <v>45884.958333333336</v>
    <v>784</v>
    <v>8100</v>
    <v>BRL</v>
    <v>ROSSI RESIDENCIAL S.A. - Em Recuperação Judicial.</v>
    <v>ROSSI RESIDENCIAL S.A. - Em Recuperação Judicial.</v>
    <v>1.93</v>
    <v>1.99</v>
    <v>Rua Henri Dunant, 873 - Conj. 601 a 605 6 andar, Santo Amaro, SAO PAULO, SAO PAULO, 04.709-111 BR</v>
    <v>Real Estate Operations</v>
    <v>RSID3</v>
    <v>Ações</v>
    <v>ROSSI RESIDENCIAL S.A. - Em Recuperação Judicial. (BVMF:RSID3)</v>
    <v>7.0000000000000007E-2</v>
    <v>3.6457999999999997E-2</v>
    <v>2200</v>
  </rv>
  <rv s="2">
    <v>785</v>
  </rv>
  <rv s="0">
    <v>https://www.bing.com/financeapi/forcetrigger?t=apnf8m&amp;q=BVMF%3aTCSA3&amp;form=skydnc</v>
    <v>Learn more on Bing</v>
  </rv>
  <rv s="8">
    <v>pt-BR</v>
    <v>apnf8m</v>
    <v>268435456</v>
    <v>1</v>
    <v>Da plataforma Refinitiv</v>
    <v>14</v>
    <v>15</v>
    <v>TECNISA S.A. (BVMF:TCSA3)</v>
    <v>12</v>
    <v>16</v>
    <v>Finance</v>
    <v>5</v>
    <v>2.11</v>
    <v>1.1499999999999999</v>
    <v>BVMF</v>
    <v>90511120</v>
    <v>1.7</v>
    <v>2006</v>
    <v>1.62</v>
    <v>1.6227</v>
    <v>B3 - Brazil Stock Exchange</v>
    <v>148438236</v>
    <v>A Tecnisa SA é uma empresa sediada no Brasil que atua no setor imobiliário. A Companhia e suas subsidiárias têm por objeto a incorporação, construção, arrendamento, administração, compra e venda de propriedades e terrenos imobiliários residenciais e comerciais. Além disso, a Companhia oferece serviços de consultoria relacionados ao mercado imobiliário. A Companhia desenvolve, comercializa e constrói empreendimentos residenciais e comerciais com um modelo de negócio integrado. A Companhia atua desde a aquisição do terreno até o financiamento de parte de seus clientes. Além disso, a Companhia oferece serviços de consultoria relacionados ao mercado imobiliário. Atua no mercado brasileiro. O foco da Companhia é a região de São Paulo (principal mercado), seguida por Brasília e Curitiba.</v>
    <v>BVMF</v>
    <v>1.62</v>
    <v>8039</v>
    <v>45884.958391203705</v>
    <v>787</v>
    <v>82100</v>
    <v>BRL</v>
    <v>TECNISA S.A.</v>
    <v>TECNISA S.A.</v>
    <v>1.66</v>
    <v>1.64</v>
    <v>Avenida Nicolas Boer, 399, 5 andar - Unid 502S, Jardim das Perdizes, SAO PAULO, SAO PAULO, 01.140-060 BR</v>
    <v>Real Estate Operations</v>
    <v>TCSA3</v>
    <v>Ações</v>
    <v>TECNISA S.A. (BVMF:TCSA3)</v>
    <v>0.02</v>
    <v>1.2345999999999999E-2</v>
    <v>45300</v>
  </rv>
  <rv s="2">
    <v>788</v>
  </rv>
  <rv s="0">
    <v>https://www.bing.com/financeapi/forcetrigger?t=aplxpr&amp;q=BVMF%3aAZUL4&amp;form=skydnc</v>
    <v>Learn more on Bing</v>
  </rv>
  <rv s="8">
    <v>pt-BR</v>
    <v>aplxpr</v>
    <v>268435456</v>
    <v>1</v>
    <v>Da plataforma Refinitiv</v>
    <v>14</v>
    <v>15</v>
    <v>Azul S.A. (BVMF:AZUL4)</v>
    <v>12</v>
    <v>16</v>
    <v>Finance</v>
    <v>5</v>
    <v>8.09</v>
    <v>0.56999999999999995</v>
    <v>BVMF</v>
    <v>896039700</v>
    <v>0.63</v>
    <v>2008</v>
    <v>0.57999999999999996</v>
    <v>2.1004999999999998</v>
    <v>B3 - Brazil Stock Exchange</v>
    <v>519703025</v>
    <v>A Azul S.A. é uma empresa brasileira dedicada à prestação de serviços de transporte de passageiros. A Companhia atua principalmente como operadora de companhia aérea sob a marca Azul, fornecendo voos regulares entre diversas cidades do Brasil, incluindo São Paulo, Brasília, Rio de Janeiro, Belo Horizonte, Porto Alegre, Curitiba, Fortaleza e Salvador, entre outros. Além disso, sua rede aérea compreende rotas internacionais para os Estados Unidos, Europa e outros países da América Latina. Por meio de seu negócio de pacotes de viagens, a Azul Viagens, além de passagens aéreas, a Companhia oferece acomodações, transfers, passeios e aluguel de veículos. Sua oferta inclui também o Azul Cargo Express, um serviço de transporte de carga agendado com entrega de aeroporto a aeroporto e porta a porta. A Companhia possui várias subsidiárias, como a Azul Linhas Aéreas Brasileiras SA, que opera todas as atividades de voo e TudoAzul SA, que gerencia o programa de fidelidade.</v>
    <v>BVMF</v>
    <v>0.61</v>
    <v>15367</v>
    <v>45884.958333333336</v>
    <v>790</v>
    <v>17357570</v>
    <v>BRL</v>
    <v>Azul S.A.</v>
    <v>Azul S.A.</v>
    <v>0.62</v>
    <v>0.57999999999999996</v>
    <v>Av. Marcos P. de U. Rodrigues, 939 - Edif. C. Branco Office Park, Torre Jatoba, 11 andar, Alphaville Industrial, BARUERI, SAO PAULO, 06.460-040 BR</v>
    <v>Passenger Transportation Services</v>
    <v>AZUL4</v>
    <v>Ações</v>
    <v>Azul S.A. (BVMF:AZUL4)</v>
    <v>-0.03</v>
    <v>-4.9180000000000001E-2</v>
    <v>23196700</v>
  </rv>
  <rv s="2">
    <v>791</v>
  </rv>
  <rv s="0">
    <v>https://www.bing.com/financeapi/forcetrigger?t=c24pbh&amp;q=BVMF%3aDOTZ3&amp;form=skydnc</v>
    <v>Learn more on Bing</v>
  </rv>
  <rv s="8">
    <v>pt-BR</v>
    <v>c24pbh</v>
    <v>268435456</v>
    <v>1</v>
    <v>Da plataforma Refinitiv</v>
    <v>14</v>
    <v>15</v>
    <v>Dotz S.A. (BVMF:DOTZ3)</v>
    <v>12</v>
    <v>16</v>
    <v>Finance</v>
    <v>5</v>
    <v>9.4499999999999993</v>
    <v>2.54</v>
    <v>BVMF</v>
    <v>13321980</v>
    <v>7.7</v>
    <v>2013</v>
    <v>7.37</v>
    <v>1.7206999999999999</v>
    <v>B3 - Brazil Stock Exchange</v>
    <v>102579246</v>
    <v>A Dotz SA é uma empresa sediada no Brasil, e tem como atividade a participação em outras sociedades, como sócia ou acionista, no país ou no exterior. A Companhia é controladora das empresas CBSM - Companhia Brasileira de Soluções de Marketing S.A. (“CBSM”) e a CGSSP - Companhia Global de Soluções e Serviços de Pagamentos. A CBSM e a CGSSP são sociedades por ações de capital fechado, e têm como atividade o desenvolvimento e a prestação de serviços na área de marketing e tecnologia para internet, preponderantemente a assessoria, consultoria, elaboração e execução de projetos na área de tecnologia da informação, notadamente internet, intranet, e-commerce, e-business e “business to business”, além da conta Digital de Pagamentos, denominada Dotz Pay. A Companhia, através de suas controladas, por meio de seu programa de fidelização denominado “Dotz”, atribui pontos de fidelização a terceiros, tais como emissores de cartão de crédito, supermercados, farmácias, entre outros que, por sua vez, concedem estes pontos para seus clientes. Em conexão com o programa de fidelidade, tais clientes têm a possibilidade de resgatar os pontos na forma de produtos e/ou serviços.</v>
    <v>BVMF</v>
    <v>7.43</v>
    <v>226</v>
    <v>45884.958391203705</v>
    <v>793</v>
    <v>21710</v>
    <v>BRL</v>
    <v>Dotz S.A.</v>
    <v>Dotz S.A.</v>
    <v>7.59</v>
    <v>7.7</v>
    <v>R Joaquim Floriano 533 15 andar, Itaim Bibi, Sao Paulo, SAO PAULO, 04.534-011 BR</v>
    <v>Professional &amp; Commercial Services</v>
    <v>DOTZ3</v>
    <v>Ações</v>
    <v>Dotz S.A. (BVMF:DOTZ3)</v>
    <v>0.27</v>
    <v>3.6339000000000003E-2</v>
    <v>12600</v>
  </rv>
  <rv s="2">
    <v>794</v>
  </rv>
  <rv s="0">
    <v>https://www.bing.com/financeapi/forcetrigger?t=apn51h&amp;q=BVMF%3aPMAM3&amp;form=skydnc</v>
    <v>Learn more on Bing</v>
  </rv>
  <rv s="8">
    <v>pt-BR</v>
    <v>apn51h</v>
    <v>268435456</v>
    <v>1</v>
    <v>Da plataforma Refinitiv</v>
    <v>14</v>
    <v>15</v>
    <v>PARANAPANEMA S.A - EM RECUPERACAO JUDICIAL (BVMF:PMAM3)</v>
    <v>12</v>
    <v>16</v>
    <v>Finance</v>
    <v>5</v>
    <v>2.71</v>
    <v>0.76</v>
    <v>BVMF</v>
    <v>511363900</v>
    <v>1.48</v>
    <v>1961</v>
    <v>1.43</v>
    <v>1.2846</v>
    <v>B3 - Brazil Stock Exchange</v>
    <v>731250377</v>
    <v>Paranapanema SA em Recuperacao Judicial, anteriormente Paranapanema SA Mineracao Industria e Construcao é uma empresa brasileira que atua no segmento de cobre. A empresa é um produtor não integrado de cobre refinado, vergalhões, fios estirados, laminados, barras, tubos, conexões e ligas de cobre. A Paranapanema possui um segmento operacional, que é o cobre. A Companhia possui quatro plantas industriais, uma delas, localizada em Dias d'Avila, estado da Bahia, produz cobre refinado.</v>
    <v>BVMF</v>
    <v>1.45</v>
    <v>2229</v>
    <v>45884.958333333336</v>
    <v>796</v>
    <v>186710</v>
    <v>BRL</v>
    <v>PARANAPANEMA S.A - EM RECUPERACAO JUDICIAL</v>
    <v>PARANAPANEMA S.A - EM RECUPERACAO JUDICIAL</v>
    <v>1.47</v>
    <v>1.43</v>
    <v>Rua Felipe Camarao, 500, Bairro Utinga, SANTO ANDRE, SAO PAULO, 09.220-580 BR</v>
    <v>Metals &amp; Mining</v>
    <v>PMAM3</v>
    <v>Ações</v>
    <v>PARANAPANEMA S.A - EM RECUPERACAO JUDICIAL (BVMF:PMAM3)</v>
    <v>-0.02</v>
    <v>-1.3793E-2</v>
    <v>150800</v>
  </rv>
  <rv s="2">
    <v>797</v>
  </rv>
  <rv s="0">
    <v>https://www.bing.com/financeapi/forcetrigger?t=apmvm7&amp;q=BVMF%3aLLIS3&amp;form=skydnc</v>
    <v>Learn more on Bing</v>
  </rv>
  <rv s="8">
    <v>pt-BR</v>
    <v>apmvm7</v>
    <v>268435456</v>
    <v>1</v>
    <v>Da plataforma Refinitiv</v>
    <v>14</v>
    <v>15</v>
    <v>VESTE S.A. ESTILO (BVMF:VSTE3)</v>
    <v>12</v>
    <v>16</v>
    <v>Finance</v>
    <v>5</v>
    <v>13.9</v>
    <v>5.5</v>
    <v>BVMF</v>
    <v>114333800</v>
    <v>5.94</v>
    <v>1982</v>
    <v>5.94</v>
    <v>1.4754</v>
    <v>B3 - Brazil Stock Exchange</v>
    <v>679142772</v>
    <v>A Veste SA Estilo é uma empresa brasileira que atua principalmente na indústria de moda e varejo. A empresa se concentra no design, desenvolvimento, fabricação e comércio de vestuário e acessórios para mulheres e homens. As marcas de vestuário da empresa incluem Le Lis Blanc Deux, Dudalina, Bo Bo, John John, e Individual, entre outros. Além da moda, a empresa também oferece uma gama de artigos de decoração para casa, artigos de higiene e cosméticos, atendendo a um amplo espetro de necessidades do consumidor. A empresa opera uma rede de distribuição que inclui canais B2C, canais B2B, canais outlet e lojas estrategicamente localizadas em áreas de alto tráfego e alta visibilidade, como centros comerciais e locais de rua proeminentes.</v>
    <v>BVMF</v>
    <v>5.92</v>
    <v>1833</v>
    <v>45884.958391203705</v>
    <v>799</v>
    <v>10990</v>
    <v>BRL</v>
    <v>VESTE S.A. ESTILO</v>
    <v>VESTE S.A. ESTILO</v>
    <v>5.94</v>
    <v>5.94</v>
    <v>Rua Othao 405, Vila Leopoldina, SAO PAULO, SAO PAULO, 05.313-020 BR</v>
    <v>Specialty Retailers</v>
    <v>VSTE3</v>
    <v>Ações</v>
    <v>VESTE S.A. ESTILO (BVMF:VSTE3)</v>
    <v>0.02</v>
    <v>3.3779999999999999E-3</v>
    <v>7000</v>
  </rv>
  <rv s="2">
    <v>800</v>
  </rv>
  <rv s="0">
    <v>https://www.bing.com/financeapi/forcetrigger?t=apmxkr&amp;q=BVMF%3aMGEL4&amp;form=skydnc</v>
    <v>Learn more on Bing</v>
  </rv>
  <rv s="8">
    <v>pt-BR</v>
    <v>apmxkr</v>
    <v>268435456</v>
    <v>1</v>
    <v>Da plataforma Refinitiv</v>
    <v>14</v>
    <v>15</v>
    <v>Mangels Industrial S.A. (BVMF:MGEL4)</v>
    <v>12</v>
    <v>16</v>
    <v>Finance</v>
    <v>5</v>
    <v>13</v>
    <v>3.9</v>
    <v>BVMF</v>
    <v>5783210</v>
    <v>4.9000000000000004</v>
    <v>1928</v>
    <v>4.42</v>
    <v>1.2025999999999999</v>
    <v>B3 - Brazil Stock Exchange</v>
    <v>16721860</v>
    <v>A MANGELS INDUSTRIAL S.A. é uma empresa brasileira dedicada à fabricação de produtos metálicos. A Empresa divide seus negócios em quatro segmentos: Aço, Rodas, Cilindros e Galvanização. No segmento Aço, a Empresa atua na produção de tiras de aço e peças estampadas para os setores automotivo, de eletrodomésticos e de engenharia civil, entre outros. No segmento Rodas, produz rodas de alumínio para fabricantes de componentes automotivos. No segmento Cilindros, a Mangels atua na produção de cilindros para gás liquefeito de petróleo (GLP), ar comprimido e tanques de combustível para caminhões e ônibus. No segmento Galvanização, atua sobretudo na produção de muretas de proteção de rodovias e pisos industriais, bem como na prestação de serviços de galvanização por imersão a quente de peças de aço. Em 1.º de novembro de 2013 a Empresa entrou com um pedido de falência junto ao Distrito da Capital do Estado de São Paulo.</v>
    <v>BVMF</v>
    <v>4.5</v>
    <v>3100</v>
    <v>45884.958333333336</v>
    <v>802</v>
    <v>5530</v>
    <v>BRL</v>
    <v>Mangels Industrial S.A.</v>
    <v>Mangels Industrial S.A.</v>
    <v>4.9000000000000004</v>
    <v>4.5</v>
    <v>Rodovia Fernao Dias, Km 755,6, Distrito Industrial, Tres Coracoes, MINAS GERAIS, 37.418-760 BR</v>
    <v>Metals &amp; Mining</v>
    <v>MGEL4</v>
    <v>Ações</v>
    <v>Mangels Industrial S.A. (BVMF:MGEL4)</v>
    <v>0</v>
    <v>0</v>
    <v>8100</v>
  </rv>
  <rv s="2">
    <v>803</v>
  </rv>
  <rv s="0">
    <v>https://www.bing.com/financeapi/forcetrigger?t=apn91h&amp;q=BVMF%3aRCSL3&amp;form=skydnc</v>
    <v>Learn more on Bing</v>
  </rv>
  <rv s="8">
    <v>pt-BR</v>
    <v>apn91h</v>
    <v>268435456</v>
    <v>1</v>
    <v>Da plataforma Refinitiv</v>
    <v>14</v>
    <v>15</v>
    <v>RECRUSUL S.A. (BVMF:RCSL3)</v>
    <v>12</v>
    <v>16</v>
    <v>Finance</v>
    <v>5</v>
    <v>8.57</v>
    <v>1.75</v>
    <v>BVMF</v>
    <v>31822290</v>
    <v>1.84</v>
    <v>1954</v>
    <v>1.76</v>
    <v>1.4278</v>
    <v>B3 - Brazil Stock Exchange</v>
    <v>41726150</v>
    <v>A RECRUSUL S.A. é uma empresa brasileira que se dedica principalmente à produção de semirreboques e tanques especializados. A Empresa divide seu negócio em dois segmentos: Implementos Rodoviários e Refrigeração Industrial e Assistência Técnica. Por meio do segmento de Implementos Rodoviários, a Empresa atua na produção de semirreboques refrigerados; tanques para transporte de combustíveis; tanques de aço inoxidável para produtos químicos, petroquímicos e alimentos em geral, e silos para indústrias de alimentos, cimento e construção, entre outros. No segmento de Refrigeração e Assistência Técnica, a Empresa atua no fornecimento de soluções customizadas para equipamentos industriais, como evaporadores, separadores e tanques de líquidos, condensadores evaporativos, painéis isolantes, túneis de congelamento e portas isoladas. Em 31 de dezembro de 2011, as subsidiárias da Empresa eram Refrima SA, Refrisa SA e Recrusul Turismo Ltda.</v>
    <v>BVMF</v>
    <v>1.77</v>
    <v>106</v>
    <v>45884.958333333336</v>
    <v>805</v>
    <v>2955130</v>
    <v>BRL</v>
    <v>RECRUSUL S.A.</v>
    <v>RECRUSUL S.A.</v>
    <v>1.82</v>
    <v>1.76</v>
    <v>Av. Luiz Pasteur, 1020, Tres Portos, SAPUCAIA DO SUL, RIO GRANDE DO SUL, 93.212-360 BR</v>
    <v>Automobiles &amp; Auto Parts</v>
    <v>RCSL3</v>
    <v>Ações</v>
    <v>RECRUSUL S.A. (BVMF:RCSL3)</v>
    <v>-0.01</v>
    <v>-5.6499999999999996E-3</v>
    <v>50500</v>
  </rv>
  <rv s="2">
    <v>806</v>
  </rv>
  <rv s="0">
    <v>https://www.bing.com/financeapi/forcetrigger?t=c2vnz2&amp;q=BVMF%3aARML3&amp;form=skydnc</v>
    <v>Learn more on Bing</v>
  </rv>
  <rv s="8">
    <v>pt-BR</v>
    <v>c2vnz2</v>
    <v>268435456</v>
    <v>1</v>
    <v>Da plataforma Refinitiv</v>
    <v>14</v>
    <v>15</v>
    <v>Armac Locação, Logística e Serviços S.A. (BVMF:ARML3)</v>
    <v>12</v>
    <v>16</v>
    <v>Finance</v>
    <v>5</v>
    <v>9.44</v>
    <v>2.95</v>
    <v>BVMF</v>
    <v>346494100</v>
    <v>4.04</v>
    <v>1994</v>
    <v>3.77</v>
    <v>1.3717999999999999</v>
    <v>B3 - Brazil Stock Exchange</v>
    <v>1354791931</v>
    <v>A Armac Locacao Logistica e Servicos SA é uma plataforma de locação de equipamentos multicategoria sediada no Brasil. A Companhia oferece equipamentos de linha amarela, que englobam pás-carregadeiras, escavadeiras hidráulicas, retroescavadeiras, tratores de esteira, minicarregadeiras, motoniveladoras, rolos compactadores, tratores agrícolas, plataformas elevatórias, empilhadeiras e caminhões, entre outros. A Companhia serve uma base de clientes distribuída em 23 Estados brasileiros e no Distrito Federal, nos setores de logística agrícola, agroindustrial, fertilizantes, mineração, papel e celulose, alimentos &amp; bebidas, transportes e infraestrutura. O modelo de negócio da Companhia consiste na conversão da propriedade do equipamento para um serviço prestado ao cliente, em contratos que incluem disponibilidade para manutenção 24 horas por dia no ativo e flexibilidade para devolução ou substituição do equipamento quando o projeto do cliente é finalizado.</v>
    <v>BVMF</v>
    <v>3.9</v>
    <v>6000</v>
    <v>45884.958391203705</v>
    <v>808</v>
    <v>1165500</v>
    <v>BRL</v>
    <v>Armac Locação, Logística e Serviços S.A.</v>
    <v>Armac Locação, Logística e Serviços S.A.</v>
    <v>3.9</v>
    <v>3.91</v>
    <v>Av. Marcos Penteado de Ulhoa Rodrigues, 939, Conj. 701 e 702 Torre II, Ed. Jatoba, Tambore, BARUERI, SAO PAULO, 06.460-040 BR</v>
    <v>Professional &amp; Commercial Services</v>
    <v>ARML3</v>
    <v>Ações</v>
    <v>Armac Locação, Logística e Serviços S.A. (BVMF:ARML3)</v>
    <v>0.01</v>
    <v>2.5640000000000003E-3</v>
    <v>1058700</v>
  </rv>
  <rv s="2">
    <v>809</v>
  </rv>
  <rv s="0">
    <v>https://www.bing.com/financeapi/forcetrigger?t=az8xkr&amp;q=BVMF%3aATMP3&amp;form=skydnc</v>
    <v>Learn more on Bing</v>
  </rv>
  <rv s="8">
    <v>pt-BR</v>
    <v>az8xkr</v>
    <v>268435456</v>
    <v>1</v>
    <v>Da plataforma Refinitiv</v>
    <v>14</v>
    <v>15</v>
    <v>ATMA Participações S.A. - Em Recuperação Judicial (BVMF:CTAX3)</v>
    <v>12</v>
    <v>16</v>
    <v>Finance</v>
    <v>5</v>
    <v>1.7</v>
    <v>0.95</v>
    <v>BVMF</v>
    <v>26710360</v>
    <v>1.02</v>
    <v>2000</v>
    <v>0.99</v>
    <v>1.7172000000000001</v>
    <v>B3 - Brazil Stock Exchange</v>
    <v>27244567</v>
    <v>ATMA Participações SA em Recuperacao Judicial, anteriormente Liq Participações SA é uma holding brasileira. As atividades da Companhia são realizadas através de dois segmentos operacionais: Atendimento ao Cliente e Manutenção Industrial. O segmento de Atendimento ao Cliente compreende a Contax SA, fornecedora de soluções de gerenciamento de relacionamento com o cliente (CRM) e serviços de Business Process Outsourcing (BPO). O segmento de Manutenção Industrial compreende a Elfe Operacao e Manutencao SA, que oferece um portfólio completo de operações, manutenção industrial e serviços de instalações, prestando serviços em plantas industriais e outras instalações. A ATMA Participações é também responsável pela prestação de serviços de tecnologia, através da Solvian Tecnologia e Integracao Eireli - uma empresa tecnológica que possibilita maior eficiência e qualidade operacional para seus clientes através de soluções e insights on-line, utilizando inteligência artificial e análise.</v>
    <v>BVMF</v>
    <v>1.01</v>
    <v>57370</v>
    <v>45884.958333333336</v>
    <v>811</v>
    <v>2130</v>
    <v>BRL</v>
    <v>ATMA Participações S.A. - Em Recuperação Judicial</v>
    <v>ATMA Participações S.A. - Em Recuperação Judicial</v>
    <v>1.01</v>
    <v>1.02</v>
    <v>Rua Beneditinos, n. 15/17, Parte, Centro, RIO DE JANEIRO, RIO DE JANEIRO, 20.081-050 BR</v>
    <v>Professional &amp; Commercial Services</v>
    <v>CTAX3</v>
    <v>Ações</v>
    <v>ATMA Participações S.A. - Em Recuperação Judicial (BVMF:CTAX3)</v>
    <v>0.01</v>
    <v>9.9010000000000001E-3</v>
    <v>5100</v>
  </rv>
  <rv s="2">
    <v>812</v>
  </rv>
  <rv s="4">
    <v>12</v>
    <v>Preço</v>
    <v>0</v>
  </rv>
  <rv s="4">
    <v>12</v>
    <v>Volume</v>
    <v>0</v>
  </rv>
  <rv s="4">
    <v>12</v>
    <v>Variação (%)</v>
    <v>0</v>
  </rv>
  <rv s="4">
    <v>12</v>
    <v>Baixo</v>
    <v>0</v>
  </rv>
  <rv s="4">
    <v>12</v>
    <v>Alto</v>
    <v>0</v>
  </rv>
  <rv s="4">
    <v>12</v>
    <v>Fechamento anterior</v>
    <v>0</v>
  </rv>
  <rv s="0">
    <v>https://www.bing.com/financeapi/forcetrigger?t=apnetc&amp;q=BVMF%3aTAEE3&amp;form=skydnc</v>
    <v>Learn more on Bing</v>
  </rv>
  <rv s="8">
    <v>pt-BR</v>
    <v>apnetc</v>
    <v>268435456</v>
    <v>1</v>
    <v>Da plataforma Refinitiv</v>
    <v>14</v>
    <v>15</v>
    <v>Transmissora Aliança de Energia Elétrica S/A (BVMF:TAEE3)</v>
    <v>12</v>
    <v>16</v>
    <v>Finance</v>
    <v>5</v>
    <v>12.19</v>
    <v>10.17</v>
    <v>BVMF</v>
    <v>344498900</v>
    <v>11.28</v>
    <v>2006</v>
    <v>11.12</v>
    <v>0.71150000000000002</v>
    <v>B3 - Brazil Stock Exchange</v>
    <v>11482150000</v>
    <v>Transmissora Alianca de Energia Elétrica S/A, anteriormente Terna Participações SA é uma empresa brasileira de energia. Opera através de um segmento operacional - a transmissão de energia elétrica. A Empresa dedica-se exclusivamente à construção, operação e manutenção de ativos de transmissão. O portfólio da Transmissora Alianca de Energia Eletrica inclui mais de 14 000 km de linhas em operação e mais de 110 subestações. Além disso, possui ativos em operação com tensões entre 230 e 525kV e está presente em todas as 5 regiões do Brasil. A Companhia possui inúmeras subsidiárias, como a Brasnorte Transmissora de Energia S/A, a Ananai Transmissora de Energia Elétrica S/A e a Companhia Transudeste de Transmissao.</v>
    <v>BVMF</v>
    <v>11.15</v>
    <v>854</v>
    <v>45884.958333333336</v>
    <v>820</v>
    <v>2357510</v>
    <v>BRL</v>
    <v>Transmissora Aliança de Energia Elétrica S/A</v>
    <v>Transmissora Aliança de Energia Elétrica S/A</v>
    <v>11.19</v>
    <v>11.19</v>
    <v>Av. das Americas, 2480 Bloco 6, Barra da Tijuca, RIO DE JANEIRO, RIO DE JANEIRO, 22.640-101 BR</v>
    <v>Electrical Utilities &amp; IPPs</v>
    <v>TAEE3</v>
    <v>Ações</v>
    <v>Transmissora Aliança de Energia Elétrica S/A (BVMF:TAEE3)</v>
    <v>0.04</v>
    <v>3.5870000000000003E-3</v>
    <v>88500</v>
  </rv>
  <rv s="2">
    <v>821</v>
  </rv>
</rvData>
</file>

<file path=xl/richData/rdrichvaluestructure.xml><?xml version="1.0" encoding="utf-8"?>
<rvStructures xmlns="http://schemas.microsoft.com/office/spreadsheetml/2017/richdata" count="18">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eta"/>
    <k n="Bolsa" t="s"/>
    <k n="Capitalização de mercado"/>
    <k n="Fechamento anterior"/>
    <k n="Hora da última transação"/>
    <k n="LearnMoreOnLink" t="r"/>
    <k n="Moeda" t="s"/>
    <k n="Nome" t="s"/>
    <k n="Pendência"/>
    <k n="Preço"/>
    <k n="Símbolo do ticker" t="s"/>
    <k n="Tipo de instrumento" t="s"/>
    <k n="UniqueName" t="s"/>
    <k n="Variação"/>
    <k n="Variação (%)"/>
    <k n="Volume"/>
  </s>
  <s t="_linkedentity">
    <k n="%cvi" t="r"/>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lto"/>
    <k n="Baixo"/>
    <k n="Fechamento anterior"/>
    <k n="LearnMoreOnLink" t="r"/>
    <k n="Nome" t="s"/>
    <k n="País/região" t="s"/>
    <k n="Pendência"/>
    <k n="Preço"/>
    <k n="Símbolo do ticker" t="s"/>
    <k n="Tipo de instrumento" t="s"/>
    <k n="UniqueName" t="s"/>
    <k n="Variação"/>
    <k n="Variação (%)"/>
  </s>
  <s t="_error">
    <k n="errorType" t="i"/>
    <k n="field" t="s"/>
    <k n="subType" t="i"/>
  </s>
  <s t="_error">
    <k n="errorType" t="i"/>
    <k n="subType" t="i"/>
  </s>
  <s t="_error">
    <k n="errorType" t="i"/>
    <k n="propagated" t="b"/>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Hora da última transação"/>
    <k n="LearnMoreOnLink" t="r"/>
    <k n="Média de volume"/>
    <k n="Moeda" t="s"/>
    <k n="Nome" t="s"/>
    <k n="Nome oficial" t="s"/>
    <k n="Pendência"/>
    <k n="Preço"/>
    <k n="Sede" t="s"/>
    <k n="Setor" t="s"/>
    <k n="Símbolo do ticker" t="s"/>
    <k n="Tipo de instrumento" t="s"/>
    <k n="UniqueName" t="s"/>
    <k n="Variação"/>
    <k n="Variação (%)"/>
    <k n="Volume"/>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Imagem" t="r"/>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Baixo"/>
    <k n="Beta"/>
    <k n="Bolsa" t="s"/>
    <k n="Capitalização de mercado"/>
    <k n="Descrição" t="s"/>
    <k n="ExchangeID" t="s"/>
    <k n="Fechamento anterior"/>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olsa" t="s"/>
    <k n="Capitalização de mercado"/>
    <k n="Descrição" t="s"/>
    <k n="ExchangeID" t="s"/>
    <k n="Fechamento anterior"/>
    <k n="Funcionários"/>
    <k n="Hora da última transação"/>
    <k n="LearnMoreOnLink" t="r"/>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olsa" t="s"/>
    <k n="Capitalização de mercado"/>
    <k n="Fechamento anterior"/>
    <k n="Hora da última transação"/>
    <k n="Moeda" t="s"/>
    <k n="Nome" t="s"/>
    <k n="Pendência"/>
    <k n="Preço"/>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Hora da última transação"/>
    <k n="LearnMoreOnLink" t="r"/>
    <k n="Moeda" t="s"/>
    <k n="Nome" t="s"/>
    <k n="Nome oficial" t="s"/>
    <k n="Pendência"/>
    <k n="Preço"/>
    <k n="Sede" t="s"/>
    <k n="Setor" t="s"/>
    <k n="Símbolo do ticker" t="s"/>
    <k n="Tipo de instrumento" t="s"/>
    <k n="UniqueName" t="s"/>
    <k n="Variação"/>
    <k n="Variação (%)"/>
    <k n="Volume"/>
  </s>
</rvStructures>
</file>

<file path=xl/richData/rdsupportingpropertybag.xml><?xml version="1.0" encoding="utf-8"?>
<supportingPropertyBags xmlns="http://schemas.microsoft.com/office/spreadsheetml/2017/richdata2">
  <spbArrays count="11">
    <a count="33">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Beta</v>
      <v t="s">Tipo de instrumento</v>
      <v t="s">_Flags</v>
      <v t="s">UniqueName</v>
      <v t="s">_DisplayString</v>
      <v t="s">LearnMoreOnLink</v>
      <v t="s">%ProviderInfo</v>
    </a>
    <a count="27">
      <v t="s">%EntityServiceId</v>
      <v t="s">_Format</v>
      <v t="s">%IsRefreshable</v>
      <v t="s">_CanonicalPropertyNames</v>
      <v t="s">%EntityCulture</v>
      <v t="s">%EntityId</v>
      <v t="s">_Icon</v>
      <v t="s">_Display</v>
      <v t="s">Nome</v>
      <v t="s">Preço</v>
      <v t="s">Símbolo do ticker</v>
      <v t="s">_SubLabel</v>
      <v t="s">Variação</v>
      <v t="s">Variação (%)</v>
      <v t="s">País/região</v>
      <v t="s">Fechamento anterior</v>
      <v t="s">Pendência</v>
      <v t="s">Alto</v>
      <v t="s">Baixo</v>
      <v t="s">52 semanas de alta</v>
      <v t="s">52 semanas de baixa</v>
      <v t="s">Tipo de instrumento</v>
      <v t="s">_Flags</v>
      <v t="s">UniqueName</v>
      <v t="s">_DisplayString</v>
      <v t="s">LearnMoreOnLink</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42">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Sede</v>
      <v t="s">Setor</v>
      <v t="s">Tipo de instrumento</v>
      <v t="s">Ano de incorporação</v>
      <v t="s">_Flags</v>
      <v t="s">UniqueName</v>
      <v t="s">_DisplayString</v>
      <v t="s">LearnMoreOnLink</v>
      <v t="s">ExchangeID</v>
      <v t="s">%ProviderInfo</v>
    </a>
    <a count="43">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Imagem</v>
      <v t="s">ExchangeID</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_Flags</v>
      <v t="s">UniqueName</v>
      <v t="s">_DisplayString</v>
      <v t="s">LearnMoreOnLink</v>
      <v t="s">ExchangeID</v>
      <v t="s">%ProviderInfo</v>
    </a>
    <a count="40">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Sede</v>
      <v t="s">Setor</v>
      <v t="s">Tipo de instrumento</v>
      <v t="s">_Flags</v>
      <v t="s">UniqueName</v>
      <v t="s">_DisplayString</v>
      <v t="s">LearnMoreOnLink</v>
      <v t="s">ExchangeID</v>
      <v t="s">%ProviderInfo</v>
    </a>
    <a count="40">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Ações em circulação</v>
      <v t="s">Descrição</v>
      <v t="s">Funcionários</v>
      <v t="s">Sede</v>
      <v t="s">Setor</v>
      <v t="s">Tipo de instrumento</v>
      <v t="s">Ano de incorporação</v>
      <v t="s">_Flags</v>
      <v t="s">UniqueName</v>
      <v t="s">_DisplayString</v>
      <v t="s">LearnMoreOnLink</v>
      <v t="s">ExchangeID</v>
      <v t="s">%ProviderInfo</v>
    </a>
    <a count="31">
      <v t="s">%EntityServiceId</v>
      <v t="s">_Format</v>
      <v t="s">%IsRefreshable</v>
      <v t="s">_CanonicalPropertyNames</v>
      <v t="s">%EntityCulture</v>
      <v t="s">%EntityId</v>
      <v t="s">_Icon</v>
      <v t="s">_Display</v>
      <v t="s">Nome</v>
      <v t="s">Preço</v>
      <v t="s">Bolsa</v>
      <v t="s">_SubLabel</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Tipo de instrumento</v>
      <v t="s">_Flags</v>
      <v t="s">UniqueName</v>
      <v t="s">_DisplayString</v>
      <v t="s">%ProviderInfo</v>
    </a>
    <a count="40">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Beta</v>
      <v t="s">Ações em circulação</v>
      <v t="s">Descrição</v>
      <v t="s">Sede</v>
      <v t="s">Setor</v>
      <v t="s">Tipo de instrumento</v>
      <v t="s">Ano de incorporação</v>
      <v t="s">_Flags</v>
      <v t="s">UniqueName</v>
      <v t="s">_DisplayString</v>
      <v t="s">LearnMoreOnLink</v>
      <v t="s">ExchangeID</v>
      <v t="s">%ProviderInfo</v>
    </a>
  </spbArrays>
  <spbData count="43">
    <spb s="0">
      <v>High</v>
      <v>Beta</v>
      <v>Name</v>
      <v>Low</v>
      <v>Exchange</v>
      <v>Currency</v>
      <v>Price</v>
      <v>Volume</v>
      <v>Change</v>
      <v>Open</v>
      <v>UniqueName</v>
      <v>Change (%)</v>
      <v>%ProviderInfo</v>
      <v>LearnMoreOnLink</v>
      <v>Ticker symbol</v>
      <v>52 week high</v>
      <v>52 week low</v>
      <v>Previous close</v>
      <v>Instrument type</v>
      <v>Exchange abbreviation</v>
      <v>Market cap</v>
      <v>Last trade time</v>
    </spb>
    <spb s="1">
      <v>0</v>
      <v>Name</v>
      <v>LearnMoreOnLink</v>
    </spb>
    <spb s="2">
      <v>0</v>
      <v>0</v>
      <v>0</v>
    </spb>
    <spb s="3">
      <v>2</v>
      <v>2</v>
      <v>2</v>
    </spb>
    <spb s="4">
      <v>1</v>
      <v>2</v>
      <v>3</v>
      <v>1</v>
      <v>1</v>
      <v>4</v>
      <v>1</v>
      <v>1</v>
      <v>5</v>
      <v>6</v>
      <v>1</v>
      <v>1</v>
      <v>1</v>
      <v>7</v>
      <v>8</v>
    </spb>
    <spb s="5">
      <v>Atraso de 30 minutos</v>
      <v xml:space="preserve">do fechamento anterior </v>
      <v xml:space="preserve">do fechamento anterior </v>
      <v>GMT</v>
    </spb>
    <spb s="6">
      <v>High</v>
      <v>Name</v>
      <v>Low</v>
      <v>Price</v>
      <v>Change</v>
      <v>Open</v>
      <v>UniqueName</v>
      <v>Country/region</v>
      <v>Change (%)</v>
      <v>%ProviderInfo</v>
      <v>LearnMoreOnLink</v>
      <v>Ticker symbol</v>
      <v>52 week high</v>
      <v>52 week low</v>
      <v>Previous close</v>
      <v>Instrument type</v>
    </spb>
    <spb s="1">
      <v>1</v>
      <v>Name</v>
      <v>LearnMoreOnLink</v>
    </spb>
    <spb s="7">
      <v>1</v>
      <v>3</v>
      <v>1</v>
      <v>1</v>
      <v>1</v>
      <v>1</v>
      <v>5</v>
      <v>6</v>
      <v>1</v>
      <v>1</v>
      <v>1</v>
    </spb>
    <spb s="8">
      <v xml:space="preserve">do fechamento anterior </v>
      <v xml:space="preserve">do fechamento anterior </v>
    </spb>
    <spb s="9">
      <v>High</v>
      <v>Beta</v>
      <v>Name</v>
      <v>Headquarters</v>
      <v>Low</v>
      <v>Exchange</v>
      <v>Currency</v>
      <v>Price</v>
      <v>Industry</v>
      <v>Volume</v>
      <v>Change</v>
      <v>Description</v>
      <v>Open</v>
      <v>ExchangeID</v>
      <v>UniqueName</v>
      <v>Employees</v>
      <v>Official name</v>
      <v>Change (%)</v>
      <v>%ProviderInfo</v>
      <v>LearnMoreOnLink</v>
      <v>Ticker symbol</v>
      <v>52 week high</v>
      <v>52 week low</v>
      <v>Year incorporated</v>
      <v>Shares outstanding</v>
      <v>Previous close</v>
      <v>Instrument type</v>
      <v>Exchange abbreviation</v>
      <v>Market cap</v>
      <v>Last trade time</v>
    </spb>
    <spb s="1">
      <v>2</v>
      <v>Name</v>
      <v>LearnMoreOnLink</v>
    </spb>
    <spb s="10">
      <v>2</v>
      <v>2</v>
      <v>2</v>
      <v>2</v>
    </spb>
    <spb s="11">
      <v>1</v>
      <v>2</v>
      <v>3</v>
      <v>1</v>
      <v>1</v>
      <v>4</v>
      <v>1</v>
      <v>1</v>
      <v>4</v>
      <v>5</v>
      <v>6</v>
      <v>1</v>
      <v>1</v>
      <v>9</v>
      <v>4</v>
      <v>1</v>
      <v>7</v>
      <v>8</v>
    </spb>
    <spb s="12">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3</v>
      <v>Name</v>
      <v>LearnMoreOnLink</v>
    </spb>
    <spb s="13">
      <v>1</v>
      <v>2</v>
      <v>3</v>
      <v>1</v>
      <v>1</v>
      <v>4</v>
      <v>1</v>
      <v>1</v>
      <v>4</v>
      <v>5</v>
      <v>4</v>
      <v>6</v>
      <v>1</v>
      <v>1</v>
      <v>9</v>
      <v>4</v>
      <v>1</v>
      <v>7</v>
      <v>8</v>
    </spb>
    <spb s="14">
      <v>High</v>
      <v>Beta</v>
      <v>Name</v>
      <v>Headquarters</v>
      <v>Low</v>
      <v>Exchange</v>
      <v>Currency</v>
      <v>Price</v>
      <v>Industry</v>
      <v>Volume</v>
      <v>Change</v>
      <v>Description</v>
      <v>Open</v>
      <v>ExchangeID</v>
      <v>UniqueName</v>
      <v>Official name</v>
      <v>Change (%)</v>
      <v>%ProviderInfo</v>
      <v>LearnMoreOnLink</v>
      <v>Volume average</v>
      <v>Ticker symbol</v>
      <v>52 week high</v>
      <v>52 week low</v>
      <v>Year incorporated</v>
      <v>Shares outstanding</v>
      <v>Previous close</v>
      <v>Instrument type</v>
      <v>Exchange abbreviation</v>
      <v>Market cap</v>
      <v>Last trade time</v>
    </spb>
    <spb s="1">
      <v>4</v>
      <v>Name</v>
      <v>LearnMoreOnLink</v>
    </spb>
    <spb s="15">
      <v>1</v>
      <v>2</v>
      <v>3</v>
      <v>1</v>
      <v>1</v>
      <v>4</v>
      <v>1</v>
      <v>1</v>
      <v>5</v>
      <v>4</v>
      <v>6</v>
      <v>1</v>
      <v>1</v>
      <v>9</v>
      <v>4</v>
      <v>1</v>
      <v>7</v>
      <v>8</v>
    </spb>
    <spb s="16">
      <v>High</v>
      <v>Beta</v>
      <v>Name</v>
      <v>Headquarters</v>
      <v>Low</v>
      <v>Exchange</v>
      <v>Currency</v>
      <v>Price</v>
      <v>Industry</v>
      <v>Image</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5</v>
      <v>Name</v>
      <v>LearnMoreOnLink</v>
    </spb>
    <spb s="17">
      <v>0</v>
      <v>0</v>
    </spb>
    <spb s="18">
      <v>22</v>
      <v>2</v>
      <v>2</v>
      <v>2</v>
      <v>2</v>
    </spb>
    <spb s="19">
      <v>1</v>
      <v>2</v>
      <v>3</v>
      <v>1</v>
      <v>1</v>
      <v>10</v>
      <v>4</v>
      <v>1</v>
      <v>1</v>
      <v>4</v>
      <v>5</v>
      <v>4</v>
      <v>6</v>
      <v>1</v>
      <v>1</v>
      <v>9</v>
      <v>4</v>
      <v>1</v>
      <v>7</v>
      <v>8</v>
    </spb>
    <spb s="20">
      <v>Da plataforma Refinitiv</v>
    </spb>
    <spb s="21">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Shares outstanding</v>
      <v>Previous close</v>
      <v>Instrument type</v>
      <v>Exchange abbreviation</v>
      <v>Market cap</v>
      <v>Last trade time</v>
    </spb>
    <spb s="1">
      <v>6</v>
      <v>Name</v>
      <v>LearnMoreOnLink</v>
    </spb>
    <spb s="22">
      <v>1</v>
      <v>2</v>
      <v>3</v>
      <v>1</v>
      <v>1</v>
      <v>4</v>
      <v>1</v>
      <v>1</v>
      <v>4</v>
      <v>5</v>
      <v>4</v>
      <v>6</v>
      <v>1</v>
      <v>1</v>
      <v>4</v>
      <v>1</v>
      <v>7</v>
      <v>8</v>
    </spb>
    <spb s="23">
      <v>High</v>
      <v>Beta</v>
      <v>Name</v>
      <v>Headquarters</v>
      <v>Low</v>
      <v>Exchange</v>
      <v>Currency</v>
      <v>Price</v>
      <v>Industry</v>
      <v>Volume</v>
      <v>Change</v>
      <v>Description</v>
      <v>Open</v>
      <v>ExchangeID</v>
      <v>UniqueName</v>
      <v>Official name</v>
      <v>Change (%)</v>
      <v>%ProviderInfo</v>
      <v>LearnMoreOnLink</v>
      <v>Volume average</v>
      <v>Ticker symbol</v>
      <v>52 week high</v>
      <v>52 week low</v>
      <v>Shares outstanding</v>
      <v>Previous close</v>
      <v>Instrument type</v>
      <v>Exchange abbreviation</v>
      <v>Market cap</v>
      <v>Last trade time</v>
    </spb>
    <spb s="1">
      <v>7</v>
      <v>Name</v>
      <v>LearnMoreOnLink</v>
    </spb>
    <spb s="24">
      <v>1</v>
      <v>2</v>
      <v>3</v>
      <v>1</v>
      <v>1</v>
      <v>4</v>
      <v>1</v>
      <v>1</v>
      <v>5</v>
      <v>4</v>
      <v>6</v>
      <v>1</v>
      <v>1</v>
      <v>4</v>
      <v>1</v>
      <v>7</v>
      <v>8</v>
    </spb>
    <spb s="25">
      <v>High</v>
      <v>Name</v>
      <v>Headquarters</v>
      <v>Low</v>
      <v>Exchange</v>
      <v>Currency</v>
      <v>Price</v>
      <v>Industry</v>
      <v>Volume</v>
      <v>Change</v>
      <v>Description</v>
      <v>Open</v>
      <v>ExchangeID</v>
      <v>UniqueName</v>
      <v>Employees</v>
      <v>Official name</v>
      <v>Change (%)</v>
      <v>%ProviderInfo</v>
      <v>LearnMoreOnLink</v>
      <v>Ticker symbol</v>
      <v>52 week high</v>
      <v>52 week low</v>
      <v>Year incorporated</v>
      <v>Shares outstanding</v>
      <v>Previous close</v>
      <v>Instrument type</v>
      <v>Exchange abbreviation</v>
      <v>Market cap</v>
      <v>Last trade time</v>
    </spb>
    <spb s="1">
      <v>8</v>
      <v>Name</v>
      <v>LearnMoreOnLink</v>
    </spb>
    <spb s="26">
      <v>1</v>
      <v>3</v>
      <v>1</v>
      <v>1</v>
      <v>4</v>
      <v>1</v>
      <v>1</v>
      <v>4</v>
      <v>5</v>
      <v>6</v>
      <v>1</v>
      <v>1</v>
      <v>9</v>
      <v>4</v>
      <v>1</v>
      <v>7</v>
      <v>8</v>
    </spb>
    <spb s="27">
      <v>High</v>
      <v>Name</v>
      <v>Low</v>
      <v>Exchange</v>
      <v>Currency</v>
      <v>Price</v>
      <v>Volume</v>
      <v>Change</v>
      <v>Open</v>
      <v>UniqueName</v>
      <v>Change (%)</v>
      <v>%ProviderInfo</v>
      <v>Ticker symbol</v>
      <v>52 week high</v>
      <v>52 week low</v>
      <v>Previous close</v>
      <v>Instrument type</v>
      <v>Exchange abbreviation</v>
      <v>Market cap</v>
      <v>Last trade time</v>
    </spb>
    <spb s="28">
      <v>9</v>
      <v>Name</v>
    </spb>
    <spb s="29">
      <v>2</v>
      <v>2</v>
    </spb>
    <spb s="30">
      <v>11</v>
      <v>3</v>
      <v>11</v>
      <v>11</v>
      <v>4</v>
      <v>11</v>
      <v>11</v>
      <v>5</v>
      <v>6</v>
      <v>11</v>
      <v>11</v>
      <v>11</v>
      <v>12</v>
      <v>8</v>
    </spb>
    <spb s="31">
      <v xml:space="preserve">do fechamento anterior </v>
      <v xml:space="preserve">do fechamento anterior </v>
      <v>GMT</v>
    </spb>
    <spb s="32">
      <v>High</v>
      <v>Beta</v>
      <v>Name</v>
      <v>Headquarters</v>
      <v>Low</v>
      <v>Exchange</v>
      <v>Currency</v>
      <v>Price</v>
      <v>Industry</v>
      <v>Volume</v>
      <v>Change</v>
      <v>Description</v>
      <v>Open</v>
      <v>ExchangeID</v>
      <v>UniqueName</v>
      <v>Official name</v>
      <v>Change (%)</v>
      <v>%ProviderInfo</v>
      <v>LearnMoreOnLink</v>
      <v>Ticker symbol</v>
      <v>52 week high</v>
      <v>52 week low</v>
      <v>Year incorporated</v>
      <v>Shares outstanding</v>
      <v>Previous close</v>
      <v>Instrument type</v>
      <v>Exchange abbreviation</v>
      <v>Market cap</v>
      <v>Last trade time</v>
    </spb>
    <spb s="1">
      <v>10</v>
      <v>Name</v>
      <v>LearnMoreOnLink</v>
    </spb>
    <spb s="33">
      <v>1</v>
      <v>2</v>
      <v>3</v>
      <v>1</v>
      <v>1</v>
      <v>4</v>
      <v>1</v>
      <v>1</v>
      <v>5</v>
      <v>6</v>
      <v>1</v>
      <v>1</v>
      <v>9</v>
      <v>4</v>
      <v>1</v>
      <v>7</v>
      <v>8</v>
    </spb>
  </spbData>
</supportingPropertyBags>
</file>

<file path=xl/richData/rdsupportingpropertybagstructure.xml><?xml version="1.0" encoding="utf-8"?>
<spbStructures xmlns="http://schemas.microsoft.com/office/spreadsheetml/2017/richdata2" count="34">
  <s>
    <k n="Alto" t="s"/>
    <k n="Beta" t="s"/>
    <k n="Nome" t="s"/>
    <k n="Baixo" t="s"/>
    <k n="Bolsa" t="s"/>
    <k n="Moeda" t="s"/>
    <k n="Preço" t="s"/>
    <k n="Volume" t="s"/>
    <k n="Variação" t="s"/>
    <k n="Pendência" t="s"/>
    <k n="UniqueName" t="s"/>
    <k n="Variação (%)" t="s"/>
    <k n="%ProviderInfo" t="s"/>
    <k n="LearnMoreOnLink" t="s"/>
    <k n="Símbolo do ticker" t="s"/>
    <k n="52 semanas de alta" t="s"/>
    <k n="52 semanas de baixa" t="s"/>
    <k n="Fechamento anterior" t="s"/>
    <k n="Tipo de instrumento" t="s"/>
    <k n="Abreviatura do câmbio" t="s"/>
    <k n="Capitalização de mercado" t="s"/>
    <k n="Hora da última transação" t="s"/>
  </s>
  <s>
    <k n="^Order" t="spba"/>
    <k n="TitleProperty" t="s"/>
    <k n="SubTitleProperty" t="s"/>
  </s>
  <s>
    <k n="ShowInCardView" t="b"/>
    <k n="ShowInDotNotation" t="b"/>
    <k n="ShowInAutoComplete" t="b"/>
  </s>
  <s>
    <k n="UniqueName" t="spb"/>
    <k n="`%ProviderInfo" t="spb"/>
    <k n="LearnMoreOnLink" t="spb"/>
  </s>
  <s>
    <k n="Alto" t="i"/>
    <k n="Beta" t="i"/>
    <k n="Nome" t="i"/>
    <k n="Baixo" t="i"/>
    <k n="Preço" t="i"/>
    <k n="Volume" t="i"/>
    <k n="Variação" t="i"/>
    <k n="Pendência" t="i"/>
    <k n="Variação (%)" t="i"/>
    <k n="`%EntityServiceId" t="i"/>
    <k n="52 semanas de alta" t="i"/>
    <k n="52 semanas de baixa" t="i"/>
    <k n="Fechamento anterior" t="i"/>
    <k n="Capitalização de mercado" t="i"/>
    <k n="Hora da última transação" t="i"/>
  </s>
  <s>
    <k n="Preço" t="s"/>
    <k n="Variação" t="s"/>
    <k n="Variação (%)" t="s"/>
    <k n="Hora da última transação" t="s"/>
  </s>
  <s>
    <k n="Alto" t="s"/>
    <k n="Nome" t="s"/>
    <k n="Baixo" t="s"/>
    <k n="Preço" t="s"/>
    <k n="Variação" t="s"/>
    <k n="Pendência" t="s"/>
    <k n="UniqueName" t="s"/>
    <k n="País/região" t="s"/>
    <k n="Variação (%)" t="s"/>
    <k n="%ProviderInfo" t="s"/>
    <k n="LearnMoreOnLink" t="s"/>
    <k n="Símbolo do ticker" t="s"/>
    <k n="52 semanas de alta" t="s"/>
    <k n="52 semanas de baixa" t="s"/>
    <k n="Fechamento anterior" t="s"/>
    <k n="Tipo de instrumento" t="s"/>
  </s>
  <s>
    <k n="Alto" t="i"/>
    <k n="Nome" t="i"/>
    <k n="Baixo" t="i"/>
    <k n="Preço" t="i"/>
    <k n="Variação" t="i"/>
    <k n="Pendência" t="i"/>
    <k n="Variação (%)" t="i"/>
    <k n="`%EntityServiceId" t="i"/>
    <k n="52 semanas de alta" t="i"/>
    <k n="52 semanas de baixa" t="i"/>
    <k n="Fechamento anterior" t="i"/>
  </s>
  <s>
    <k n="Variação" t="s"/>
    <k n="Variação (%)" t="s"/>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ExchangeID" t="spb"/>
    <k n="UniqueName" t="spb"/>
    <k n="`%ProviderInfo" t="spb"/>
    <k n="LearnMoreOnLink" t="spb"/>
  </s>
  <s>
    <k n="Alto" t="i"/>
    <k n="Beta" t="i"/>
    <k n="Nome" t="i"/>
    <k n="Baixo" t="i"/>
    <k n="Preço" t="i"/>
    <k n="Volume" t="i"/>
    <k n="Variação" t="i"/>
    <k n="Pendência" t="i"/>
    <k n="Funcionários" t="i"/>
    <k n="Variação (%)"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Média de volume"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Imagem"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ShowInDotNotation" t="b"/>
    <k n="ShowInAutoComplete" t="b"/>
  </s>
  <s>
    <k n="Imagem" t="spb"/>
    <k n="ExchangeID" t="spb"/>
    <k n="UniqueName" t="spb"/>
    <k n="`%ProviderInfo" t="spb"/>
    <k n="LearnMoreOnLink" t="spb"/>
  </s>
  <s>
    <k n="Alto" t="i"/>
    <k n="Beta" t="i"/>
    <k n="Nome" t="i"/>
    <k n="Baixo" t="i"/>
    <k n="Preço" t="i"/>
    <k n="Imagem"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name" t="s"/>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Funcionários" t="i"/>
    <k n="Variação (%)" t="i"/>
    <k n="Média de volume" t="i"/>
    <k n="`%EntityServiceId" t="i"/>
    <k n="52 semanas de alta" t="i"/>
    <k n="52 semanas de baixa" t="i"/>
    <k n="Ações em circulação"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Média de volume" t="s"/>
    <k n="Símbolo do ticker" t="s"/>
    <k n="52 semanas de alta" t="s"/>
    <k n="52 semanas de baixa"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Média de volume" t="i"/>
    <k n="`%EntityServiceId" t="i"/>
    <k n="52 semanas de alta" t="i"/>
    <k n="52 semanas de baixa" t="i"/>
    <k n="Ações em circulação" t="i"/>
    <k n="Fechamento anterior" t="i"/>
    <k n="Capitalização de mercado" t="i"/>
    <k n="Hora da última transação" t="i"/>
  </s>
  <s>
    <k n="Alto"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Nome" t="i"/>
    <k n="Baixo" t="i"/>
    <k n="Preço" t="i"/>
    <k n="Volume" t="i"/>
    <k n="Variação" t="i"/>
    <k n="Pendência" t="i"/>
    <k n="Funcionários" t="i"/>
    <k n="Variação (%)" t="i"/>
    <k n="`%EntityServiceId" t="i"/>
    <k n="52 semanas de alta" t="i"/>
    <k n="52 semanas de baixa" t="i"/>
    <k n="Ano de incorporação" t="i"/>
    <k n="Ações em circulação" t="i"/>
    <k n="Fechamento anterior" t="i"/>
    <k n="Capitalização de mercado" t="i"/>
    <k n="Hora da última transação" t="i"/>
  </s>
  <s>
    <k n="Alto" t="s"/>
    <k n="Nome" t="s"/>
    <k n="Baixo" t="s"/>
    <k n="Bolsa" t="s"/>
    <k n="Moeda" t="s"/>
    <k n="Preço" t="s"/>
    <k n="Volume" t="s"/>
    <k n="Variação" t="s"/>
    <k n="Pendência" t="s"/>
    <k n="UniqueName" t="s"/>
    <k n="Variação (%)" t="s"/>
    <k n="%ProviderInfo" t="s"/>
    <k n="Símbolo do ticker" t="s"/>
    <k n="52 semanas de alta" t="s"/>
    <k n="52 semanas de baixa" t="s"/>
    <k n="Fechamento anterior" t="s"/>
    <k n="Tipo de instrumento" t="s"/>
    <k n="Abreviatura do câmbio" t="s"/>
    <k n="Capitalização de mercado" t="s"/>
    <k n="Hora da última transação" t="s"/>
  </s>
  <s>
    <k n="^Order" t="spba"/>
    <k n="TitleProperty" t="s"/>
  </s>
  <s>
    <k n="UniqueName" t="spb"/>
    <k n="`%ProviderInfo" t="spb"/>
  </s>
  <s>
    <k n="Alto" t="i"/>
    <k n="Nome" t="i"/>
    <k n="Baixo" t="i"/>
    <k n="Preço" t="i"/>
    <k n="Volume" t="i"/>
    <k n="Variação" t="i"/>
    <k n="Pendência" t="i"/>
    <k n="Variação (%)" t="i"/>
    <k n="`%EntityServiceId" t="i"/>
    <k n="52 semanas de alta" t="i"/>
    <k n="52 semanas de baixa" t="i"/>
    <k n="Fechamento anterior" t="i"/>
    <k n="Capitalização de mercado" t="i"/>
    <k n="Hora da última transação" t="i"/>
  </s>
  <s>
    <k n="Variação" t="s"/>
    <k n="Variação (%)" t="s"/>
    <k n="Hora da última transação" t="s"/>
  </s>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EntityServiceId" t="i"/>
    <k n="52 semanas de alta" t="i"/>
    <k n="52 semanas de baixa" t="i"/>
    <k n="Ano de incorporação" t="i"/>
    <k n="Ações em circulação" t="i"/>
    <k n="Fechamento anterior" t="i"/>
    <k n="Capitalização de mercado" t="i"/>
    <k n="Hora da última transação"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_-[$R$-pt-BR] * #,##0.00_-;-[$R$-pt-BR] * #,##0.00_-;_-[$R$-pt-BR] * "-"??_-;_-@_-</rpv>
    </rSty>
    <rSty dxfid="5">
      <rpv i="0">#,##0.00</rpv>
    </rSty>
    <rSty>
      <rpv i="1">1</rpv>
    </rSty>
    <rSty dxfid="4">
      <rpv i="0">#,##0</rpv>
    </rSty>
    <rSty dxfid="3"/>
    <rSty dxfid="0">
      <rpv i="0">0.00</rpv>
    </rSty>
    <rSty dxfid="1">
      <rpv i="0">_-[$R$-pt-BR] * #,##0_-;-[$R$-pt-BR] * #,##0_-;_-[$R$-pt-BR] * "-"_-;_-@_-</rpv>
    </rSty>
    <rSty dxfid="2"/>
    <rSty dxfid="6">
      <rpv i="0">0</rpv>
    </rSty>
    <rSty>
      <rpv i="2">1</rpv>
    </rSty>
    <rSty dxfid="1">
      <rpv i="0">_-[$$-en-CA]* #,##0.00_-;-[$$-en-CA]* #,##0.00_-;_-[$$-en-CA]* "-"??_-;_-@_-</rpv>
    </rSty>
    <rSty dxfid="1">
      <rpv i="0">_-[$$-en-CA]* #,##0_-;-[$$-en-CA]* #,##0_-;_-[$$-en-CA]*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EDE89F9-9095-4ACA-A5B3-A07D4EA55A18}">
  <we:reference id="wa104381695" version="1.0.10.0" store="en-US" storeType="OMEX"/>
  <we:alternateReferences>
    <we:reference id="WA104381695" version="1.0.1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_xldudf_CS_TIME</we:customFunctionIds>
        <we:customFunctionIds>_xldudf_CS_ATH</we:customFunctionIds>
        <we:customFunctionIds>_xldudf_CS_ENDPOINTS</we:customFunctionIds>
        <we:customFunctionIds>_xldudf_CS_EXCHANGES</we:customFunctionIds>
        <we:customFunctionIds>_xldudf_CS_EXRATE</we:customFunctionIds>
        <we:customFunctionIds>_xldudf_CS_OHLCV</we:customFunctionIds>
        <we:customFunctionIds>_xldudf_CS_ORDERBOOKS</we:customFunctionIds>
        <we:customFunctionIds>_xldudf_CS_PARAMETERS</we:customFunctionIds>
        <we:customFunctionIds>_xldudf_CS_PRICE</we:customFunctionIds>
        <we:customFunctionIds>_xldudf_CS_PRICEA</we:customFunctionIds>
        <we:customFunctionIds>_xldudf_CS_PROVIDERS</we:customFunctionIds>
        <we:customFunctionIds>_xldudf_CS_QUERY</we:customFunctionIds>
        <we:customFunctionIds>_xldudf_CS_QUERYA</we:customFunctionIds>
        <we:customFunctionIds>_xldudf_CS_SYMBOLS</we:customFunctionIds>
        <we:customFunctionIds>_xldudf_CS_TA</we:customFunctionIds>
        <we:customFunctionIds>_xldudf_CS_TAHIS</we:customFunctionIds>
        <we:customFunctionIds>_xldudf_CS_TRADES</we:customFunctionIds>
        <we:customFunctionIds>_xldudf_CS_ORDERBOOKSL3A</we:customFunctionIds>
        <we:customFunctionIds>_xldudf_CS_OHLCVA</we:customFunctionIds>
        <we:customFunctionIds>_xldudf_CS_ADDRESS</we:customFunctionIds>
        <we:customFunctionIds>_xldudf_CS_CHAIN</we:customFunctionIds>
        <we:customFunctionIds>_xldudf_CS_CLUSTERS</we:customFunctionIds>
        <we:customFunctionIds>_xldudf_CS_IDEAS</we:customFunctionIds>
        <we:customFunctionIds>_xldudf_CS_METRICS</we:customFunctionIds>
        <we:customFunctionIds>_xldudf_CS_AD</we:customFunctionIds>
        <we:customFunctionIds>_xldudf_CS_ADOSC</we:customFunctionIds>
        <we:customFunctionIds>_xldudf_CS_ADX</we:customFunctionIds>
        <we:customFunctionIds>_xldudf_CS_APO</we:customFunctionIds>
        <we:customFunctionIds>_xldudf_CS_AROON</we:customFunctionIds>
        <we:customFunctionIds>_xldudf_CS_AROONOSC</we:customFunctionIds>
        <we:customFunctionIds>_xldudf_CS_ATR</we:customFunctionIds>
        <we:customFunctionIds>_xldudf_CS_BBANDS</we:customFunctionIds>
        <we:customFunctionIds>_xldudf_CS_BETA</we:customFunctionIds>
        <we:customFunctionIds>_xldudf_CS_CCI</we:customFunctionIds>
        <we:customFunctionIds>_xldudf_CS_CDLINNECK</we:customFunctionIds>
        <we:customFunctionIds>_xldudf_CS_CDLMARUBOZU</we:customFunctionIds>
        <we:customFunctionIds>_xldudf_CS_CORREL</we:customFunctionIds>
        <we:customFunctionIds>_xldudf_CS_DEMA</we:customFunctionIds>
        <we:customFunctionIds>_xldudf_CS_DX</we:customFunctionIds>
        <we:customFunctionIds>_xldudf_CS_EMA</we:customFunctionIds>
        <we:customFunctionIds>_xldudf_CS_LINEARREG</we:customFunctionIds>
        <we:customFunctionIds>_xldudf_CS_LINEARREGANGLE</we:customFunctionIds>
        <we:customFunctionIds>_xldudf_CS_LINEARREGINTERCEPT</we:customFunctionIds>
        <we:customFunctionIds>_xldudf_CS_LINEARREGSLOPE</we:customFunctionIds>
        <we:customFunctionIds>_xldudf_CS_MACD</we:customFunctionIds>
        <we:customFunctionIds>_xldudf_CS_MACDEXT</we:customFunctionIds>
        <we:customFunctionIds>_xldudf_CS_MACDFIX</we:customFunctionIds>
        <we:customFunctionIds>_xldudf_CS_MFI</we:customFunctionIds>
        <we:customFunctionIds>_xldudf_CS_MOM</we:customFunctionIds>
        <we:customFunctionIds>_xldudf_CS_NATR</we:customFunctionIds>
        <we:customFunctionIds>_xldudf_CS_OBV</we:customFunctionIds>
        <we:customFunctionIds>_xldudf_CS_ROC</we:customFunctionIds>
        <we:customFunctionIds>_xldudf_CS_ROCP</we:customFunctionIds>
        <we:customFunctionIds>_xldudf_CS_ROCR</we:customFunctionIds>
        <we:customFunctionIds>_xldudf_CS_RSI</we:customFunctionIds>
        <we:customFunctionIds>_xldudf_CS_SAREXT</we:customFunctionIds>
        <we:customFunctionIds>_xldudf_CS_SMA</we:customFunctionIds>
        <we:customFunctionIds>_xldudf_CS_STDDEV</we:customFunctionIds>
        <we:customFunctionIds>_xldudf_CS_STOCH</we:customFunctionIds>
        <we:customFunctionIds>_xldudf_CS_T3</we:customFunctionIds>
        <we:customFunctionIds>_xldudf_CS_TEMA</we:customFunctionIds>
        <we:customFunctionIds>_xldudf_CS_TRANGE</we:customFunctionIds>
        <we:customFunctionIds>_xldudf_CS_TRIX</we:customFunctionIds>
        <we:customFunctionIds>_xldudf_CS_TSF</we:customFunctionIds>
        <we:customFunctionIds>_xldudf_CS_ULTOSC</we:customFunctionIds>
        <we:customFunctionIds>_xldudf_CS_VARI</we:customFunctionIds>
        <we:customFunctionIds>_xldudf_CS_WCLPRICE</we:customFunctionIds>
        <we:customFunctionIds>_xldudf_CS_WILLR</we:customFunctionIds>
        <we:customFunctionIds>_xldudf_CS_WMA</we:customFunctionIds>
        <we:customFunctionIds>_xldudf_CS_STATUS</we:customFunctionIds>
        <we:customFunctionIds>_xldudf_CS_LOGIN</we:customFunctionIds>
        <we:customFunctionIds>_xldudf_CS_TAMETADATA</we:customFunctionIds>
        <we:customFunctionIds>_xldudf_CS_FLOOR</we:customFunctionIds>
        <we:customFunctionIds>_xldudf_CS_LN</we:customFunctionIds>
        <we:customFunctionIds>_xldudf_CS_EXP</we:customFunctionIds>
        <we:customFunctionIds>_xldudf_CS_FIELDS</we:customFunctionIds>
        <we:customFunctionIds>_xldudf_CS_TRADESA</we:customFunctionIds>
        <we:customFunctionIds>_xldudf_CS_ORDERBOOKSA</we:customFunctionIds>
        <we:customFunctionIds>_xldudf_CS_METRICSA</we:customFunctionIds>
        <we:customFunctionIds>_xldudf_CS_METRICSMETADATA</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filterMode="1"/>
  <dimension ref="A1:FA279"/>
  <sheetViews>
    <sheetView tabSelected="1" topLeftCell="BL1" zoomScale="120" zoomScaleNormal="120" workbookViewId="0">
      <pane xSplit="6" topLeftCell="DL1" activePane="topRight" state="frozen"/>
      <selection activeCell="BL1" sqref="BL1"/>
      <selection pane="topRight" activeCell="BQ66" sqref="BQ66"/>
    </sheetView>
  </sheetViews>
  <sheetFormatPr defaultColWidth="5.7109375" defaultRowHeight="15" x14ac:dyDescent="0.25"/>
  <cols>
    <col min="1" max="13" width="13.85546875" style="6" customWidth="1"/>
    <col min="14" max="14" width="13" style="6" customWidth="1"/>
    <col min="15" max="15" width="13.85546875" style="6" customWidth="1"/>
    <col min="16" max="16" width="13" style="6" customWidth="1"/>
    <col min="17" max="18" width="13.85546875" style="6" customWidth="1"/>
    <col min="19" max="19" width="13.140625" style="6" customWidth="1"/>
    <col min="20" max="47" width="13.85546875" style="6" customWidth="1"/>
    <col min="48" max="48" width="13" style="6" customWidth="1"/>
    <col min="49" max="53" width="13.85546875" style="6" customWidth="1"/>
    <col min="54" max="54" width="12.5703125" style="6" customWidth="1"/>
    <col min="55" max="55" width="10.7109375" style="6" customWidth="1"/>
    <col min="56" max="56" width="8.85546875" style="6" customWidth="1"/>
    <col min="57" max="57" width="8.7109375" style="6" customWidth="1"/>
    <col min="58" max="67" width="9.85546875" style="6" customWidth="1"/>
    <col min="68" max="68" width="9.28515625" style="6" customWidth="1"/>
    <col min="69" max="69" width="10.5703125" style="7" customWidth="1"/>
    <col min="70" max="70" width="9" style="19" customWidth="1"/>
    <col min="71" max="72" width="9" style="7" customWidth="1"/>
    <col min="73" max="73" width="3.42578125" style="22" customWidth="1"/>
    <col min="74" max="74" width="10.140625" style="16" bestFit="1" customWidth="1"/>
    <col min="75" max="75" width="1.5703125" customWidth="1"/>
    <col min="76" max="76" width="7.28515625" style="1" customWidth="1"/>
    <col min="77" max="77" width="7.7109375" style="1" customWidth="1"/>
    <col min="78" max="78" width="2.28515625" style="22" customWidth="1"/>
    <col min="79" max="79" width="7.5703125" style="22" customWidth="1"/>
    <col min="80" max="80" width="1.28515625" customWidth="1"/>
    <col min="81" max="81" width="8.140625" style="8" customWidth="1"/>
    <col min="82" max="82" width="1.85546875" style="22" customWidth="1"/>
    <col min="83" max="83" width="6.85546875" style="14" customWidth="1"/>
    <col min="84" max="84" width="9.42578125" style="14" customWidth="1"/>
    <col min="85" max="85" width="8.5703125" style="14" customWidth="1"/>
    <col min="86" max="86" width="1.85546875" style="14" customWidth="1"/>
    <col min="87" max="87" width="7.28515625" style="1" customWidth="1"/>
    <col min="88" max="88" width="7.42578125" style="1" customWidth="1"/>
    <col min="89" max="89" width="8.140625" style="1" customWidth="1"/>
    <col min="90" max="90" width="1.7109375" customWidth="1"/>
    <col min="91" max="91" width="1.42578125" style="14" customWidth="1"/>
    <col min="92" max="92" width="6.42578125" style="1" customWidth="1"/>
    <col min="93" max="93" width="7" style="1" customWidth="1"/>
    <col min="94" max="94" width="7.28515625" style="1" customWidth="1"/>
    <col min="95" max="95" width="6.85546875" style="1" customWidth="1"/>
    <col min="96" max="96" width="7.7109375" style="1" customWidth="1"/>
    <col min="97" max="98" width="6.85546875" style="1" customWidth="1"/>
    <col min="99" max="99" width="9" style="1" customWidth="1"/>
    <col min="100" max="100" width="10.42578125" style="1" customWidth="1"/>
    <col min="101" max="101" width="9.42578125" style="1" customWidth="1"/>
    <col min="102" max="115" width="8.140625" style="1" customWidth="1"/>
    <col min="116" max="116" width="2.7109375" customWidth="1"/>
    <col min="117" max="117" width="6.7109375" style="1" customWidth="1"/>
    <col min="118" max="118" width="7.28515625" style="1" customWidth="1"/>
    <col min="119" max="119" width="7.5703125" style="1" customWidth="1"/>
    <col min="120" max="120" width="8.7109375" style="1" customWidth="1"/>
    <col min="121" max="121" width="9.28515625" style="1" customWidth="1"/>
    <col min="122" max="122" width="9.140625" style="1" customWidth="1"/>
    <col min="123" max="125" width="1.5703125" style="1" customWidth="1"/>
    <col min="126" max="126" width="9.140625" style="81" customWidth="1"/>
    <col min="127" max="127" width="7.85546875" style="82" customWidth="1"/>
    <col min="128" max="128" width="7.5703125" style="73" customWidth="1"/>
    <col min="129" max="129" width="1.5703125" style="1" customWidth="1"/>
    <col min="130" max="130" width="6" style="1" customWidth="1"/>
    <col min="131" max="131" width="1.28515625" style="1" customWidth="1"/>
    <col min="132" max="132" width="1.7109375" style="1" customWidth="1"/>
    <col min="133" max="135" width="2.28515625" style="1" customWidth="1"/>
    <col min="136" max="136" width="12" style="1" customWidth="1"/>
    <col min="137" max="137" width="6.5703125" style="1" customWidth="1"/>
    <col min="138" max="138" width="16.85546875" style="1" customWidth="1"/>
    <col min="139" max="140" width="15.28515625" style="1" customWidth="1"/>
    <col min="141" max="141" width="1.85546875" style="1" customWidth="1"/>
    <col min="142" max="142" width="6.140625" style="1" customWidth="1"/>
    <col min="143" max="143" width="9.28515625" style="1" customWidth="1"/>
    <col min="144" max="144" width="9.140625" style="1" customWidth="1"/>
    <col min="145" max="145" width="10.5703125" customWidth="1"/>
    <col min="146" max="146" width="8.28515625" style="1" customWidth="1"/>
    <col min="147" max="147" width="15.85546875" style="1" customWidth="1"/>
    <col min="148" max="148" width="1.42578125" style="1" customWidth="1"/>
    <col min="149" max="150" width="12.28515625" style="1" customWidth="1"/>
    <col min="151" max="151" width="13.85546875" style="1" customWidth="1"/>
    <col min="152" max="152" width="9" style="1" customWidth="1"/>
    <col min="153" max="153" width="10.28515625" style="1" customWidth="1"/>
    <col min="154" max="154" width="2" customWidth="1"/>
    <col min="155" max="155" width="11.7109375" style="1" customWidth="1"/>
    <col min="156" max="156" width="10.85546875" style="1" customWidth="1"/>
    <col min="157" max="157" width="3.7109375" customWidth="1"/>
    <col min="158" max="158" width="32.7109375" style="1" customWidth="1"/>
    <col min="159" max="159" width="4.28515625" style="1" customWidth="1"/>
    <col min="160" max="16384" width="5.7109375" style="1"/>
  </cols>
  <sheetData>
    <row r="1" spans="1:156" x14ac:dyDescent="0.25">
      <c r="BF1" s="6">
        <v>19.350000000000001</v>
      </c>
      <c r="BG1" s="6">
        <v>19.399999999999999</v>
      </c>
      <c r="BH1" s="6">
        <v>19.41</v>
      </c>
      <c r="BI1" s="6">
        <v>18.77</v>
      </c>
      <c r="BJ1" s="6">
        <v>18.91</v>
      </c>
      <c r="BK1" s="6">
        <v>19.489999999999998</v>
      </c>
      <c r="BL1" s="6">
        <v>19.55</v>
      </c>
      <c r="BM1" s="6">
        <v>19.38</v>
      </c>
      <c r="BN1" s="6">
        <v>19.47</v>
      </c>
      <c r="BO1" s="6">
        <v>19.329999999999998</v>
      </c>
      <c r="BP1" s="87" cm="1">
        <f t="array" aca="1" ref="BP1" ca="1">_FV(BQ1,"Preço")</f>
        <v>18.82</v>
      </c>
      <c r="BQ1" s="1" t="e" vm="1">
        <v>#VALUE!</v>
      </c>
    </row>
    <row r="2" spans="1:156" x14ac:dyDescent="0.25">
      <c r="BG2" s="86">
        <f>(BG1/$BF1)-1</f>
        <v>2.5839793281652312E-3</v>
      </c>
      <c r="BH2" s="86">
        <f t="shared" ref="BH2:BP2" si="0">(BH1/$BF1)-1</f>
        <v>3.1007751937983663E-3</v>
      </c>
      <c r="BI2" s="86">
        <f t="shared" si="0"/>
        <v>-2.9974160206718392E-2</v>
      </c>
      <c r="BJ2" s="86">
        <v>-2.2739018087855389E-2</v>
      </c>
      <c r="BK2" s="86">
        <v>7.2351421188630027E-3</v>
      </c>
      <c r="BL2" s="86">
        <v>1.0335917312661369E-2</v>
      </c>
      <c r="BM2" s="86">
        <v>1.5503875968991832E-3</v>
      </c>
      <c r="BN2" s="86">
        <v>6.2015503875967326E-3</v>
      </c>
      <c r="BO2" s="86">
        <v>-1.0335917312662701E-3</v>
      </c>
      <c r="BP2" s="86">
        <f t="shared" ca="1" si="0"/>
        <v>-2.739018087855305E-2</v>
      </c>
      <c r="BQ2" s="8">
        <f ca="1">AVERAGE(BG2:BP2)</f>
        <v>-5.0129198966409215E-3</v>
      </c>
      <c r="BV2" s="88" cm="1">
        <f t="array" aca="1" ref="BV2" ca="1">_FV(BQ1,"Variação (%)",TRUE)</f>
        <v>-2.65E-3</v>
      </c>
    </row>
    <row r="3" spans="1:156" x14ac:dyDescent="0.25">
      <c r="BE3" s="76">
        <v>137026</v>
      </c>
      <c r="BF3" s="76">
        <v>136102</v>
      </c>
      <c r="BG3" s="76">
        <v>137212</v>
      </c>
      <c r="BH3" s="76">
        <v>137115.82999999999</v>
      </c>
      <c r="BI3" s="76">
        <v>136865.79</v>
      </c>
      <c r="BJ3" s="76">
        <v>141263.56</v>
      </c>
      <c r="BK3" s="76">
        <v>136187.31</v>
      </c>
      <c r="BL3" s="76">
        <v>133381.57999999999</v>
      </c>
      <c r="BM3" s="76">
        <v>133524.18</v>
      </c>
      <c r="BN3" s="76">
        <v>132437.39000000001</v>
      </c>
      <c r="BO3" s="76">
        <v>135913.25</v>
      </c>
      <c r="BP3" s="76" cm="1">
        <f t="array" aca="1" ref="BP3" ca="1">_FV(BQ3,"Preço")</f>
        <v>136340.76999999999</v>
      </c>
      <c r="BQ3" s="1" t="e" vm="2">
        <v>#VALUE!</v>
      </c>
      <c r="BU3" s="1"/>
      <c r="CI3" s="8"/>
      <c r="DW3" s="83"/>
    </row>
    <row r="4" spans="1:156" x14ac:dyDescent="0.25">
      <c r="BG4" s="86">
        <f>(BG3/$BF3)-1</f>
        <v>8.1556479699049778E-3</v>
      </c>
      <c r="BH4" s="86">
        <f>(BH3/$BF3)-1</f>
        <v>7.4490455687645785E-3</v>
      </c>
      <c r="BI4" s="86">
        <f>(BI3/$BF3)-1</f>
        <v>5.6118940206610901E-3</v>
      </c>
      <c r="BJ4" s="86">
        <v>3.7924203905894016E-2</v>
      </c>
      <c r="BK4" s="86">
        <v>6.268093047860912E-4</v>
      </c>
      <c r="BL4" s="86">
        <v>-1.9988097162422447E-2</v>
      </c>
      <c r="BM4" s="86">
        <v>-1.8940353558360656E-2</v>
      </c>
      <c r="BN4" s="86">
        <v>-2.6925467663957758E-2</v>
      </c>
      <c r="BO4" s="86">
        <v>-1.3868275264140584E-3</v>
      </c>
      <c r="BP4" s="86">
        <f ca="1">(BP3/$BF3)-1</f>
        <v>1.7543460052018567E-3</v>
      </c>
      <c r="BQ4" s="8">
        <f ca="1">AVERAGE(BG4:BP4)</f>
        <v>-5.7187991359423094E-4</v>
      </c>
      <c r="BV4" s="88" cm="1">
        <f t="array" aca="1" ref="BV4" ca="1">_FV(BQ3,"Variação (%)",TRUE)</f>
        <v>-1.1010000000000001E-4</v>
      </c>
    </row>
    <row r="5" spans="1:156" s="3" customFormat="1" ht="11.25" x14ac:dyDescent="0.2">
      <c r="A5" s="11">
        <v>45415</v>
      </c>
      <c r="B5" s="11">
        <v>45422</v>
      </c>
      <c r="C5" s="11">
        <v>45429</v>
      </c>
      <c r="D5" s="11">
        <v>45436</v>
      </c>
      <c r="E5" s="11">
        <v>45443</v>
      </c>
      <c r="F5" s="11">
        <v>45450</v>
      </c>
      <c r="G5" s="11">
        <v>45457</v>
      </c>
      <c r="H5" s="11">
        <v>45464</v>
      </c>
      <c r="I5" s="11">
        <v>45471</v>
      </c>
      <c r="J5" s="11">
        <v>45478</v>
      </c>
      <c r="K5" s="11">
        <v>45485</v>
      </c>
      <c r="L5" s="11">
        <v>45492</v>
      </c>
      <c r="M5" s="11">
        <v>45499</v>
      </c>
      <c r="N5" s="11" t="s">
        <v>0</v>
      </c>
      <c r="O5" s="11">
        <v>45513</v>
      </c>
      <c r="P5" s="11" t="s">
        <v>1</v>
      </c>
      <c r="Q5" s="11">
        <v>45528</v>
      </c>
      <c r="R5" s="11">
        <v>45534</v>
      </c>
      <c r="S5" s="11" t="s">
        <v>2</v>
      </c>
      <c r="T5" s="11">
        <v>45548</v>
      </c>
      <c r="U5" s="11">
        <v>45555</v>
      </c>
      <c r="V5" s="11">
        <v>45562</v>
      </c>
      <c r="W5" s="11">
        <v>45569</v>
      </c>
      <c r="X5" s="11">
        <v>45576</v>
      </c>
      <c r="Y5" s="11">
        <v>45583</v>
      </c>
      <c r="Z5" s="11">
        <v>45590</v>
      </c>
      <c r="AA5" s="11">
        <v>45597</v>
      </c>
      <c r="AB5" s="11">
        <v>45604</v>
      </c>
      <c r="AC5" s="11">
        <v>45611</v>
      </c>
      <c r="AD5" s="11">
        <v>45618</v>
      </c>
      <c r="AE5" s="11">
        <v>45625</v>
      </c>
      <c r="AF5" s="11">
        <v>45632</v>
      </c>
      <c r="AG5" s="11">
        <v>45639</v>
      </c>
      <c r="AH5" s="11">
        <v>45649</v>
      </c>
      <c r="AI5" s="11">
        <v>45653</v>
      </c>
      <c r="AJ5" s="11">
        <v>45660</v>
      </c>
      <c r="AK5" s="11">
        <v>45667</v>
      </c>
      <c r="AL5" s="11">
        <v>45674</v>
      </c>
      <c r="AM5" s="11">
        <v>45681</v>
      </c>
      <c r="AN5" s="11">
        <v>45688</v>
      </c>
      <c r="AO5" s="11">
        <v>45695</v>
      </c>
      <c r="AP5" s="11">
        <v>45702</v>
      </c>
      <c r="AQ5" s="11">
        <v>45709</v>
      </c>
      <c r="AR5" s="11">
        <v>45716</v>
      </c>
      <c r="AS5" s="11">
        <v>45723</v>
      </c>
      <c r="AT5" s="11">
        <v>45730</v>
      </c>
      <c r="AU5" s="11">
        <v>45737</v>
      </c>
      <c r="AV5" s="11">
        <v>45744</v>
      </c>
      <c r="AW5" s="11">
        <v>45751</v>
      </c>
      <c r="AX5" s="11">
        <v>45758</v>
      </c>
      <c r="AY5" s="11">
        <v>45765</v>
      </c>
      <c r="AZ5" s="11">
        <v>45772</v>
      </c>
      <c r="BA5" s="11">
        <v>45778</v>
      </c>
      <c r="BB5" s="50">
        <v>45785</v>
      </c>
      <c r="BC5" s="50">
        <v>45792</v>
      </c>
      <c r="BD5" s="50">
        <v>45800</v>
      </c>
      <c r="BE5" s="50">
        <v>45807</v>
      </c>
      <c r="BF5" s="50">
        <v>45814</v>
      </c>
      <c r="BG5" s="68">
        <v>45821</v>
      </c>
      <c r="BH5" s="50">
        <v>45828</v>
      </c>
      <c r="BI5" s="50">
        <v>45835</v>
      </c>
      <c r="BJ5" s="50">
        <v>45842</v>
      </c>
      <c r="BK5" s="50">
        <v>45849</v>
      </c>
      <c r="BL5" s="50">
        <v>45856</v>
      </c>
      <c r="BM5" s="50">
        <v>45863</v>
      </c>
      <c r="BN5" s="50">
        <v>45870</v>
      </c>
      <c r="BO5" s="50">
        <v>45877</v>
      </c>
      <c r="BP5" s="50" t="s">
        <v>272</v>
      </c>
      <c r="BQ5" s="38" t="s">
        <v>475</v>
      </c>
      <c r="BR5" s="51" t="s">
        <v>493</v>
      </c>
      <c r="BS5" s="50" t="s">
        <v>284</v>
      </c>
      <c r="BT5" s="38" t="s">
        <v>284</v>
      </c>
      <c r="BU5" s="3" t="s">
        <v>285</v>
      </c>
      <c r="BV5" s="28" t="s">
        <v>476</v>
      </c>
      <c r="BX5" s="38" t="s">
        <v>477</v>
      </c>
      <c r="BY5" s="38" t="s">
        <v>478</v>
      </c>
      <c r="CA5" s="64" t="s">
        <v>479</v>
      </c>
      <c r="CC5" s="50" t="s">
        <v>501</v>
      </c>
      <c r="CE5" s="61" t="s">
        <v>481</v>
      </c>
      <c r="CF5" s="61" t="s">
        <v>483</v>
      </c>
      <c r="CG5" s="61" t="s">
        <v>482</v>
      </c>
      <c r="CH5" s="14"/>
      <c r="CI5" s="38" t="s">
        <v>494</v>
      </c>
      <c r="CJ5" s="38" t="s">
        <v>504</v>
      </c>
      <c r="CK5" s="38" t="s">
        <v>495</v>
      </c>
      <c r="CM5" s="14"/>
      <c r="CN5" s="38" t="s">
        <v>484</v>
      </c>
      <c r="CO5" s="38" t="s">
        <v>485</v>
      </c>
      <c r="CP5" s="38" t="s">
        <v>486</v>
      </c>
      <c r="CQ5" s="38" t="s">
        <v>487</v>
      </c>
      <c r="CR5" s="38" t="s">
        <v>488</v>
      </c>
      <c r="CS5" s="38" t="s">
        <v>489</v>
      </c>
      <c r="CT5" s="38" t="s">
        <v>490</v>
      </c>
      <c r="CU5" s="3" t="s">
        <v>491</v>
      </c>
      <c r="CV5" s="3" t="s">
        <v>492</v>
      </c>
      <c r="CW5" s="8" t="s">
        <v>268</v>
      </c>
      <c r="CX5" s="38" t="s">
        <v>275</v>
      </c>
      <c r="CY5" s="28" t="s">
        <v>269</v>
      </c>
      <c r="CZ5" s="28" t="s">
        <v>271</v>
      </c>
      <c r="DA5" s="28" t="s">
        <v>270</v>
      </c>
      <c r="DB5" s="28" t="s">
        <v>279</v>
      </c>
      <c r="DC5" s="28" t="s">
        <v>280</v>
      </c>
      <c r="DD5" s="28" t="s">
        <v>281</v>
      </c>
      <c r="DE5" s="28" t="s">
        <v>283</v>
      </c>
      <c r="DF5" s="28" t="s">
        <v>280</v>
      </c>
      <c r="DG5" s="28" t="s">
        <v>282</v>
      </c>
      <c r="DH5" s="28" t="s">
        <v>270</v>
      </c>
      <c r="DI5" s="28" t="s">
        <v>271</v>
      </c>
      <c r="DJ5" s="28" t="s">
        <v>269</v>
      </c>
      <c r="DK5" s="38" t="s">
        <v>275</v>
      </c>
      <c r="DM5" s="38" t="s">
        <v>273</v>
      </c>
      <c r="DN5" s="38" t="s">
        <v>278</v>
      </c>
      <c r="DO5" s="3" t="s">
        <v>274</v>
      </c>
      <c r="DP5" s="38" t="s">
        <v>276</v>
      </c>
      <c r="DQ5" s="38" t="s">
        <v>491</v>
      </c>
      <c r="DR5" s="38" t="s">
        <v>492</v>
      </c>
      <c r="DV5" s="85" t="s">
        <v>502</v>
      </c>
      <c r="DW5" s="85" t="s">
        <v>502</v>
      </c>
      <c r="DX5" s="74" t="s">
        <v>496</v>
      </c>
      <c r="DZ5" s="17" t="s">
        <v>277</v>
      </c>
      <c r="EF5" s="3" t="s">
        <v>464</v>
      </c>
      <c r="EG5" s="3" t="s">
        <v>289</v>
      </c>
      <c r="EH5" s="3" t="s">
        <v>463</v>
      </c>
      <c r="EI5" s="38" t="s">
        <v>465</v>
      </c>
      <c r="EJ5" s="38" t="s">
        <v>465</v>
      </c>
      <c r="EM5" s="38" t="s">
        <v>472</v>
      </c>
      <c r="EN5" s="38" t="s">
        <v>473</v>
      </c>
      <c r="EO5" s="38" t="s">
        <v>474</v>
      </c>
      <c r="EP5" s="38" t="s">
        <v>289</v>
      </c>
      <c r="EQ5" s="38" t="s">
        <v>467</v>
      </c>
      <c r="ES5" s="38" t="s">
        <v>301</v>
      </c>
      <c r="ET5" s="38" t="s">
        <v>470</v>
      </c>
      <c r="EU5" s="38" t="s">
        <v>469</v>
      </c>
      <c r="EV5" s="38" t="s">
        <v>480</v>
      </c>
      <c r="EW5" s="38" t="s">
        <v>468</v>
      </c>
      <c r="EY5" s="38" t="s">
        <v>471</v>
      </c>
      <c r="EZ5" s="38" t="s">
        <v>466</v>
      </c>
    </row>
    <row r="6" spans="1:156" s="2" customFormat="1" ht="11.25" hidden="1" x14ac:dyDescent="0.2">
      <c r="A6" s="4">
        <v>9</v>
      </c>
      <c r="B6" s="4">
        <v>9</v>
      </c>
      <c r="C6" s="4">
        <v>9</v>
      </c>
      <c r="D6" s="4">
        <v>9</v>
      </c>
      <c r="E6" s="4">
        <v>9</v>
      </c>
      <c r="F6" s="4">
        <v>9</v>
      </c>
      <c r="G6" s="4">
        <v>9</v>
      </c>
      <c r="H6" s="4">
        <v>9</v>
      </c>
      <c r="I6" s="4">
        <v>9</v>
      </c>
      <c r="J6" s="4">
        <v>8.24</v>
      </c>
      <c r="K6" s="4">
        <v>8.24</v>
      </c>
      <c r="L6" s="4">
        <v>8.24</v>
      </c>
      <c r="M6" s="4">
        <v>8.24</v>
      </c>
      <c r="N6" s="4">
        <v>8.24</v>
      </c>
      <c r="O6" s="4">
        <v>8.24</v>
      </c>
      <c r="P6" s="4">
        <v>8.24</v>
      </c>
      <c r="Q6" s="4">
        <v>8.24</v>
      </c>
      <c r="R6" s="4">
        <v>8.24</v>
      </c>
      <c r="S6" s="4">
        <v>8.24</v>
      </c>
      <c r="T6" s="4">
        <v>8.24</v>
      </c>
      <c r="U6" s="4">
        <v>8.24</v>
      </c>
      <c r="V6" s="4">
        <v>8.24</v>
      </c>
      <c r="W6" s="4">
        <v>8.24</v>
      </c>
      <c r="X6" s="4">
        <v>8.24</v>
      </c>
      <c r="Y6" s="4">
        <v>8.24</v>
      </c>
      <c r="Z6" s="4">
        <v>8.24</v>
      </c>
      <c r="AA6" s="4">
        <v>8.24</v>
      </c>
      <c r="AB6" s="4">
        <v>8.24</v>
      </c>
      <c r="AC6" s="4">
        <v>8.24</v>
      </c>
      <c r="AD6" s="4">
        <v>8.24</v>
      </c>
      <c r="AE6" s="4">
        <v>8.24</v>
      </c>
      <c r="AF6" s="4">
        <v>8.24</v>
      </c>
      <c r="AG6" s="4">
        <v>8.24</v>
      </c>
      <c r="AH6" s="4">
        <v>8.24</v>
      </c>
      <c r="AI6" s="4">
        <v>8.24</v>
      </c>
      <c r="AJ6" s="4">
        <v>8.24</v>
      </c>
      <c r="AK6" s="4">
        <v>8.24</v>
      </c>
      <c r="AL6" s="4">
        <v>8.24</v>
      </c>
      <c r="AM6" s="4">
        <v>8.24</v>
      </c>
      <c r="AN6" s="4">
        <v>8.24</v>
      </c>
      <c r="AO6" s="4">
        <v>8.24</v>
      </c>
      <c r="AP6" s="4">
        <v>8.24</v>
      </c>
      <c r="AQ6" s="4">
        <v>8.24</v>
      </c>
      <c r="AR6" s="4">
        <v>8.24</v>
      </c>
      <c r="AS6" s="4">
        <v>8.24</v>
      </c>
      <c r="AT6" s="4">
        <v>8.24</v>
      </c>
      <c r="AU6" s="4">
        <v>8.24</v>
      </c>
      <c r="AV6" s="4">
        <v>8.24</v>
      </c>
      <c r="AW6" s="4">
        <v>8.24</v>
      </c>
      <c r="AX6" s="4">
        <v>8.25</v>
      </c>
      <c r="AY6" s="12">
        <v>8.25</v>
      </c>
      <c r="AZ6" s="12">
        <v>8.25</v>
      </c>
      <c r="BA6" s="12">
        <v>8.25</v>
      </c>
      <c r="BB6" s="15">
        <v>8.25</v>
      </c>
      <c r="BC6" s="52">
        <v>8.25</v>
      </c>
      <c r="BD6" s="52">
        <v>8.25</v>
      </c>
      <c r="BE6" s="52">
        <v>8.25</v>
      </c>
      <c r="BF6" s="52">
        <v>8.25</v>
      </c>
      <c r="BG6" s="67">
        <v>8.0500000000000007</v>
      </c>
      <c r="BH6" s="52">
        <v>8.0500000000000007</v>
      </c>
      <c r="BI6" s="52">
        <v>8.0500000000000007</v>
      </c>
      <c r="BJ6" s="52">
        <v>8.0500000000000007</v>
      </c>
      <c r="BK6" s="52">
        <v>8.0500000000000007</v>
      </c>
      <c r="BL6" s="52">
        <v>8.0500000000000007</v>
      </c>
      <c r="BM6" s="52">
        <v>8.0500000000000007</v>
      </c>
      <c r="BN6" s="52">
        <v>6.52</v>
      </c>
      <c r="BO6" s="52">
        <v>6.52</v>
      </c>
      <c r="BP6" s="52" cm="1">
        <f t="array" aca="1" ref="BP6" ca="1">_FV(ED6,"Preço")</f>
        <v>6.52</v>
      </c>
      <c r="BQ6" s="69" t="s">
        <v>3</v>
      </c>
      <c r="BR6" s="36" t="e" cm="1" vm="3">
        <f t="array" ref="BR6">_FV(ED6,"Média de volume",TRUE)</f>
        <v>#VALUE!</v>
      </c>
      <c r="BS6" s="36">
        <v>300</v>
      </c>
      <c r="BT6" s="36" cm="1">
        <f t="array" aca="1" ref="BT6" ca="1">_FV(ED6,"Volume")</f>
        <v>300</v>
      </c>
      <c r="BU6" s="24" cm="1">
        <f t="array" aca="1" ref="BU6" ca="1">_FV(ED6,"Beta")</f>
        <v>0.64129999999999998</v>
      </c>
      <c r="BV6" s="71" cm="1">
        <f t="array" aca="1" ref="BV6" ca="1">_FV(ED6,"Variação (%)",TRUE)</f>
        <v>-0.19006200000000001</v>
      </c>
      <c r="BX6" s="17" cm="1">
        <f t="array" aca="1" ref="BX6" ca="1">_FV(ED6,"Baixo")</f>
        <v>6.52</v>
      </c>
      <c r="BY6" s="17" cm="1">
        <f t="array" aca="1" ref="BY6" ca="1">_FV(ED6,"Alto")</f>
        <v>6.88</v>
      </c>
      <c r="BZ6" s="24"/>
      <c r="CA6" s="63">
        <f ca="1">SQRT(22.5*(BP6/VLOOKUP(BQ6,Fundamentus!A:U,3,FALSE))*(BP6/VLOOKUP(BQ6,Fundamentus!A:U,4,FALSE)))</f>
        <v>5.6220825354394215</v>
      </c>
      <c r="CC6" s="62">
        <f ca="1">(BP6 - BO6) / BO6</f>
        <v>0</v>
      </c>
      <c r="CD6" s="8"/>
      <c r="CE6" s="61">
        <f>MIN(A6:BO6)</f>
        <v>6.52</v>
      </c>
      <c r="CF6" s="61">
        <f>MAX(A6:BO6)</f>
        <v>9</v>
      </c>
      <c r="CG6" s="61">
        <f>AVERAGE(A6:BO6)</f>
        <v>8.2722388059701508</v>
      </c>
      <c r="CH6" s="14"/>
      <c r="CI6" s="35">
        <f t="shared" ref="CI6:CI69" si="1">CJ6-DZ6*2</f>
        <v>4.2559122774163267</v>
      </c>
      <c r="CJ6" s="15">
        <f>FORECAST("15/08/2025", BL6:BO6, $BL$5:$BO$5)</f>
        <v>5.7549999999996544</v>
      </c>
      <c r="CK6" s="35">
        <f t="shared" ref="CK6:CK69" si="2">CJ6+DZ6*2</f>
        <v>7.2540877225829821</v>
      </c>
      <c r="CM6" s="14"/>
      <c r="CN6" s="17">
        <f t="shared" ref="CN6:CN69" si="3">CE6-2*(CF6-CQ6)</f>
        <v>3.2133333333333329</v>
      </c>
      <c r="CO6" s="17">
        <f t="shared" ref="CO6:CO69" si="4">CQ6-(CF6-CE6)</f>
        <v>4.8666666666666663</v>
      </c>
      <c r="CP6" s="17">
        <f t="shared" ref="CP6:CP69" si="5">2*CQ6-CF6</f>
        <v>5.6933333333333334</v>
      </c>
      <c r="CQ6" s="38">
        <f>(CF6+CE6+BO6)/3</f>
        <v>7.3466666666666667</v>
      </c>
      <c r="CR6" s="17">
        <f t="shared" ref="CR6:CR69" si="6">2*CQ6-CE6</f>
        <v>8.1733333333333338</v>
      </c>
      <c r="CS6" s="17">
        <f t="shared" ref="CS6:CS69" si="7">CQ6+(CF6-CE6)</f>
        <v>9.826666666666668</v>
      </c>
      <c r="CT6" s="17">
        <f t="shared" ref="CT6:CT69" si="8">CF6+2*(CQ6-CE6)</f>
        <v>10.653333333333334</v>
      </c>
      <c r="CU6" s="2" cm="1">
        <f t="array" aca="1" ref="CU6" ca="1">MAX(_xlfn._xlws.FILTER(CN6:CT6,CN6:CT6&lt;BP6))</f>
        <v>5.6933333333333334</v>
      </c>
      <c r="CV6" s="2" cm="1">
        <f t="array" aca="1" ref="CV6" ca="1">MIN(_xlfn._xlws.FILTER($CN6:$CT6,$CN6:$CT6&gt;BP6))</f>
        <v>7.3466666666666667</v>
      </c>
      <c r="CW6" s="16">
        <f ca="1">(CV6/CU6)-1</f>
        <v>0.29039812646370033</v>
      </c>
      <c r="CX6" s="20">
        <f ca="1">-$CW6/2</f>
        <v>-0.14519906323185017</v>
      </c>
      <c r="CY6" s="20">
        <f ca="1">-$CW6/3</f>
        <v>-9.6799375487900116E-2</v>
      </c>
      <c r="CZ6" s="20">
        <f ca="1">-$CW6/5</f>
        <v>-5.8079625292740064E-2</v>
      </c>
      <c r="DA6" s="20">
        <f ca="1">-$CW6/9</f>
        <v>-3.2266458495966703E-2</v>
      </c>
      <c r="DB6" s="20">
        <f t="shared" ref="DB6:DB7" ca="1" si="9">-$CW6/17</f>
        <v>-1.7082242733158844E-2</v>
      </c>
      <c r="DC6" s="20">
        <f t="shared" ref="DC6:DC7" ca="1" si="10">-$CW6/33</f>
        <v>-8.7999432261727378E-3</v>
      </c>
      <c r="DD6" s="20">
        <f t="shared" ref="DD6:DD7" ca="1" si="11">-$CW6/65</f>
        <v>-4.4676634840569284E-3</v>
      </c>
      <c r="DE6" s="21">
        <f t="shared" ref="DE6:DE7" ca="1" si="12">-$CW6/65*-1</f>
        <v>4.4676634840569284E-3</v>
      </c>
      <c r="DF6" s="21">
        <f t="shared" ref="DF6:DF7" ca="1" si="13">-$CW6/33*-1</f>
        <v>8.7999432261727378E-3</v>
      </c>
      <c r="DG6" s="21">
        <f t="shared" ref="DG6:DG7" ca="1" si="14">-$CW6/17*-1</f>
        <v>1.7082242733158844E-2</v>
      </c>
      <c r="DH6" s="21">
        <f ca="1">-$CW6/9*-1</f>
        <v>3.2266458495966703E-2</v>
      </c>
      <c r="DI6" s="21">
        <f ca="1">-$CW6/5*-1</f>
        <v>5.8079625292740064E-2</v>
      </c>
      <c r="DJ6" s="21">
        <f ca="1">-$CW6/3*-1</f>
        <v>9.6799375487900116E-2</v>
      </c>
      <c r="DK6" s="21">
        <f ca="1">-$CW6/2*-1</f>
        <v>0.14519906323185017</v>
      </c>
      <c r="DM6" s="16" t="e" cm="1" vm="4">
        <f t="array" aca="1" ref="DM6" ca="1">MAX(_xlfn._xlws.FILTER(CX6:DK6,CX6:DK6&lt;BV6))</f>
        <v>#VALUE!</v>
      </c>
      <c r="DN6" s="16" cm="1">
        <f t="array" aca="1" ref="DN6" ca="1">MIN(_xlfn._xlws.FILTER(CX6:DK6,CX6:DK6&gt;BV6))</f>
        <v>-0.14519906323185017</v>
      </c>
      <c r="DO6" s="2" cm="1">
        <f t="array" aca="1" ref="DO6" ca="1">_FV(ED6,"Fechamento anterior",TRUE)</f>
        <v>8.0500000000000007</v>
      </c>
      <c r="DP6" s="28" t="e" vm="5">
        <f t="shared" ref="DP6:DP69" ca="1" si="15">(BP6-DQ6)/(DR6-DQ6)</f>
        <v>#VALUE!</v>
      </c>
      <c r="DQ6" s="15" t="e" vm="5">
        <f t="shared" ref="DQ6:DQ13" ca="1" si="16">DO6+(DO6*DM6)</f>
        <v>#VALUE!</v>
      </c>
      <c r="DR6" s="15">
        <f t="shared" ref="DR6:DR13" ca="1" si="17">DO6+(DO6*DN6)</f>
        <v>6.8811475409836067</v>
      </c>
      <c r="DS6" s="9"/>
      <c r="DT6" s="9"/>
      <c r="DU6" s="9"/>
      <c r="DV6" s="89" t="e" vm="5">
        <v>#VALUE!</v>
      </c>
      <c r="DW6" s="89" t="e" vm="5">
        <f t="shared" ref="DW6:DW69" ca="1" si="18">DN6-DM6</f>
        <v>#VALUE!</v>
      </c>
      <c r="DX6" s="72">
        <f t="shared" ref="DX6:DX69" ca="1" si="19">(BP6-CJ6)/(CJ6-CI6)</f>
        <v>0.51031036308005129</v>
      </c>
      <c r="DY6" s="37"/>
      <c r="DZ6" s="35">
        <f>_xlfn.STDEV.P(BK6:BO6)</f>
        <v>0.74954386129166384</v>
      </c>
      <c r="EA6" s="56"/>
      <c r="EB6" s="56"/>
      <c r="ED6" s="2" t="e" vm="6">
        <v>#VALUE!</v>
      </c>
      <c r="EF6" s="10" cm="1">
        <f t="array" aca="1" ref="EF6" ca="1">_FV(ED6,"Ações em circulação",TRUE)</f>
        <v>4453440</v>
      </c>
      <c r="EG6" s="18">
        <f>VLOOKUP(BQ6,Fundamentus!A:U,5,FALSE)</f>
        <v>1.593</v>
      </c>
      <c r="EH6" s="2">
        <f t="shared" ref="EH6:EH69" ca="1" si="20">(BP6*EF6)/EG6</f>
        <v>18227513.370998114</v>
      </c>
      <c r="EI6" s="17">
        <v>3166119.0725423722</v>
      </c>
      <c r="EJ6" s="17">
        <f t="shared" ref="EJ6:EJ69" ca="1" si="21">EH6*EV6</f>
        <v>3166119.0725423722</v>
      </c>
      <c r="EL6" s="16">
        <f t="shared" ref="EL6:EL65" ca="1" si="22">(EJ6/EI6)-1</f>
        <v>0</v>
      </c>
      <c r="EM6" s="45" t="str">
        <f>IF(VLOOKUP(BQ6,Fundamentus!A:U,3,FALSE)&lt;15,"Bom",IF(VLOOKUP(BQ6,Fundamentus!A:U,3,FALSE)&gt;15,"Ruim","n/a"))</f>
        <v>Bom</v>
      </c>
      <c r="EN6" s="46" t="str">
        <f>IF(VLOOKUP(BQ6,Fundamentus!A:U,4,FALSE)&lt;1,"Baixo",IF(VLOOKUP(BQ6,Fundamentus!A:U,4,FALSE)&lt;1.5,"Moderado",IF(VLOOKUP(BQ6,Fundamentus!A:U,4,FALSE)&gt;1.5,"Alto","n/a")))</f>
        <v>Alto</v>
      </c>
      <c r="EO6" s="30" t="str">
        <f>IF(VLOOKUP(BQ6,Fundamentus!A:U,8,FALSE)&lt;0,"Risco elevado",IF(VLOOKUP(BQ6,Fundamentus!A:U,8,FALSE)&lt;1,"Saudável",IF(VLOOKUP(BQ6,Fundamentus!A:U,8,FALSE)&lt;3,"Estável",IF(VLOOKUP(BQ6,Fundamentus!A:U,8,FALSE)&gt;3,"Alerta","n/a"))))</f>
        <v>Alerta</v>
      </c>
      <c r="EP6" s="46" t="str">
        <f t="shared" ref="EP6:EP69" si="23">IF(EG6&gt;1,"Bom","Ruim")</f>
        <v>Bom</v>
      </c>
      <c r="EQ6" s="30" t="str">
        <f>IF(VLOOKUP(BQ6,Fundamentus!A:U,12,FALSE)&lt;2,"Subvalorizada",IF(VLOOKUP(BQ6,Fundamentus!A:U,12,FALSE)&lt;6,"Muita barata",IF(VLOOKUP(BQ6,Fundamentus!A:U,12,FALSE)&lt;6,"Barata",IF(VLOOKUP(BQ6,Fundamentus!A:U,12,FALSE)&lt;8,"Atrativa",IF(VLOOKUP(BQ6,Fundamentus!A:U,12,FALSE)&gt;8,"Supervalorizada","n/a")))))</f>
        <v>Atrativa</v>
      </c>
      <c r="ES6" s="30" t="str">
        <f>IF(VLOOKUP(BQ6,Fundamentus!A:U,17,FALSE)&lt;0.1,"Fraco retorno",IF(VLOOKUP(BQ6,Fundamentus!A:U,17,FALSE)&gt;0.1,"Bom retorno","n/a"))</f>
        <v>Bom retorno</v>
      </c>
      <c r="ET6" s="30" t="str">
        <f>IF(VLOOKUP(BQ6,Fundamentus!A:U,16,FALSE)&lt;0.1,"Ineficiente",IF(VLOOKUP(BQ6,Fundamentus!A:U,16,FALSE)&gt;0.1,"Eficiente","n/a"))</f>
        <v>Eficiente</v>
      </c>
      <c r="EU6" s="47" t="str">
        <f>IF(VLOOKUP(BQ6,Fundamentus!A:U,16,FALSE)&lt;0.1,"Oper.Ineficiente",IF(VLOOKUP(BQ6,Fundamentus!A:U,16,FALSE)&gt;0.1,"Oper.Eficiente","n/a"))</f>
        <v>Oper.Eficiente</v>
      </c>
      <c r="EV6" s="48">
        <f>VLOOKUP(BQ6,Fundamentus!A:U,14,FALSE)</f>
        <v>0.17369999999999999</v>
      </c>
      <c r="EW6" s="30" t="str">
        <f>IF(VLOOKUP(BQ6,Fundamentus!A:U,21,FALSE)&lt;0,"Negativo",IF(VLOOKUP(BQ6,Fundamentus!A:U,21,FALSE)&lt;0.05,"Fraco",IF(VLOOKUP(BQ6,Fundamentus!A:U,21,FALSE)&lt;0.1,"Bom",IF(VLOOKUP(BQ6,Fundamentus!A:U,21,FALSE)&gt;0.1,"Muito bom","n/a"))))</f>
        <v>Muito bom</v>
      </c>
      <c r="EY6" s="31" t="str">
        <f>IF(VLOOKUP(BQ6,Fundamentus!A:U,15,FALSE)&gt;1,"Bom",IF(VLOOKUP(BQ6,Fundamentus!A:U,15,FALSE)&lt;1,"Ruim","n/a"))</f>
        <v>Bom</v>
      </c>
      <c r="EZ6" s="30" t="str">
        <f>IF(VLOOKUP(BQ6,Fundamentus!A:U,20,FALSE)&lt;0.5,"Baixa",IF(VLOOKUP(BQ6,Fundamentus!A:U,20,FALSE)&lt;1,"Moderada",IF(VLOOKUP(BQ6,Fundamentus!A:U,20,FALSE)&lt;2,"Alerta",IF(VLOOKUP(BQ6,Fundamentus!A:U,20,FALSE)&gt;2,"Alta","n/a"))))</f>
        <v>Alerta</v>
      </c>
    </row>
    <row r="7" spans="1:156" s="2" customFormat="1" ht="11.25" hidden="1" x14ac:dyDescent="0.2">
      <c r="A7" s="4">
        <v>27.58</v>
      </c>
      <c r="B7" s="4">
        <v>25.55</v>
      </c>
      <c r="C7" s="4">
        <v>25.2</v>
      </c>
      <c r="D7" s="4">
        <v>25.73</v>
      </c>
      <c r="E7" s="4">
        <v>25.53</v>
      </c>
      <c r="F7" s="4">
        <v>25.2</v>
      </c>
      <c r="G7" s="4">
        <v>25.21</v>
      </c>
      <c r="H7" s="4">
        <v>26.85</v>
      </c>
      <c r="I7" s="4">
        <v>25.25</v>
      </c>
      <c r="J7" s="4">
        <v>25.59</v>
      </c>
      <c r="K7" s="4">
        <v>26.01</v>
      </c>
      <c r="L7" s="4">
        <v>25.6</v>
      </c>
      <c r="M7" s="4">
        <v>25.43</v>
      </c>
      <c r="N7" s="4">
        <v>25.01</v>
      </c>
      <c r="O7" s="4">
        <v>25.02</v>
      </c>
      <c r="P7" s="4">
        <v>25.85</v>
      </c>
      <c r="Q7" s="4">
        <v>25.85</v>
      </c>
      <c r="R7" s="4">
        <v>25.29</v>
      </c>
      <c r="S7" s="4">
        <v>24.81</v>
      </c>
      <c r="T7" s="4">
        <v>24.89</v>
      </c>
      <c r="U7" s="4">
        <v>24.86</v>
      </c>
      <c r="V7" s="4">
        <v>25.13</v>
      </c>
      <c r="W7" s="4">
        <v>25.02</v>
      </c>
      <c r="X7" s="4">
        <v>25.4</v>
      </c>
      <c r="Y7" s="4">
        <v>24.94</v>
      </c>
      <c r="Z7" s="4">
        <v>25.01</v>
      </c>
      <c r="AA7" s="4">
        <v>24.84</v>
      </c>
      <c r="AB7" s="4">
        <v>24.1</v>
      </c>
      <c r="AC7" s="4">
        <v>25.45</v>
      </c>
      <c r="AD7" s="4">
        <v>25.13</v>
      </c>
      <c r="AE7" s="4">
        <v>24.8</v>
      </c>
      <c r="AF7" s="4">
        <v>25.96</v>
      </c>
      <c r="AG7" s="4">
        <v>26.15</v>
      </c>
      <c r="AH7" s="4">
        <v>25.5</v>
      </c>
      <c r="AI7" s="4">
        <v>26.59</v>
      </c>
      <c r="AJ7" s="4">
        <v>25.4</v>
      </c>
      <c r="AK7" s="4">
        <v>27.97</v>
      </c>
      <c r="AL7" s="4">
        <v>28</v>
      </c>
      <c r="AM7" s="4">
        <v>26.13</v>
      </c>
      <c r="AN7" s="4">
        <v>26.17</v>
      </c>
      <c r="AO7" s="4">
        <v>25.74</v>
      </c>
      <c r="AP7" s="4">
        <v>25.94</v>
      </c>
      <c r="AQ7" s="4">
        <v>25.94</v>
      </c>
      <c r="AR7" s="4">
        <v>25.69</v>
      </c>
      <c r="AS7" s="4">
        <v>25.4</v>
      </c>
      <c r="AT7" s="4">
        <v>26.07</v>
      </c>
      <c r="AU7" s="4">
        <v>27.45</v>
      </c>
      <c r="AV7" s="4">
        <v>27</v>
      </c>
      <c r="AW7" s="4">
        <v>27.33</v>
      </c>
      <c r="AX7" s="4">
        <v>26.4</v>
      </c>
      <c r="AY7" s="12">
        <v>26.81</v>
      </c>
      <c r="AZ7" s="12">
        <v>26.65</v>
      </c>
      <c r="BA7" s="12">
        <v>27.82</v>
      </c>
      <c r="BB7" s="15">
        <v>26.4</v>
      </c>
      <c r="BC7" s="52">
        <v>26.68</v>
      </c>
      <c r="BD7" s="52">
        <v>26.99</v>
      </c>
      <c r="BE7" s="52">
        <v>27.58</v>
      </c>
      <c r="BF7" s="52">
        <v>27.49</v>
      </c>
      <c r="BG7" s="67">
        <v>29.05</v>
      </c>
      <c r="BH7" s="52">
        <v>28.76</v>
      </c>
      <c r="BI7" s="52">
        <v>28.38</v>
      </c>
      <c r="BJ7" s="52">
        <v>29.05</v>
      </c>
      <c r="BK7" s="52">
        <v>28.7</v>
      </c>
      <c r="BL7" s="52">
        <v>27.52</v>
      </c>
      <c r="BM7" s="52">
        <v>27.24</v>
      </c>
      <c r="BN7" s="52">
        <v>26.87</v>
      </c>
      <c r="BO7" s="52">
        <v>27.08</v>
      </c>
      <c r="BP7" s="52" cm="1">
        <f t="array" aca="1" ref="BP7" ca="1">_FV(ED7,"Preço")</f>
        <v>26</v>
      </c>
      <c r="BQ7" s="69" t="s">
        <v>4</v>
      </c>
      <c r="BR7" s="36" cm="1">
        <f t="array" aca="1" ref="BR7" ca="1">_FV(ED7,"Média de volume",TRUE)</f>
        <v>16950</v>
      </c>
      <c r="BS7" s="36">
        <v>10300</v>
      </c>
      <c r="BT7" s="36" cm="1">
        <f t="array" aca="1" ref="BT7" ca="1">_FV(ED7,"Volume")</f>
        <v>32500</v>
      </c>
      <c r="BU7" s="24" cm="1">
        <f t="array" aca="1" ref="BU7" ca="1">_FV(ED7,"Beta")</f>
        <v>0.5877</v>
      </c>
      <c r="BV7" s="71" cm="1">
        <f t="array" aca="1" ref="BV7" ca="1">_FV(ED7,"Variação (%)",TRUE)</f>
        <v>3.6683E-2</v>
      </c>
      <c r="BX7" s="17" cm="1">
        <f t="array" aca="1" ref="BX7" ca="1">_FV(ED7,"Baixo")</f>
        <v>25.32</v>
      </c>
      <c r="BY7" s="17" cm="1">
        <f t="array" aca="1" ref="BY7" ca="1">_FV(ED7,"Alto")</f>
        <v>26.36</v>
      </c>
      <c r="BZ7" s="24"/>
      <c r="CA7" s="63">
        <f ca="1">SQRT(22.5*(BP7/VLOOKUP(BQ7,Fundamentus!A:U,3,FALSE))*(BP7/VLOOKUP(BQ7,Fundamentus!A:U,4,FALSE)))</f>
        <v>67.767184568549311</v>
      </c>
      <c r="CC7" s="62">
        <f t="shared" ref="CC7:CC70" ca="1" si="24">(BP7 - BO7) / BO7</f>
        <v>-3.9881831610044251E-2</v>
      </c>
      <c r="CD7" s="8"/>
      <c r="CE7" s="61">
        <f t="shared" ref="CE7:CE70" si="25">MIN(A7:BO7)</f>
        <v>24.1</v>
      </c>
      <c r="CF7" s="61">
        <f t="shared" ref="CF7:CF70" si="26">MAX(A7:BO7)</f>
        <v>29.05</v>
      </c>
      <c r="CG7" s="61">
        <f t="shared" ref="CG7:CG70" si="27">AVERAGE(A7:BO7)</f>
        <v>26.209402985074632</v>
      </c>
      <c r="CH7" s="14"/>
      <c r="CI7" s="35">
        <f t="shared" si="1"/>
        <v>25.465137991876759</v>
      </c>
      <c r="CJ7" s="15">
        <f t="shared" ref="CJ7:CJ70" si="28">FORECAST("15/08/2025", BL7:BO7, $BL$5:$BO$5)</f>
        <v>26.755000000000109</v>
      </c>
      <c r="CK7" s="35">
        <f t="shared" si="2"/>
        <v>28.044862008123459</v>
      </c>
      <c r="CM7" s="14"/>
      <c r="CN7" s="17">
        <f t="shared" si="3"/>
        <v>19.486666666666672</v>
      </c>
      <c r="CO7" s="17">
        <f t="shared" si="4"/>
        <v>21.793333333333337</v>
      </c>
      <c r="CP7" s="17">
        <f t="shared" si="5"/>
        <v>24.436666666666671</v>
      </c>
      <c r="CQ7" s="38">
        <f t="shared" ref="CQ7:CQ70" si="29">(CF7+CE7+BO7)/3</f>
        <v>26.743333333333336</v>
      </c>
      <c r="CR7" s="17">
        <f t="shared" si="6"/>
        <v>29.38666666666667</v>
      </c>
      <c r="CS7" s="17">
        <f t="shared" si="7"/>
        <v>31.693333333333335</v>
      </c>
      <c r="CT7" s="17">
        <f t="shared" si="8"/>
        <v>34.336666666666673</v>
      </c>
      <c r="CU7" s="2" cm="1">
        <f t="array" aca="1" ref="CU7" ca="1">MAX(_xlfn._xlws.FILTER(CN7:CT7,CN7:CT7&lt;BP7))</f>
        <v>24.436666666666671</v>
      </c>
      <c r="CV7" s="2" cm="1">
        <f t="array" aca="1" ref="CV7" ca="1">MIN(_xlfn._xlws.FILTER($CN7:$CT7,$CN7:$CT7&gt;BP7))</f>
        <v>26.743333333333336</v>
      </c>
      <c r="CW7" s="16">
        <f t="shared" ref="CW7:CW13" ca="1" si="30">(CV7/CU7)-1</f>
        <v>9.4393670713408762E-2</v>
      </c>
      <c r="CX7" s="20">
        <f t="shared" ref="CX7:CX13" ca="1" si="31">-$CW7/2</f>
        <v>-4.7196835356704381E-2</v>
      </c>
      <c r="CY7" s="20">
        <f t="shared" ref="CY7:CY13" ca="1" si="32">-$CW7/3</f>
        <v>-3.1464556904469587E-2</v>
      </c>
      <c r="CZ7" s="20">
        <f t="shared" ref="CZ7:CZ13" ca="1" si="33">-$CW7/5</f>
        <v>-1.8878734142681753E-2</v>
      </c>
      <c r="DA7" s="20">
        <f t="shared" ref="DA7:DA13" ca="1" si="34">-$CW7/9</f>
        <v>-1.0488185634823196E-2</v>
      </c>
      <c r="DB7" s="20">
        <f t="shared" ca="1" si="9"/>
        <v>-5.5525688654946333E-3</v>
      </c>
      <c r="DC7" s="20">
        <f t="shared" ca="1" si="10"/>
        <v>-2.8604142640426895E-3</v>
      </c>
      <c r="DD7" s="20">
        <f t="shared" ca="1" si="11"/>
        <v>-1.4522103186678272E-3</v>
      </c>
      <c r="DE7" s="21">
        <f t="shared" ca="1" si="12"/>
        <v>1.4522103186678272E-3</v>
      </c>
      <c r="DF7" s="21">
        <f t="shared" ca="1" si="13"/>
        <v>2.8604142640426895E-3</v>
      </c>
      <c r="DG7" s="21">
        <f t="shared" ca="1" si="14"/>
        <v>5.5525688654946333E-3</v>
      </c>
      <c r="DH7" s="21">
        <f t="shared" ref="DH7:DH13" ca="1" si="35">-$CW7/9*-1</f>
        <v>1.0488185634823196E-2</v>
      </c>
      <c r="DI7" s="21">
        <f t="shared" ref="DI7:DI13" ca="1" si="36">-$CW7/5*-1</f>
        <v>1.8878734142681753E-2</v>
      </c>
      <c r="DJ7" s="21">
        <f t="shared" ref="DJ7:DJ13" ca="1" si="37">-$CW7/3*-1</f>
        <v>3.1464556904469587E-2</v>
      </c>
      <c r="DK7" s="21">
        <f t="shared" ref="DK7:DK13" ca="1" si="38">-$CW7/2*-1</f>
        <v>4.7196835356704381E-2</v>
      </c>
      <c r="DM7" s="16" cm="1">
        <f t="array" aca="1" ref="DM7" ca="1">MAX(_xlfn._xlws.FILTER(CX7:DK7,CX7:DK7&lt;BV7))</f>
        <v>3.1464556904469587E-2</v>
      </c>
      <c r="DN7" s="16" cm="1">
        <f t="array" aca="1" ref="DN7" ca="1">MIN(_xlfn._xlws.FILTER(CX7:DK7,CX7:DK7&gt;BV7))</f>
        <v>4.7196835356704381E-2</v>
      </c>
      <c r="DO7" s="2" cm="1">
        <f t="array" aca="1" ref="DO7" ca="1">_FV(ED7,"Fechamento anterior",TRUE)</f>
        <v>25.08</v>
      </c>
      <c r="DP7" s="28">
        <f t="shared" ca="1" si="15"/>
        <v>0.33167851315098668</v>
      </c>
      <c r="DQ7" s="15">
        <f t="shared" ca="1" si="16"/>
        <v>25.869131087164096</v>
      </c>
      <c r="DR7" s="15">
        <f t="shared" ca="1" si="17"/>
        <v>26.263696630746143</v>
      </c>
      <c r="DS7" s="9"/>
      <c r="DT7" s="9"/>
      <c r="DU7" s="9"/>
      <c r="DV7" s="89">
        <v>8.7858517872228519E-3</v>
      </c>
      <c r="DW7" s="89">
        <f t="shared" ca="1" si="18"/>
        <v>1.5732278452234794E-2</v>
      </c>
      <c r="DX7" s="72">
        <f t="shared" ca="1" si="19"/>
        <v>-0.58533393126182232</v>
      </c>
      <c r="DY7" s="37"/>
      <c r="DZ7" s="35">
        <f t="shared" ref="DZ7:DZ70" si="39">_xlfn.STDEV.P(BK7:BO7)</f>
        <v>0.6449310040616747</v>
      </c>
      <c r="EA7" s="56"/>
      <c r="EB7" s="56"/>
      <c r="ED7" s="2" t="e" vm="7">
        <v>#VALUE!</v>
      </c>
      <c r="EF7" s="10" cm="1">
        <f t="array" aca="1" ref="EF7" ca="1">_FV(ED7,"Ações em circulação",TRUE)</f>
        <v>20585620</v>
      </c>
      <c r="EG7" s="18">
        <f>VLOOKUP(BQ7,Fundamentus!A:U,5,FALSE)</f>
        <v>0.77600000000000002</v>
      </c>
      <c r="EH7" s="2">
        <f t="shared" ca="1" si="20"/>
        <v>689724381.44329894</v>
      </c>
      <c r="EI7" s="17">
        <v>101075288.08855671</v>
      </c>
      <c r="EJ7" s="17">
        <f t="shared" ca="1" si="21"/>
        <v>97044220.469072148</v>
      </c>
      <c r="EL7" s="16">
        <f t="shared" ca="1" si="22"/>
        <v>-3.9881831610044549E-2</v>
      </c>
      <c r="EM7" s="32" t="str">
        <f>IF(VLOOKUP(BQ7,Fundamentus!A:U,3,FALSE)&lt;15,"Bom",IF(VLOOKUP(BQ7,Fundamentus!A:U,3,FALSE)&gt;15,"Ruim","n/a"))</f>
        <v>Bom</v>
      </c>
      <c r="EN7" s="28" t="str">
        <f>IF(VLOOKUP(BQ7,Fundamentus!A:U,4,FALSE)&lt;1,"Baixo",IF(VLOOKUP(BQ7,Fundamentus!A:U,4,FALSE)&lt;1.5,"Moderado",IF(VLOOKUP(BQ7,Fundamentus!A:U,4,FALSE)&gt;1.5,"Alto","n/a")))</f>
        <v>Baixo</v>
      </c>
      <c r="EO7" s="17" t="str">
        <f>IF(VLOOKUP(BQ7,Fundamentus!A:U,8,FALSE)&lt;0,"Risco elevado",IF(VLOOKUP(BQ7,Fundamentus!A:U,8,FALSE)&lt;1,"Saudável",IF(VLOOKUP(BQ7,Fundamentus!A:U,8,FALSE)&lt;3,"Estável",IF(VLOOKUP(BQ7,Fundamentus!A:U,8,FALSE)&gt;3,"Alerta","n/a"))))</f>
        <v>Estável</v>
      </c>
      <c r="EP7" s="28" t="str">
        <f t="shared" si="23"/>
        <v>Ruim</v>
      </c>
      <c r="EQ7" s="17" t="str">
        <f>IF(VLOOKUP(BQ7,Fundamentus!A:U,12,FALSE)&lt;2,"Subvalorizada",IF(VLOOKUP(BQ7,Fundamentus!A:U,12,FALSE)&lt;6,"Muita barata",IF(VLOOKUP(BQ7,Fundamentus!A:U,12,FALSE)&lt;6,"Barata",IF(VLOOKUP(BQ7,Fundamentus!A:U,12,FALSE)&lt;8,"Atrativa",IF(VLOOKUP(BQ7,Fundamentus!A:U,12,FALSE)&gt;8,"Supervalorizada","n/a")))))</f>
        <v>Muita barata</v>
      </c>
      <c r="ES7" s="17" t="str">
        <f>IF(VLOOKUP(BQ7,Fundamentus!A:U,17,FALSE)&lt;0.1,"Fraco retorno",IF(VLOOKUP(BQ7,Fundamentus!A:U,17,FALSE)&gt;0.1,"Bom retorno","n/a"))</f>
        <v>Bom retorno</v>
      </c>
      <c r="ET7" s="17" t="str">
        <f>IF(VLOOKUP(BQ7,Fundamentus!A:U,16,FALSE)&lt;0.1,"Ineficiente",IF(VLOOKUP(BQ7,Fundamentus!A:U,16,FALSE)&gt;0.1,"Eficiente","n/a"))</f>
        <v>Ineficiente</v>
      </c>
      <c r="EU7" s="33" t="str">
        <f>IF(VLOOKUP(BQ7,Fundamentus!A:U,16,FALSE)&lt;0.1,"Oper. Ineficiente",IF(VLOOKUP(BQ7,Fundamentus!A:U,16,FALSE)&gt;0.1,"Oper.Eficiente","n/a"))</f>
        <v>Oper. Ineficiente</v>
      </c>
      <c r="EV7" s="34">
        <f>VLOOKUP(BQ7,Fundamentus!A:U,14,FALSE)</f>
        <v>0.14069999999999999</v>
      </c>
      <c r="EW7" s="17" t="str">
        <f>IF(VLOOKUP(BQ7,Fundamentus!A:U,21,FALSE)&lt;0,"Negativo",IF(VLOOKUP(BQ7,Fundamentus!A:U,21,FALSE)&lt;0.05,"Fraco",IF(VLOOKUP(BQ7,Fundamentus!A:U,21,FALSE)&lt;0.1,"Bom",IF(VLOOKUP(BQ7,Fundamentus!A:U,21,FALSE)&gt;0.1,"Muito bom","n/a"))))</f>
        <v>Muito bom</v>
      </c>
      <c r="EY7" s="29" t="str">
        <f>IF(VLOOKUP(BQ7,Fundamentus!A:U,15,FALSE)&gt;1,"Bom",IF(VLOOKUP(BQ7,Fundamentus!A:U,15,FALSE)&lt;1,"Ruim","n/a"))</f>
        <v>Bom</v>
      </c>
      <c r="EZ7" s="17" t="str">
        <f>IF(VLOOKUP(BQ7,Fundamentus!A:U,20,FALSE)&lt;0.5,"Baixa",IF(VLOOKUP(BQ7,Fundamentus!A:U,20,FALSE)&lt;1,"Moderada",IF(VLOOKUP(BQ7,Fundamentus!A:U,20,FALSE)&lt;2,"Alerta",IF(VLOOKUP(BQ7,Fundamentus!A:U,20,FALSE)&gt;2,"Alta","n/a"))))</f>
        <v>Baixa</v>
      </c>
    </row>
    <row r="8" spans="1:156" s="2" customFormat="1" ht="11.25" hidden="1" x14ac:dyDescent="0.2">
      <c r="A8" s="4">
        <v>26.09</v>
      </c>
      <c r="B8" s="4">
        <v>25.3</v>
      </c>
      <c r="C8" s="4">
        <v>26.19</v>
      </c>
      <c r="D8" s="4">
        <v>27.09</v>
      </c>
      <c r="E8" s="4">
        <v>25.4</v>
      </c>
      <c r="F8" s="4">
        <v>25.01</v>
      </c>
      <c r="G8" s="4">
        <v>25.25</v>
      </c>
      <c r="H8" s="4">
        <v>26.47</v>
      </c>
      <c r="I8" s="4">
        <v>26.1</v>
      </c>
      <c r="J8" s="4">
        <v>26.98</v>
      </c>
      <c r="K8" s="4">
        <v>25.95</v>
      </c>
      <c r="L8" s="4">
        <v>24.55</v>
      </c>
      <c r="M8" s="4">
        <v>24.68</v>
      </c>
      <c r="N8" s="4">
        <v>24.56</v>
      </c>
      <c r="O8" s="4">
        <v>24.43</v>
      </c>
      <c r="P8" s="4">
        <v>24.63</v>
      </c>
      <c r="Q8" s="4">
        <v>25.17</v>
      </c>
      <c r="R8" s="4">
        <v>24.71</v>
      </c>
      <c r="S8" s="4">
        <v>24.85</v>
      </c>
      <c r="T8" s="4">
        <v>24.7</v>
      </c>
      <c r="U8" s="4">
        <v>24.44</v>
      </c>
      <c r="V8" s="4">
        <v>24.22</v>
      </c>
      <c r="W8" s="4">
        <v>24.13</v>
      </c>
      <c r="X8" s="4">
        <v>24.71</v>
      </c>
      <c r="Y8" s="4">
        <v>24.34</v>
      </c>
      <c r="Z8" s="4">
        <v>24.43</v>
      </c>
      <c r="AA8" s="4">
        <v>24.1</v>
      </c>
      <c r="AB8" s="4">
        <v>24.37</v>
      </c>
      <c r="AC8" s="4">
        <v>24.2</v>
      </c>
      <c r="AD8" s="4">
        <v>24.37</v>
      </c>
      <c r="AE8" s="4">
        <v>24.16</v>
      </c>
      <c r="AF8" s="4">
        <v>24.53</v>
      </c>
      <c r="AG8" s="4">
        <v>24.19</v>
      </c>
      <c r="AH8" s="4">
        <v>23.13</v>
      </c>
      <c r="AI8" s="4">
        <v>23.05</v>
      </c>
      <c r="AJ8" s="4">
        <v>22.55</v>
      </c>
      <c r="AK8" s="4">
        <v>22.61</v>
      </c>
      <c r="AL8" s="4">
        <v>22.95</v>
      </c>
      <c r="AM8" s="4">
        <v>22.94</v>
      </c>
      <c r="AN8" s="4">
        <v>23.8</v>
      </c>
      <c r="AO8" s="4">
        <v>23.9</v>
      </c>
      <c r="AP8" s="4">
        <v>23.78</v>
      </c>
      <c r="AQ8" s="4">
        <v>23.66</v>
      </c>
      <c r="AR8" s="4">
        <v>23.2</v>
      </c>
      <c r="AS8" s="4">
        <v>23.55</v>
      </c>
      <c r="AT8" s="4">
        <v>22.85</v>
      </c>
      <c r="AU8" s="4">
        <v>23.13</v>
      </c>
      <c r="AV8" s="4">
        <v>22.44</v>
      </c>
      <c r="AW8" s="4">
        <v>22.1</v>
      </c>
      <c r="AX8" s="4">
        <v>22.17</v>
      </c>
      <c r="AY8" s="12">
        <v>22.39</v>
      </c>
      <c r="AZ8" s="12">
        <v>23.28</v>
      </c>
      <c r="BA8" s="12">
        <v>23.99</v>
      </c>
      <c r="BB8" s="15">
        <v>22.87</v>
      </c>
      <c r="BC8" s="52">
        <v>23.42</v>
      </c>
      <c r="BD8" s="52">
        <v>23.5</v>
      </c>
      <c r="BE8" s="52">
        <v>23.4</v>
      </c>
      <c r="BF8" s="52">
        <v>23.14</v>
      </c>
      <c r="BG8" s="67">
        <v>23.12</v>
      </c>
      <c r="BH8" s="52">
        <v>23.03</v>
      </c>
      <c r="BI8" s="52">
        <v>22.79</v>
      </c>
      <c r="BJ8" s="52">
        <v>23.31</v>
      </c>
      <c r="BK8" s="52">
        <v>22.8</v>
      </c>
      <c r="BL8" s="52">
        <v>22.44</v>
      </c>
      <c r="BM8" s="52">
        <v>22.37</v>
      </c>
      <c r="BN8" s="52">
        <v>21.6</v>
      </c>
      <c r="BO8" s="52">
        <v>21.82</v>
      </c>
      <c r="BP8" s="52" cm="1">
        <f t="array" aca="1" ref="BP8" ca="1">_FV(ED8,"Preço")</f>
        <v>22.13</v>
      </c>
      <c r="BQ8" s="69" t="s">
        <v>5</v>
      </c>
      <c r="BR8" s="36" cm="1">
        <f t="array" aca="1" ref="BR8" ca="1">_FV(ED8,"Média de volume",TRUE)</f>
        <v>2192490</v>
      </c>
      <c r="BS8" s="36">
        <v>1796100</v>
      </c>
      <c r="BT8" s="36" cm="1">
        <f t="array" aca="1" ref="BT8" ca="1">_FV(ED8,"Volume")</f>
        <v>1749700</v>
      </c>
      <c r="BU8" s="24" cm="1">
        <f t="array" aca="1" ref="BU8" ca="1">_FV(ED8,"Beta")</f>
        <v>0.7036</v>
      </c>
      <c r="BV8" s="71" cm="1">
        <f t="array" aca="1" ref="BV8" ca="1">_FV(ED8,"Variação (%)",TRUE)</f>
        <v>4.9950000000000003E-3</v>
      </c>
      <c r="BX8" s="17" cm="1">
        <f t="array" aca="1" ref="BX8" ca="1">_FV(ED8,"Baixo")</f>
        <v>21.97</v>
      </c>
      <c r="BY8" s="17" cm="1">
        <f t="array" aca="1" ref="BY8" ca="1">_FV(ED8,"Alto")</f>
        <v>22.25</v>
      </c>
      <c r="BZ8" s="24"/>
      <c r="CA8" s="63">
        <f ca="1">SQRT(22.5*(BP8/VLOOKUP(BQ8,Fundamentus!A:U,3,FALSE))*(BP8/VLOOKUP(BQ8,Fundamentus!A:U,4,FALSE)))</f>
        <v>60.800374484369861</v>
      </c>
      <c r="CC8" s="62">
        <f t="shared" ca="1" si="24"/>
        <v>1.4207149404216256E-2</v>
      </c>
      <c r="CD8" s="8"/>
      <c r="CE8" s="61">
        <f t="shared" si="25"/>
        <v>21.6</v>
      </c>
      <c r="CF8" s="61">
        <f t="shared" si="26"/>
        <v>27.09</v>
      </c>
      <c r="CG8" s="61">
        <f t="shared" si="27"/>
        <v>23.960895522388061</v>
      </c>
      <c r="CH8" s="14"/>
      <c r="CI8" s="35">
        <f t="shared" si="1"/>
        <v>20.527889915205517</v>
      </c>
      <c r="CJ8" s="15">
        <f t="shared" si="28"/>
        <v>21.399999999999864</v>
      </c>
      <c r="CK8" s="35">
        <f t="shared" si="2"/>
        <v>22.27211008479421</v>
      </c>
      <c r="CM8" s="14"/>
      <c r="CN8" s="17">
        <f t="shared" si="3"/>
        <v>14.426666666666662</v>
      </c>
      <c r="CO8" s="17">
        <f t="shared" si="4"/>
        <v>18.013333333333332</v>
      </c>
      <c r="CP8" s="17">
        <f t="shared" si="5"/>
        <v>19.916666666666661</v>
      </c>
      <c r="CQ8" s="38">
        <f t="shared" si="29"/>
        <v>23.50333333333333</v>
      </c>
      <c r="CR8" s="17">
        <f t="shared" si="6"/>
        <v>25.406666666666659</v>
      </c>
      <c r="CS8" s="17">
        <f t="shared" si="7"/>
        <v>28.993333333333329</v>
      </c>
      <c r="CT8" s="17">
        <f t="shared" si="8"/>
        <v>30.896666666666658</v>
      </c>
      <c r="CU8" s="2" cm="1">
        <f t="array" aca="1" ref="CU8" ca="1">MAX(_xlfn._xlws.FILTER(CN8:CT8,CN8:CT8&lt;BP8))</f>
        <v>19.916666666666661</v>
      </c>
      <c r="CV8" s="2" cm="1">
        <f t="array" aca="1" ref="CV8" ca="1">MIN(_xlfn._xlws.FILTER($CN8:$CT8,$CN8:$CT8&gt;BP8))</f>
        <v>23.50333333333333</v>
      </c>
      <c r="CW8" s="16">
        <f t="shared" ca="1" si="30"/>
        <v>0.18008368200836844</v>
      </c>
      <c r="CX8" s="20">
        <f t="shared" ca="1" si="31"/>
        <v>-9.004184100418422E-2</v>
      </c>
      <c r="CY8" s="20">
        <f t="shared" ca="1" si="32"/>
        <v>-6.0027894002789482E-2</v>
      </c>
      <c r="CZ8" s="20">
        <f t="shared" ca="1" si="33"/>
        <v>-3.6016736401673688E-2</v>
      </c>
      <c r="DA8" s="20">
        <f t="shared" ca="1" si="34"/>
        <v>-2.0009298000929827E-2</v>
      </c>
      <c r="DB8" s="20">
        <f ca="1">-$CW8/17</f>
        <v>-1.0593157765198143E-2</v>
      </c>
      <c r="DC8" s="20">
        <f ca="1">-$CW8/33</f>
        <v>-5.4570812729808618E-3</v>
      </c>
      <c r="DD8" s="20">
        <f ca="1">-$CW8/65</f>
        <v>-2.7705181847441297E-3</v>
      </c>
      <c r="DE8" s="21">
        <f ca="1">-$CW8/65*-1</f>
        <v>2.7705181847441297E-3</v>
      </c>
      <c r="DF8" s="21">
        <f ca="1">-$CW8/33*-1</f>
        <v>5.4570812729808618E-3</v>
      </c>
      <c r="DG8" s="21">
        <f ca="1">-$CW8/17*-1</f>
        <v>1.0593157765198143E-2</v>
      </c>
      <c r="DH8" s="21">
        <f t="shared" ca="1" si="35"/>
        <v>2.0009298000929827E-2</v>
      </c>
      <c r="DI8" s="21">
        <f t="shared" ca="1" si="36"/>
        <v>3.6016736401673688E-2</v>
      </c>
      <c r="DJ8" s="21">
        <f t="shared" ca="1" si="37"/>
        <v>6.0027894002789482E-2</v>
      </c>
      <c r="DK8" s="21">
        <f t="shared" ca="1" si="38"/>
        <v>9.004184100418422E-2</v>
      </c>
      <c r="DM8" s="16" cm="1">
        <f t="array" aca="1" ref="DM8" ca="1">MAX(_xlfn._xlws.FILTER(CX8:DK8,CX8:DK8&lt;BV8))</f>
        <v>2.7705181847441297E-3</v>
      </c>
      <c r="DN8" s="16" cm="1">
        <f t="array" aca="1" ref="DN8" ca="1">MIN(_xlfn._xlws.FILTER(CX8:DK8,CX8:DK8&gt;BV8))</f>
        <v>5.4570812729808618E-3</v>
      </c>
      <c r="DO8" s="2" cm="1">
        <f t="array" aca="1" ref="DO8" ca="1">_FV(ED8,"Fechamento anterior",TRUE)</f>
        <v>22.02</v>
      </c>
      <c r="DP8" s="28">
        <f t="shared" ca="1" si="15"/>
        <v>0.82817354966674439</v>
      </c>
      <c r="DQ8" s="15">
        <f t="shared" ca="1" si="16"/>
        <v>22.081006810428065</v>
      </c>
      <c r="DR8" s="15">
        <f t="shared" ca="1" si="17"/>
        <v>22.140164929631037</v>
      </c>
      <c r="DS8" s="9"/>
      <c r="DT8" s="9"/>
      <c r="DU8" s="9"/>
      <c r="DV8" s="89">
        <v>5.1360764922172815E-3</v>
      </c>
      <c r="DW8" s="89">
        <f t="shared" ca="1" si="18"/>
        <v>2.686563088236732E-3</v>
      </c>
      <c r="DX8" s="72">
        <f t="shared" ca="1" si="19"/>
        <v>0.83705029070071757</v>
      </c>
      <c r="DY8" s="37"/>
      <c r="DZ8" s="35">
        <f t="shared" si="39"/>
        <v>0.43605504239717258</v>
      </c>
      <c r="EA8" s="56"/>
      <c r="EB8" s="56"/>
      <c r="ED8" s="2" t="e" vm="8">
        <v>#VALUE!</v>
      </c>
      <c r="EF8" s="10" cm="1">
        <f t="array" aca="1" ref="EF8" ca="1">_FV(ED8,"Ações em circulação",TRUE)</f>
        <v>658883300</v>
      </c>
      <c r="EG8" s="18">
        <f>VLOOKUP(BQ8,Fundamentus!A:U,5,FALSE)</f>
        <v>1.76</v>
      </c>
      <c r="EH8" s="2">
        <f t="shared" ca="1" si="20"/>
        <v>8284708766.477273</v>
      </c>
      <c r="EI8" s="17">
        <v>3521507367.9242043</v>
      </c>
      <c r="EJ8" s="17">
        <f t="shared" ca="1" si="21"/>
        <v>3571537949.2283521</v>
      </c>
      <c r="EL8" s="16">
        <f t="shared" ca="1" si="22"/>
        <v>1.4207149404216413E-2</v>
      </c>
      <c r="EM8" s="32" t="str">
        <f>IF(VLOOKUP(BQ8,Fundamentus!A:U,3,FALSE)&lt;15,"Bom",IF(VLOOKUP(BQ8,Fundamentus!A:U,3,FALSE)&gt;15,"Ruim","n/a"))</f>
        <v>Bom</v>
      </c>
      <c r="EN8" s="28" t="str">
        <f>IF(VLOOKUP(BQ8,Fundamentus!A:U,4,FALSE)&lt;1,"Baixo",IF(VLOOKUP(BQ8,Fundamentus!A:U,4,FALSE)&lt;1.5,"Moderado",IF(VLOOKUP(BQ8,Fundamentus!A:U,4,FALSE)&gt;1.5,"Alto","n/a")))</f>
        <v>Baixo</v>
      </c>
      <c r="EO8" s="17" t="str">
        <f>IF(VLOOKUP(BQ8,Fundamentus!A:U,8,FALSE)&lt;0,"Risco elevado",IF(VLOOKUP(BQ8,Fundamentus!A:U,8,FALSE)&lt;1,"Saudável",IF(VLOOKUP(BQ8,Fundamentus!A:U,8,FALSE)&lt;3,"Estável",IF(VLOOKUP(BQ8,Fundamentus!A:U,8,FALSE)&gt;3,"Alerta","n/a"))))</f>
        <v>Estável</v>
      </c>
      <c r="EP8" s="28" t="str">
        <f t="shared" si="23"/>
        <v>Bom</v>
      </c>
      <c r="EQ8" s="17" t="str">
        <f>IF(VLOOKUP(BQ8,Fundamentus!A:U,12,FALSE)&lt;2,"Subvalorizada",IF(VLOOKUP(BQ8,Fundamentus!A:U,12,FALSE)&lt;6,"Muita barata",IF(VLOOKUP(BQ8,Fundamentus!A:U,12,FALSE)&lt;6,"Barata",IF(VLOOKUP(BQ8,Fundamentus!A:U,12,FALSE)&lt;8,"Atrativa",IF(VLOOKUP(BQ8,Fundamentus!A:U,12,FALSE)&gt;8,"Supervalorizada","n/a")))))</f>
        <v>Muita barata</v>
      </c>
      <c r="ES8" s="17" t="str">
        <f>IF(VLOOKUP(BQ8,Fundamentus!A:U,17,FALSE)&lt;0.1,"Fraco retorno",IF(VLOOKUP(BQ8,Fundamentus!A:U,17,FALSE)&gt;0.1,"Bom retorno","n/a"))</f>
        <v>Bom retorno</v>
      </c>
      <c r="ET8" s="17" t="str">
        <f>IF(VLOOKUP(BQ8,Fundamentus!A:U,16,FALSE)&lt;0.1,"Ineficiente",IF(VLOOKUP(BQ8,Fundamentus!A:U,16,FALSE)&gt;0.1,"Eficiente","n/a"))</f>
        <v>Eficiente</v>
      </c>
      <c r="EU8" s="33" t="str">
        <f>IF(VLOOKUP(BQ8,Fundamentus!A:U,16,FALSE)&lt;0.1,"Oper. Ineficiente",IF(VLOOKUP(BQ8,Fundamentus!A:U,16,FALSE)&gt;0.1,"Oper.Eficiente","n/a"))</f>
        <v>Oper.Eficiente</v>
      </c>
      <c r="EV8" s="34">
        <f>VLOOKUP(BQ8,Fundamentus!A:U,14,FALSE)</f>
        <v>0.43109999999999998</v>
      </c>
      <c r="EW8" s="17" t="str">
        <f>IF(VLOOKUP(BQ8,Fundamentus!A:U,21,FALSE)&lt;0,"Negativo",IF(VLOOKUP(BQ8,Fundamentus!A:U,21,FALSE)&lt;0.05,"Fraco",IF(VLOOKUP(BQ8,Fundamentus!A:U,21,FALSE)&lt;0.1,"Bom",IF(VLOOKUP(BQ8,Fundamentus!A:U,21,FALSE)&gt;0.1,"Muito bom","n/a"))))</f>
        <v>Muito bom</v>
      </c>
      <c r="EY8" s="29" t="str">
        <f>IF(VLOOKUP(BQ8,Fundamentus!A:U,15,FALSE)&gt;1,"Bom",IF(VLOOKUP(BQ8,Fundamentus!A:U,15,FALSE)&lt;1,"Ruim","n/a"))</f>
        <v>Bom</v>
      </c>
      <c r="EZ8" s="17" t="str">
        <f>IF(VLOOKUP(BQ8,Fundamentus!A:U,20,FALSE)&lt;0.5,"Baixa",IF(VLOOKUP(BQ8,Fundamentus!A:U,20,FALSE)&lt;1,"Moderada",IF(VLOOKUP(BQ8,Fundamentus!A:U,20,FALSE)&lt;2,"Alerta",IF(VLOOKUP(BQ8,Fundamentus!A:U,20,FALSE)&gt;2,"Alta","n/a"))))</f>
        <v>Moderada</v>
      </c>
    </row>
    <row r="9" spans="1:156" s="2" customFormat="1" ht="11.25" hidden="1" x14ac:dyDescent="0.2">
      <c r="A9" s="4">
        <v>9.1999999999999993</v>
      </c>
      <c r="B9" s="4">
        <v>8.98</v>
      </c>
      <c r="C9" s="4">
        <v>9.07</v>
      </c>
      <c r="D9" s="4">
        <v>9.0399999999999991</v>
      </c>
      <c r="E9" s="4">
        <v>9.01</v>
      </c>
      <c r="F9" s="4">
        <v>8.7899999999999991</v>
      </c>
      <c r="G9" s="4">
        <v>8.8000000000000007</v>
      </c>
      <c r="H9" s="4">
        <v>8.7200000000000006</v>
      </c>
      <c r="I9" s="4">
        <v>8.9700000000000006</v>
      </c>
      <c r="J9" s="4">
        <v>9.15</v>
      </c>
      <c r="K9" s="4">
        <v>9.07</v>
      </c>
      <c r="L9" s="4">
        <v>9.02</v>
      </c>
      <c r="M9" s="4">
        <v>8.93</v>
      </c>
      <c r="N9" s="4">
        <v>8.9499999999999993</v>
      </c>
      <c r="O9" s="4">
        <v>8.89</v>
      </c>
      <c r="P9" s="4">
        <v>9.0299999999999994</v>
      </c>
      <c r="Q9" s="4">
        <v>9.0399999999999991</v>
      </c>
      <c r="R9" s="4">
        <v>9.02</v>
      </c>
      <c r="S9" s="4">
        <v>9.0399999999999991</v>
      </c>
      <c r="T9" s="4">
        <v>8.99</v>
      </c>
      <c r="U9" s="4">
        <v>8.9</v>
      </c>
      <c r="V9" s="4">
        <v>8.9499999999999993</v>
      </c>
      <c r="W9" s="4">
        <v>8.98</v>
      </c>
      <c r="X9" s="4">
        <v>8.84</v>
      </c>
      <c r="Y9" s="4">
        <v>8.81</v>
      </c>
      <c r="Z9" s="4">
        <v>8.82</v>
      </c>
      <c r="AA9" s="4">
        <v>8.68</v>
      </c>
      <c r="AB9" s="4">
        <v>8.49</v>
      </c>
      <c r="AC9" s="4">
        <v>8.4499999999999993</v>
      </c>
      <c r="AD9" s="4">
        <v>8.32</v>
      </c>
      <c r="AE9" s="4">
        <v>8.57</v>
      </c>
      <c r="AF9" s="4">
        <v>8.24</v>
      </c>
      <c r="AG9" s="4">
        <v>8.1199999999999992</v>
      </c>
      <c r="AH9" s="4">
        <v>8.42</v>
      </c>
      <c r="AI9" s="4">
        <v>8.4499999999999993</v>
      </c>
      <c r="AJ9" s="4">
        <v>8.2100000000000009</v>
      </c>
      <c r="AK9" s="4">
        <v>8.3000000000000007</v>
      </c>
      <c r="AL9" s="4">
        <v>8.2899999999999991</v>
      </c>
      <c r="AM9" s="4">
        <v>8.2200000000000006</v>
      </c>
      <c r="AN9" s="4">
        <v>8.27</v>
      </c>
      <c r="AO9" s="4">
        <v>8.19</v>
      </c>
      <c r="AP9" s="4">
        <v>8.1999999999999993</v>
      </c>
      <c r="AQ9" s="4">
        <v>8.14</v>
      </c>
      <c r="AR9" s="4">
        <v>8.16</v>
      </c>
      <c r="AS9" s="4">
        <v>8.26</v>
      </c>
      <c r="AT9" s="4">
        <v>8.2200000000000006</v>
      </c>
      <c r="AU9" s="4">
        <v>8.1750000000000007</v>
      </c>
      <c r="AV9" s="4">
        <v>8.5500000000000007</v>
      </c>
      <c r="AW9" s="4">
        <v>8.4600000000000009</v>
      </c>
      <c r="AX9" s="4">
        <v>8.35</v>
      </c>
      <c r="AY9" s="12">
        <v>8.4600000000000009</v>
      </c>
      <c r="AZ9" s="12">
        <v>8.6199999999999992</v>
      </c>
      <c r="BA9" s="12">
        <v>8.83</v>
      </c>
      <c r="BB9" s="15">
        <v>8.73</v>
      </c>
      <c r="BC9" s="52">
        <v>8.52</v>
      </c>
      <c r="BD9" s="52">
        <v>8.77</v>
      </c>
      <c r="BE9" s="52">
        <v>8.64</v>
      </c>
      <c r="BF9" s="52">
        <v>8.56</v>
      </c>
      <c r="BG9" s="67">
        <v>8.58</v>
      </c>
      <c r="BH9" s="52">
        <v>8.42</v>
      </c>
      <c r="BI9" s="52">
        <v>8.49</v>
      </c>
      <c r="BJ9" s="52">
        <v>8.6300000000000008</v>
      </c>
      <c r="BK9" s="52">
        <v>8.5</v>
      </c>
      <c r="BL9" s="52">
        <v>8.49</v>
      </c>
      <c r="BM9" s="52">
        <v>8.39</v>
      </c>
      <c r="BN9" s="52">
        <v>8.3800000000000008</v>
      </c>
      <c r="BO9" s="52">
        <v>8.5</v>
      </c>
      <c r="BP9" s="52" cm="1">
        <f t="array" aca="1" ref="BP9" ca="1">_FV(ED9,"Preço")</f>
        <v>8.5399999999999991</v>
      </c>
      <c r="BQ9" s="69" t="s">
        <v>6</v>
      </c>
      <c r="BR9" s="36" cm="1">
        <f t="array" aca="1" ref="BR9" ca="1">_FV(ED9,"Média de volume",TRUE)</f>
        <v>10500</v>
      </c>
      <c r="BS9" s="36">
        <v>8000</v>
      </c>
      <c r="BT9" s="36" cm="1">
        <f t="array" aca="1" ref="BT9" ca="1">_FV(ED9,"Volume")</f>
        <v>12000</v>
      </c>
      <c r="BU9" s="24" cm="1">
        <f t="array" aca="1" ref="BU9" ca="1">_FV(ED9,"Beta")</f>
        <v>0.43580000000000002</v>
      </c>
      <c r="BV9" s="71" cm="1">
        <f t="array" aca="1" ref="BV9" ca="1">_FV(ED9,"Variação (%)",TRUE)</f>
        <v>9.4559999999999991E-3</v>
      </c>
      <c r="BX9" s="17" cm="1">
        <f t="array" aca="1" ref="BX9" ca="1">_FV(ED9,"Baixo")</f>
        <v>8.48</v>
      </c>
      <c r="BY9" s="17" cm="1">
        <f t="array" aca="1" ref="BY9" ca="1">_FV(ED9,"Alto")</f>
        <v>8.5500000000000007</v>
      </c>
      <c r="BZ9" s="24"/>
      <c r="CA9" s="63">
        <f ca="1">SQRT(22.5*(BP9/VLOOKUP(BQ9,Fundamentus!A:U,3,FALSE))*(BP9/VLOOKUP(BQ9,Fundamentus!A:U,4,FALSE)))</f>
        <v>14.114642065223283</v>
      </c>
      <c r="CC9" s="62">
        <f t="shared" ca="1" si="24"/>
        <v>4.7058823529410763E-3</v>
      </c>
      <c r="CD9" s="8"/>
      <c r="CE9" s="61">
        <f t="shared" si="25"/>
        <v>8.1199999999999992</v>
      </c>
      <c r="CF9" s="61">
        <f t="shared" si="26"/>
        <v>9.1999999999999993</v>
      </c>
      <c r="CG9" s="61">
        <f t="shared" si="27"/>
        <v>8.6306716417910447</v>
      </c>
      <c r="CH9" s="14"/>
      <c r="CI9" s="35">
        <f t="shared" si="1"/>
        <v>8.3351637582580356</v>
      </c>
      <c r="CJ9" s="15">
        <f t="shared" si="28"/>
        <v>8.4450000000000021</v>
      </c>
      <c r="CK9" s="35">
        <f t="shared" si="2"/>
        <v>8.5548362417419685</v>
      </c>
      <c r="CM9" s="14"/>
      <c r="CN9" s="17">
        <f t="shared" si="3"/>
        <v>6.9333333333333353</v>
      </c>
      <c r="CO9" s="17">
        <f t="shared" si="4"/>
        <v>7.5266666666666673</v>
      </c>
      <c r="CP9" s="17">
        <f t="shared" si="5"/>
        <v>8.0133333333333354</v>
      </c>
      <c r="CQ9" s="38">
        <f t="shared" si="29"/>
        <v>8.6066666666666674</v>
      </c>
      <c r="CR9" s="17">
        <f t="shared" si="6"/>
        <v>9.0933333333333355</v>
      </c>
      <c r="CS9" s="17">
        <f t="shared" si="7"/>
        <v>9.6866666666666674</v>
      </c>
      <c r="CT9" s="17">
        <f t="shared" si="8"/>
        <v>10.173333333333336</v>
      </c>
      <c r="CU9" s="2" cm="1">
        <f t="array" aca="1" ref="CU9" ca="1">MAX(_xlfn._xlws.FILTER(CN9:CT9,CN9:CT9&lt;BP9))</f>
        <v>8.0133333333333354</v>
      </c>
      <c r="CV9" s="2" cm="1">
        <f t="array" aca="1" ref="CV9" ca="1">MIN(_xlfn._xlws.FILTER($CN9:$CT9,$CN9:$CT9&gt;BP9))</f>
        <v>8.6066666666666674</v>
      </c>
      <c r="CW9" s="16">
        <f t="shared" ca="1" si="30"/>
        <v>7.404326123128091E-2</v>
      </c>
      <c r="CX9" s="20">
        <f t="shared" ca="1" si="31"/>
        <v>-3.7021630615640455E-2</v>
      </c>
      <c r="CY9" s="20">
        <f t="shared" ca="1" si="32"/>
        <v>-2.4681087077093638E-2</v>
      </c>
      <c r="CZ9" s="20">
        <f t="shared" ca="1" si="33"/>
        <v>-1.4808652246256182E-2</v>
      </c>
      <c r="DA9" s="20">
        <f t="shared" ca="1" si="34"/>
        <v>-8.2270290256978781E-3</v>
      </c>
      <c r="DB9" s="20">
        <f t="shared" ref="DB9:DB13" ca="1" si="40">-$CW9/17</f>
        <v>-4.3554859547812299E-3</v>
      </c>
      <c r="DC9" s="20">
        <f t="shared" ref="DC9:DC13" ca="1" si="41">-$CW9/33</f>
        <v>-2.243735188826694E-3</v>
      </c>
      <c r="DD9" s="20">
        <f t="shared" ref="DD9:DD13" ca="1" si="42">-$CW9/65</f>
        <v>-1.1391270958658602E-3</v>
      </c>
      <c r="DE9" s="21">
        <f t="shared" ref="DE9:DE13" ca="1" si="43">-$CW9/65*-1</f>
        <v>1.1391270958658602E-3</v>
      </c>
      <c r="DF9" s="21">
        <f t="shared" ref="DF9:DF13" ca="1" si="44">-$CW9/33*-1</f>
        <v>2.243735188826694E-3</v>
      </c>
      <c r="DG9" s="21">
        <f t="shared" ref="DG9:DG13" ca="1" si="45">-$CW9/17*-1</f>
        <v>4.3554859547812299E-3</v>
      </c>
      <c r="DH9" s="21">
        <f t="shared" ca="1" si="35"/>
        <v>8.2270290256978781E-3</v>
      </c>
      <c r="DI9" s="21">
        <f t="shared" ca="1" si="36"/>
        <v>1.4808652246256182E-2</v>
      </c>
      <c r="DJ9" s="21">
        <f t="shared" ca="1" si="37"/>
        <v>2.4681087077093638E-2</v>
      </c>
      <c r="DK9" s="21">
        <f t="shared" ca="1" si="38"/>
        <v>3.7021630615640455E-2</v>
      </c>
      <c r="DM9" s="16" cm="1">
        <f t="array" aca="1" ref="DM9" ca="1">MAX(_xlfn._xlws.FILTER(CX9:DK9,CX9:DK9&lt;BV9))</f>
        <v>8.2270290256978781E-3</v>
      </c>
      <c r="DN9" s="16" cm="1">
        <f t="array" aca="1" ref="DN9" ca="1">MIN(_xlfn._xlws.FILTER(CX9:DK9,CX9:DK9&gt;BV9))</f>
        <v>1.4808652246256182E-2</v>
      </c>
      <c r="DO9" s="2" cm="1">
        <f t="array" aca="1" ref="DO9" ca="1">_FV(ED9,"Fechamento anterior",TRUE)</f>
        <v>8.4600000000000009</v>
      </c>
      <c r="DP9" s="28">
        <f t="shared" ca="1" si="15"/>
        <v>0.18676786994977149</v>
      </c>
      <c r="DQ9" s="15">
        <f t="shared" ca="1" si="16"/>
        <v>8.529600665557405</v>
      </c>
      <c r="DR9" s="15">
        <f t="shared" ca="1" si="17"/>
        <v>8.5852811980033277</v>
      </c>
      <c r="DS9" s="9"/>
      <c r="DT9" s="9"/>
      <c r="DU9" s="9"/>
      <c r="DV9" s="89">
        <v>2.1117507659545358E-3</v>
      </c>
      <c r="DW9" s="89">
        <f t="shared" ca="1" si="18"/>
        <v>6.5816232205583042E-3</v>
      </c>
      <c r="DX9" s="72">
        <f t="shared" ca="1" si="19"/>
        <v>0.86492398586594454</v>
      </c>
      <c r="DY9" s="37"/>
      <c r="DZ9" s="35">
        <f t="shared" si="39"/>
        <v>5.4918120870983619E-2</v>
      </c>
      <c r="EA9" s="56"/>
      <c r="EB9" s="56"/>
      <c r="ED9" s="2" t="e" vm="9">
        <v>#VALUE!</v>
      </c>
      <c r="EF9" s="10" cm="1">
        <f t="array" aca="1" ref="EF9" ca="1">_FV(ED9,"Ações em circulação",TRUE)</f>
        <v>315912900</v>
      </c>
      <c r="EG9" s="18">
        <f>VLOOKUP(BQ9,Fundamentus!A:U,5,FALSE)</f>
        <v>0</v>
      </c>
      <c r="EH9" s="2" t="e">
        <f t="shared" ca="1" si="20"/>
        <v>#DIV/0!</v>
      </c>
      <c r="EI9" s="17" t="e">
        <v>#DIV/0!</v>
      </c>
      <c r="EJ9" s="17" t="e">
        <f t="shared" ca="1" si="21"/>
        <v>#DIV/0!</v>
      </c>
      <c r="EL9" s="16" t="e">
        <f t="shared" ca="1" si="22"/>
        <v>#DIV/0!</v>
      </c>
      <c r="EM9" s="32" t="str">
        <f>IF(VLOOKUP(BQ9,Fundamentus!A:U,3,FALSE)&lt;15,"Bom",IF(VLOOKUP(BQ9,Fundamentus!A:U,3,FALSE)&gt;15,"Ruim","n/a"))</f>
        <v>Bom</v>
      </c>
      <c r="EN9" s="28" t="str">
        <f>IF(VLOOKUP(BQ9,Fundamentus!A:U,4,FALSE)&lt;1,"Baixo",IF(VLOOKUP(BQ9,Fundamentus!A:U,4,FALSE)&lt;1.5,"Moderado",IF(VLOOKUP(BQ9,Fundamentus!A:U,4,FALSE)&gt;1.5,"Alto","n/a")))</f>
        <v>Moderado</v>
      </c>
      <c r="EO9" s="17" t="str">
        <f>IF(VLOOKUP(BQ9,Fundamentus!A:U,8,FALSE)&lt;0,"Risco elevado",IF(VLOOKUP(BQ9,Fundamentus!A:U,8,FALSE)&lt;1,"Saudável",IF(VLOOKUP(BQ9,Fundamentus!A:U,8,FALSE)&lt;3,"Estável",IF(VLOOKUP(BQ9,Fundamentus!A:U,8,FALSE)&gt;3,"Alerta","n/a"))))</f>
        <v>Saudável</v>
      </c>
      <c r="EP9" s="28" t="str">
        <f t="shared" si="23"/>
        <v>Ruim</v>
      </c>
      <c r="EQ9" s="17" t="str">
        <f>IF(VLOOKUP(BQ9,Fundamentus!A:U,12,FALSE)&lt;2,"Subvalorizada",IF(VLOOKUP(BQ9,Fundamentus!A:U,12,FALSE)&lt;6,"Muita barata",IF(VLOOKUP(BQ9,Fundamentus!A:U,12,FALSE)&lt;6,"Barata",IF(VLOOKUP(BQ9,Fundamentus!A:U,12,FALSE)&lt;8,"Atrativa",IF(VLOOKUP(BQ9,Fundamentus!A:U,12,FALSE)&gt;8,"Supervalorizada","n/a")))))</f>
        <v>Subvalorizada</v>
      </c>
      <c r="ES9" s="17" t="str">
        <f>IF(VLOOKUP(BQ9,Fundamentus!A:U,17,FALSE)&lt;0.1,"Fraco retorno",IF(VLOOKUP(BQ9,Fundamentus!A:U,17,FALSE)&gt;0.1,"Bom retorno","n/a"))</f>
        <v>Bom retorno</v>
      </c>
      <c r="ET9" s="17" t="str">
        <f>IF(VLOOKUP(BQ9,Fundamentus!A:U,16,FALSE)&lt;0.1,"Ineficiente",IF(VLOOKUP(BQ9,Fundamentus!A:U,16,FALSE)&gt;0.1,"Eficiente","n/a"))</f>
        <v>Ineficiente</v>
      </c>
      <c r="EU9" s="33" t="str">
        <f>IF(VLOOKUP(BQ9,Fundamentus!A:U,16,FALSE)&lt;0.1,"Oper. Ineficiente",IF(VLOOKUP(BQ9,Fundamentus!A:U,16,FALSE)&gt;0.1,"Oper.Eficiente","n/a"))</f>
        <v>Oper. Ineficiente</v>
      </c>
      <c r="EV9" s="34">
        <f>VLOOKUP(BQ9,Fundamentus!A:U,14,FALSE)</f>
        <v>0</v>
      </c>
      <c r="EW9" s="17" t="str">
        <f>IF(VLOOKUP(BQ9,Fundamentus!A:U,21,FALSE)&lt;0,"Negativo",IF(VLOOKUP(BQ9,Fundamentus!A:U,21,FALSE)&lt;0.05,"Fraco",IF(VLOOKUP(BQ9,Fundamentus!A:U,21,FALSE)&lt;0.1,"Bom",IF(VLOOKUP(BQ9,Fundamentus!A:U,21,FALSE)&gt;0.1,"Muito bom","n/a"))))</f>
        <v>Muito bom</v>
      </c>
      <c r="EY9" s="29" t="str">
        <f>IF(VLOOKUP(BQ9,Fundamentus!A:U,15,FALSE)&gt;1,"Bom",IF(VLOOKUP(BQ9,Fundamentus!A:U,15,FALSE)&lt;1,"Ruim","n/a"))</f>
        <v>Ruim</v>
      </c>
      <c r="EZ9" s="17" t="str">
        <f>IF(VLOOKUP(BQ9,Fundamentus!A:U,20,FALSE)&lt;0.5,"Baixa",IF(VLOOKUP(BQ9,Fundamentus!A:U,20,FALSE)&lt;1,"Moderada",IF(VLOOKUP(BQ9,Fundamentus!A:U,20,FALSE)&lt;2,"Alerta",IF(VLOOKUP(BQ9,Fundamentus!A:U,20,FALSE)&gt;2,"Alta","n/a"))))</f>
        <v>Baixa</v>
      </c>
    </row>
    <row r="10" spans="1:156" s="2" customFormat="1" ht="11.25" hidden="1" x14ac:dyDescent="0.2">
      <c r="A10" s="4">
        <v>12.37</v>
      </c>
      <c r="B10" s="4">
        <v>12.05</v>
      </c>
      <c r="C10" s="4">
        <v>12.38</v>
      </c>
      <c r="D10" s="4">
        <v>11.87</v>
      </c>
      <c r="E10" s="4">
        <v>11.59</v>
      </c>
      <c r="F10" s="4">
        <v>11.56</v>
      </c>
      <c r="G10" s="4">
        <v>11.24</v>
      </c>
      <c r="H10" s="4">
        <v>11.28</v>
      </c>
      <c r="I10" s="4">
        <v>11.41</v>
      </c>
      <c r="J10" s="4">
        <v>11.32</v>
      </c>
      <c r="K10" s="4">
        <v>11.64</v>
      </c>
      <c r="L10" s="4">
        <v>11.73</v>
      </c>
      <c r="M10" s="4">
        <v>11.88</v>
      </c>
      <c r="N10" s="4">
        <v>11.87</v>
      </c>
      <c r="O10" s="4">
        <v>12.45</v>
      </c>
      <c r="P10" s="4">
        <v>12.89</v>
      </c>
      <c r="Q10" s="4">
        <v>13.08</v>
      </c>
      <c r="R10" s="4">
        <v>12.86</v>
      </c>
      <c r="S10" s="4">
        <v>12.99</v>
      </c>
      <c r="T10" s="4">
        <v>12.73</v>
      </c>
      <c r="U10" s="4">
        <v>12.76</v>
      </c>
      <c r="V10" s="4">
        <v>12.92</v>
      </c>
      <c r="W10" s="4">
        <v>13.28</v>
      </c>
      <c r="X10" s="4">
        <v>12.88</v>
      </c>
      <c r="Y10" s="4">
        <v>12.77</v>
      </c>
      <c r="Z10" s="4">
        <v>12.75</v>
      </c>
      <c r="AA10" s="4">
        <v>12.54</v>
      </c>
      <c r="AB10" s="4">
        <v>12.33</v>
      </c>
      <c r="AC10" s="4">
        <v>12.64</v>
      </c>
      <c r="AD10" s="4">
        <v>12.68</v>
      </c>
      <c r="AE10" s="4">
        <v>12.68</v>
      </c>
      <c r="AF10" s="4">
        <v>14.22</v>
      </c>
      <c r="AG10" s="4">
        <v>13.08</v>
      </c>
      <c r="AH10" s="4">
        <v>12.22</v>
      </c>
      <c r="AI10" s="4">
        <v>12.07</v>
      </c>
      <c r="AJ10" s="4">
        <v>11.33</v>
      </c>
      <c r="AK10" s="4">
        <v>11.16</v>
      </c>
      <c r="AL10" s="4">
        <v>11.09</v>
      </c>
      <c r="AM10" s="4">
        <v>10.87</v>
      </c>
      <c r="AN10" s="4">
        <v>11.1</v>
      </c>
      <c r="AO10" s="4">
        <v>10.85</v>
      </c>
      <c r="AP10" s="4">
        <v>11.13</v>
      </c>
      <c r="AQ10" s="4">
        <v>11.12</v>
      </c>
      <c r="AR10" s="4">
        <v>12.22</v>
      </c>
      <c r="AS10" s="4">
        <v>13.1</v>
      </c>
      <c r="AT10" s="4">
        <v>13.64</v>
      </c>
      <c r="AU10" s="4">
        <v>13.664999999999999</v>
      </c>
      <c r="AV10" s="4">
        <v>13.43</v>
      </c>
      <c r="AW10" s="4">
        <v>13.71</v>
      </c>
      <c r="AX10" s="4">
        <v>13.48</v>
      </c>
      <c r="AY10" s="12">
        <v>14</v>
      </c>
      <c r="AZ10" s="12">
        <v>14.09</v>
      </c>
      <c r="BA10" s="12">
        <v>14.57</v>
      </c>
      <c r="BB10" s="15">
        <v>14.37</v>
      </c>
      <c r="BC10" s="52">
        <v>14.41</v>
      </c>
      <c r="BD10" s="52">
        <v>14.24</v>
      </c>
      <c r="BE10" s="52">
        <v>14.03</v>
      </c>
      <c r="BF10" s="52">
        <v>14.08</v>
      </c>
      <c r="BG10" s="67">
        <v>13.64</v>
      </c>
      <c r="BH10" s="52">
        <v>13.53</v>
      </c>
      <c r="BI10" s="52">
        <v>13.15</v>
      </c>
      <c r="BJ10" s="52">
        <v>13.52</v>
      </c>
      <c r="BK10" s="52">
        <v>13.3</v>
      </c>
      <c r="BL10" s="52">
        <v>13.32</v>
      </c>
      <c r="BM10" s="52">
        <v>13.47</v>
      </c>
      <c r="BN10" s="52">
        <v>12.29</v>
      </c>
      <c r="BO10" s="52">
        <v>12.4</v>
      </c>
      <c r="BP10" s="52" cm="1">
        <f t="array" aca="1" ref="BP10" ca="1">_FV(ED10,"Preço")</f>
        <v>12.04</v>
      </c>
      <c r="BQ10" s="69" t="s">
        <v>7</v>
      </c>
      <c r="BR10" s="36" cm="1">
        <f t="array" aca="1" ref="BR10" ca="1">_FV(ED10,"Média de volume",TRUE)</f>
        <v>32362040</v>
      </c>
      <c r="BS10" s="36">
        <v>24174500</v>
      </c>
      <c r="BT10" s="36" cm="1">
        <f t="array" aca="1" ref="BT10" ca="1">_FV(ED10,"Volume")</f>
        <v>22216800</v>
      </c>
      <c r="BU10" s="24" cm="1">
        <f t="array" aca="1" ref="BU10" ca="1">_FV(ED10,"Beta")</f>
        <v>0.67679999999999996</v>
      </c>
      <c r="BV10" s="71" cm="1">
        <f t="array" aca="1" ref="BV10" ca="1">_FV(ED10,"Variação (%)",TRUE)</f>
        <v>1.6639999999999999E-3</v>
      </c>
      <c r="BX10" s="17" cm="1">
        <f t="array" aca="1" ref="BX10" ca="1">_FV(ED10,"Baixo")</f>
        <v>11.96</v>
      </c>
      <c r="BY10" s="17" cm="1">
        <f t="array" aca="1" ref="BY10" ca="1">_FV(ED10,"Alto")</f>
        <v>12.11</v>
      </c>
      <c r="BZ10" s="24"/>
      <c r="CA10" s="63">
        <f ca="1">SQRT(22.5*(BP10/VLOOKUP(BQ10,Fundamentus!A:U,3,FALSE))*(BP10/VLOOKUP(BQ10,Fundamentus!A:U,4,FALSE)))</f>
        <v>9.8398361536095269</v>
      </c>
      <c r="CC10" s="62">
        <f t="shared" ca="1" si="24"/>
        <v>-2.9032258064516224E-2</v>
      </c>
      <c r="CD10" s="8"/>
      <c r="CE10" s="61">
        <f t="shared" si="25"/>
        <v>10.85</v>
      </c>
      <c r="CF10" s="61">
        <f t="shared" si="26"/>
        <v>14.57</v>
      </c>
      <c r="CG10" s="61">
        <f t="shared" si="27"/>
        <v>12.646492537313431</v>
      </c>
      <c r="CH10" s="14"/>
      <c r="CI10" s="35">
        <f t="shared" si="1"/>
        <v>10.877936943384595</v>
      </c>
      <c r="CJ10" s="15">
        <f t="shared" si="28"/>
        <v>11.885000000000218</v>
      </c>
      <c r="CK10" s="35">
        <f t="shared" si="2"/>
        <v>12.892063056615841</v>
      </c>
      <c r="CM10" s="14"/>
      <c r="CN10" s="17">
        <f t="shared" si="3"/>
        <v>6.9233333333333338</v>
      </c>
      <c r="CO10" s="17">
        <f t="shared" si="4"/>
        <v>8.8866666666666667</v>
      </c>
      <c r="CP10" s="17">
        <f t="shared" si="5"/>
        <v>10.643333333333334</v>
      </c>
      <c r="CQ10" s="38">
        <f t="shared" si="29"/>
        <v>12.606666666666667</v>
      </c>
      <c r="CR10" s="17">
        <f t="shared" si="6"/>
        <v>14.363333333333335</v>
      </c>
      <c r="CS10" s="17">
        <f t="shared" si="7"/>
        <v>16.326666666666668</v>
      </c>
      <c r="CT10" s="17">
        <f t="shared" si="8"/>
        <v>18.083333333333336</v>
      </c>
      <c r="CU10" s="2" cm="1">
        <f t="array" aca="1" ref="CU10" ca="1">MAX(_xlfn._xlws.FILTER(CN10:CT10,CN10:CT10&lt;BP10))</f>
        <v>10.643333333333334</v>
      </c>
      <c r="CV10" s="2" cm="1">
        <f t="array" aca="1" ref="CV10" ca="1">MIN(_xlfn._xlws.FILTER($CN10:$CT10,$CN10:$CT10&gt;BP10))</f>
        <v>12.606666666666667</v>
      </c>
      <c r="CW10" s="16">
        <f t="shared" ca="1" si="30"/>
        <v>0.18446601941747565</v>
      </c>
      <c r="CX10" s="20">
        <f t="shared" ca="1" si="31"/>
        <v>-9.2233009708737823E-2</v>
      </c>
      <c r="CY10" s="20">
        <f t="shared" ca="1" si="32"/>
        <v>-6.1488673139158546E-2</v>
      </c>
      <c r="CZ10" s="20">
        <f t="shared" ca="1" si="33"/>
        <v>-3.6893203883495131E-2</v>
      </c>
      <c r="DA10" s="20">
        <f t="shared" ca="1" si="34"/>
        <v>-2.0496224379719517E-2</v>
      </c>
      <c r="DB10" s="20">
        <f t="shared" ca="1" si="40"/>
        <v>-1.0850942318675038E-2</v>
      </c>
      <c r="DC10" s="20">
        <f t="shared" ca="1" si="41"/>
        <v>-5.5898793762871411E-3</v>
      </c>
      <c r="DD10" s="20">
        <f t="shared" ca="1" si="42"/>
        <v>-2.837938760268856E-3</v>
      </c>
      <c r="DE10" s="21">
        <f t="shared" ca="1" si="43"/>
        <v>2.837938760268856E-3</v>
      </c>
      <c r="DF10" s="21">
        <f t="shared" ca="1" si="44"/>
        <v>5.5898793762871411E-3</v>
      </c>
      <c r="DG10" s="21">
        <f t="shared" ca="1" si="45"/>
        <v>1.0850942318675038E-2</v>
      </c>
      <c r="DH10" s="21">
        <f t="shared" ca="1" si="35"/>
        <v>2.0496224379719517E-2</v>
      </c>
      <c r="DI10" s="21">
        <f t="shared" ca="1" si="36"/>
        <v>3.6893203883495131E-2</v>
      </c>
      <c r="DJ10" s="21">
        <f t="shared" ca="1" si="37"/>
        <v>6.1488673139158546E-2</v>
      </c>
      <c r="DK10" s="21">
        <f t="shared" ca="1" si="38"/>
        <v>9.2233009708737823E-2</v>
      </c>
      <c r="DM10" s="16" cm="1">
        <f t="array" aca="1" ref="DM10" ca="1">MAX(_xlfn._xlws.FILTER(CX10:DK10,CX10:DK10&lt;BV10))</f>
        <v>-2.837938760268856E-3</v>
      </c>
      <c r="DN10" s="16" cm="1">
        <f t="array" aca="1" ref="DN10" ca="1">MIN(_xlfn._xlws.FILTER(CX10:DK10,CX10:DK10&gt;BV10))</f>
        <v>2.837938760268856E-3</v>
      </c>
      <c r="DO10" s="2" cm="1">
        <f t="array" aca="1" ref="DO10" ca="1">_FV(ED10,"Fechamento anterior",TRUE)</f>
        <v>12.02</v>
      </c>
      <c r="DP10" s="28">
        <f t="shared" ca="1" si="15"/>
        <v>0.79315176460284542</v>
      </c>
      <c r="DQ10" s="15">
        <f t="shared" ca="1" si="16"/>
        <v>11.985887976101568</v>
      </c>
      <c r="DR10" s="15">
        <f t="shared" ca="1" si="17"/>
        <v>12.054112023898432</v>
      </c>
      <c r="DS10" s="9"/>
      <c r="DT10" s="9"/>
      <c r="DU10" s="9"/>
      <c r="DV10" s="89">
        <v>5.6758775205377121E-3</v>
      </c>
      <c r="DW10" s="89">
        <f t="shared" ca="1" si="18"/>
        <v>5.6758775205377121E-3</v>
      </c>
      <c r="DX10" s="72">
        <f t="shared" ca="1" si="19"/>
        <v>0.15391290444183325</v>
      </c>
      <c r="DY10" s="37"/>
      <c r="DZ10" s="35">
        <f t="shared" si="39"/>
        <v>0.50353152830781156</v>
      </c>
      <c r="EA10" s="56"/>
      <c r="EB10" s="56"/>
      <c r="ED10" s="2" t="e" vm="10">
        <v>#VALUE!</v>
      </c>
      <c r="EF10" s="10" cm="1">
        <f t="array" aca="1" ref="EF10" ca="1">_FV(ED10,"Ações em circulação",TRUE)</f>
        <v>15761640000</v>
      </c>
      <c r="EG10" s="18">
        <f>VLOOKUP(BQ10,Fundamentus!A:U,5,FALSE)</f>
        <v>2.3370000000000002</v>
      </c>
      <c r="EH10" s="2">
        <f t="shared" ca="1" si="20"/>
        <v>81202458536.585358</v>
      </c>
      <c r="EI10" s="17">
        <v>13548131121.95122</v>
      </c>
      <c r="EJ10" s="17">
        <f t="shared" ca="1" si="21"/>
        <v>13154798282.926828</v>
      </c>
      <c r="EL10" s="16">
        <f t="shared" ca="1" si="22"/>
        <v>-2.9032258064516148E-2</v>
      </c>
      <c r="EM10" s="32" t="str">
        <f>IF(VLOOKUP(BQ10,Fundamentus!A:U,3,FALSE)&lt;15,"Bom",IF(VLOOKUP(BQ10,Fundamentus!A:U,3,FALSE)&gt;15,"Ruim","n/a"))</f>
        <v>Bom</v>
      </c>
      <c r="EN10" s="28" t="str">
        <f>IF(VLOOKUP(BQ10,Fundamentus!A:U,4,FALSE)&lt;1,"Baixo",IF(VLOOKUP(BQ10,Fundamentus!A:U,4,FALSE)&lt;1.5,"Moderado",IF(VLOOKUP(BQ10,Fundamentus!A:U,4,FALSE)&gt;1.5,"Alto","n/a")))</f>
        <v>Alto</v>
      </c>
      <c r="EO10" s="17" t="str">
        <f>IF(VLOOKUP(BQ10,Fundamentus!A:U,8,FALSE)&lt;0,"Risco elevado",IF(VLOOKUP(BQ10,Fundamentus!A:U,8,FALSE)&lt;1,"Saudável",IF(VLOOKUP(BQ10,Fundamentus!A:U,8,FALSE)&lt;3,"Estável",IF(VLOOKUP(BQ10,Fundamentus!A:U,8,FALSE)&gt;3,"Alerta","n/a"))))</f>
        <v>Alerta</v>
      </c>
      <c r="EP10" s="28" t="str">
        <f t="shared" si="23"/>
        <v>Bom</v>
      </c>
      <c r="EQ10" s="17" t="str">
        <f>IF(VLOOKUP(BQ10,Fundamentus!A:U,12,FALSE)&lt;2,"Subvalorizada",IF(VLOOKUP(BQ10,Fundamentus!A:U,12,FALSE)&lt;6,"Muita barata",IF(VLOOKUP(BQ10,Fundamentus!A:U,12,FALSE)&lt;6,"Barata",IF(VLOOKUP(BQ10,Fundamentus!A:U,12,FALSE)&lt;8,"Atrativa",IF(VLOOKUP(BQ10,Fundamentus!A:U,12,FALSE)&gt;8,"Supervalorizada","n/a")))))</f>
        <v>Atrativa</v>
      </c>
      <c r="ES10" s="17" t="str">
        <f>IF(VLOOKUP(BQ10,Fundamentus!A:U,17,FALSE)&lt;0.1,"Fraco retorno",IF(VLOOKUP(BQ10,Fundamentus!A:U,17,FALSE)&gt;0.1,"Bom retorno","n/a"))</f>
        <v>Bom retorno</v>
      </c>
      <c r="ET10" s="17" t="str">
        <f>IF(VLOOKUP(BQ10,Fundamentus!A:U,16,FALSE)&lt;0.1,"Ineficiente",IF(VLOOKUP(BQ10,Fundamentus!A:U,16,FALSE)&gt;0.1,"Eficiente","n/a"))</f>
        <v>Eficiente</v>
      </c>
      <c r="EU10" s="33" t="str">
        <f>IF(VLOOKUP(BQ10,Fundamentus!A:U,16,FALSE)&lt;0.1,"Oper. Ineficiente",IF(VLOOKUP(BQ10,Fundamentus!A:U,16,FALSE)&gt;0.1,"Oper.Eficiente","n/a"))</f>
        <v>Oper.Eficiente</v>
      </c>
      <c r="EV10" s="34">
        <f>VLOOKUP(BQ10,Fundamentus!A:U,14,FALSE)</f>
        <v>0.16200000000000001</v>
      </c>
      <c r="EW10" s="17" t="str">
        <f>IF(VLOOKUP(BQ10,Fundamentus!A:U,21,FALSE)&lt;0,"Negativo",IF(VLOOKUP(BQ10,Fundamentus!A:U,21,FALSE)&lt;0.05,"Fraco",IF(VLOOKUP(BQ10,Fundamentus!A:U,21,FALSE)&lt;0.1,"Bom",IF(VLOOKUP(BQ10,Fundamentus!A:U,21,FALSE)&gt;0.1,"Muito bom","n/a"))))</f>
        <v>Bom</v>
      </c>
      <c r="EY10" s="29" t="str">
        <f>IF(VLOOKUP(BQ10,Fundamentus!A:U,15,FALSE)&gt;1,"Bom",IF(VLOOKUP(BQ10,Fundamentus!A:U,15,FALSE)&lt;1,"Ruim","n/a"))</f>
        <v>Bom</v>
      </c>
      <c r="EZ10" s="17" t="str">
        <f>IF(VLOOKUP(BQ10,Fundamentus!A:U,20,FALSE)&lt;0.5,"Baixa",IF(VLOOKUP(BQ10,Fundamentus!A:U,20,FALSE)&lt;1,"Moderada",IF(VLOOKUP(BQ10,Fundamentus!A:U,20,FALSE)&lt;2,"Alerta",IF(VLOOKUP(BQ10,Fundamentus!A:U,20,FALSE)&gt;2,"Alta","n/a"))))</f>
        <v>Baixa</v>
      </c>
    </row>
    <row r="11" spans="1:156" s="2" customFormat="1" ht="11.25" hidden="1" x14ac:dyDescent="0.2">
      <c r="A11" s="4">
        <v>2.0099999999999998</v>
      </c>
      <c r="B11" s="4">
        <v>2.13</v>
      </c>
      <c r="C11" s="4">
        <v>2.12</v>
      </c>
      <c r="D11" s="4">
        <v>2.52</v>
      </c>
      <c r="E11" s="4">
        <v>2.95</v>
      </c>
      <c r="F11" s="4">
        <v>2.25</v>
      </c>
      <c r="G11" s="4">
        <v>2.2799999999999998</v>
      </c>
      <c r="H11" s="4">
        <v>2.36</v>
      </c>
      <c r="I11" s="4">
        <v>2.56</v>
      </c>
      <c r="J11" s="4">
        <v>2.73</v>
      </c>
      <c r="K11" s="4">
        <v>2.64</v>
      </c>
      <c r="L11" s="4">
        <v>2.96</v>
      </c>
      <c r="M11" s="4">
        <v>3.01</v>
      </c>
      <c r="N11" s="4">
        <v>2.8</v>
      </c>
      <c r="O11" s="4">
        <v>2.73</v>
      </c>
      <c r="P11" s="4">
        <v>2.73</v>
      </c>
      <c r="Q11" s="4">
        <v>2.73</v>
      </c>
      <c r="R11" s="4">
        <v>3.05</v>
      </c>
      <c r="S11" s="4">
        <v>3.15</v>
      </c>
      <c r="T11" s="4">
        <v>2.98</v>
      </c>
      <c r="U11" s="4">
        <v>2.92</v>
      </c>
      <c r="V11" s="4">
        <v>3.03</v>
      </c>
      <c r="W11" s="4">
        <v>3.12</v>
      </c>
      <c r="X11" s="4">
        <v>3.02</v>
      </c>
      <c r="Y11" s="4">
        <v>2.91</v>
      </c>
      <c r="Z11" s="4">
        <v>2.96</v>
      </c>
      <c r="AA11" s="4">
        <v>2.95</v>
      </c>
      <c r="AB11" s="4">
        <v>2.69</v>
      </c>
      <c r="AC11" s="4">
        <v>2.4900000000000002</v>
      </c>
      <c r="AD11" s="4">
        <v>2.6</v>
      </c>
      <c r="AE11" s="4">
        <v>2.69</v>
      </c>
      <c r="AF11" s="4">
        <v>2.64</v>
      </c>
      <c r="AG11" s="4">
        <v>2.56</v>
      </c>
      <c r="AH11" s="4">
        <v>2.69</v>
      </c>
      <c r="AI11" s="4">
        <v>2.56</v>
      </c>
      <c r="AJ11" s="4">
        <v>2.79</v>
      </c>
      <c r="AK11" s="4">
        <v>2.72</v>
      </c>
      <c r="AL11" s="4">
        <v>2.85</v>
      </c>
      <c r="AM11" s="4">
        <v>2.88</v>
      </c>
      <c r="AN11" s="4">
        <v>2.93</v>
      </c>
      <c r="AO11" s="4">
        <v>2.85</v>
      </c>
      <c r="AP11" s="4">
        <v>2.92</v>
      </c>
      <c r="AQ11" s="4">
        <v>2.87</v>
      </c>
      <c r="AR11" s="4">
        <v>2.9</v>
      </c>
      <c r="AS11" s="4">
        <v>2.89</v>
      </c>
      <c r="AT11" s="4">
        <v>2.88</v>
      </c>
      <c r="AU11" s="4">
        <v>2.8849999999999998</v>
      </c>
      <c r="AV11" s="4">
        <v>2.91</v>
      </c>
      <c r="AW11" s="4">
        <v>2.78</v>
      </c>
      <c r="AX11" s="4">
        <v>2.75</v>
      </c>
      <c r="AY11" s="12">
        <v>2.89</v>
      </c>
      <c r="AZ11" s="12">
        <v>2.9</v>
      </c>
      <c r="BA11" s="12">
        <v>2.82</v>
      </c>
      <c r="BB11" s="15">
        <v>2.81</v>
      </c>
      <c r="BC11" s="52">
        <v>2.82</v>
      </c>
      <c r="BD11" s="52">
        <v>2.88</v>
      </c>
      <c r="BE11" s="52">
        <v>2.98</v>
      </c>
      <c r="BF11" s="52">
        <v>2.9</v>
      </c>
      <c r="BG11" s="67">
        <v>2.88</v>
      </c>
      <c r="BH11" s="52">
        <v>2.91</v>
      </c>
      <c r="BI11" s="52">
        <v>2.9</v>
      </c>
      <c r="BJ11" s="52">
        <v>2.96</v>
      </c>
      <c r="BK11" s="52">
        <v>2.9</v>
      </c>
      <c r="BL11" s="52">
        <v>2.9</v>
      </c>
      <c r="BM11" s="52">
        <v>2.98</v>
      </c>
      <c r="BN11" s="52">
        <v>2.91</v>
      </c>
      <c r="BO11" s="52">
        <v>2.92</v>
      </c>
      <c r="BP11" s="52" cm="1">
        <f t="array" aca="1" ref="BP11" ca="1">_FV(ED11,"Preço")</f>
        <v>2.9</v>
      </c>
      <c r="BQ11" s="69" t="s">
        <v>8</v>
      </c>
      <c r="BR11" s="36" cm="1">
        <f t="array" aca="1" ref="BR11" ca="1">_FV(ED11,"Média de volume",TRUE)</f>
        <v>7430</v>
      </c>
      <c r="BS11" s="36">
        <v>1300</v>
      </c>
      <c r="BT11" s="36" cm="1">
        <f t="array" aca="1" ref="BT11" ca="1">_FV(ED11,"Volume")</f>
        <v>200</v>
      </c>
      <c r="BU11" s="24" cm="1">
        <f t="array" aca="1" ref="BU11" ca="1">_FV(ED11,"Beta")</f>
        <v>0.8498</v>
      </c>
      <c r="BV11" s="71" cm="1">
        <f t="array" aca="1" ref="BV11" ca="1">_FV(ED11,"Variação (%)",TRUE)</f>
        <v>1.0452999999999999E-2</v>
      </c>
      <c r="BX11" s="17" cm="1">
        <f t="array" aca="1" ref="BX11" ca="1">_FV(ED11,"Baixo")</f>
        <v>2.9</v>
      </c>
      <c r="BY11" s="17" cm="1">
        <f t="array" aca="1" ref="BY11" ca="1">_FV(ED11,"Alto")</f>
        <v>2.9</v>
      </c>
      <c r="BZ11" s="24"/>
      <c r="CA11" s="63">
        <f ca="1">SQRT(22.5*(BP11/VLOOKUP(BQ11,Fundamentus!A:U,3,FALSE))*(BP11/VLOOKUP(BQ11,Fundamentus!A:U,4,FALSE)))</f>
        <v>205.06096654409879</v>
      </c>
      <c r="CC11" s="62">
        <f t="shared" ca="1" si="24"/>
        <v>-6.8493150684931572E-3</v>
      </c>
      <c r="CD11" s="8"/>
      <c r="CE11" s="61">
        <f t="shared" si="25"/>
        <v>2.0099999999999998</v>
      </c>
      <c r="CF11" s="61">
        <f t="shared" si="26"/>
        <v>3.15</v>
      </c>
      <c r="CG11" s="61">
        <f t="shared" si="27"/>
        <v>2.7848507462686554</v>
      </c>
      <c r="CH11" s="14"/>
      <c r="CI11" s="35">
        <f t="shared" si="1"/>
        <v>2.8651334818116156</v>
      </c>
      <c r="CJ11" s="15">
        <f t="shared" si="28"/>
        <v>2.9249999999999989</v>
      </c>
      <c r="CK11" s="35">
        <f t="shared" si="2"/>
        <v>2.9848665181883822</v>
      </c>
      <c r="CM11" s="14"/>
      <c r="CN11" s="17">
        <f t="shared" si="3"/>
        <v>1.0966666666666667</v>
      </c>
      <c r="CO11" s="17">
        <f t="shared" si="4"/>
        <v>1.5533333333333332</v>
      </c>
      <c r="CP11" s="17">
        <f t="shared" si="5"/>
        <v>2.2366666666666668</v>
      </c>
      <c r="CQ11" s="38">
        <f t="shared" si="29"/>
        <v>2.6933333333333334</v>
      </c>
      <c r="CR11" s="17">
        <f t="shared" si="6"/>
        <v>3.3766666666666669</v>
      </c>
      <c r="CS11" s="17">
        <f t="shared" si="7"/>
        <v>3.8333333333333335</v>
      </c>
      <c r="CT11" s="17">
        <f t="shared" si="8"/>
        <v>4.5166666666666675</v>
      </c>
      <c r="CU11" s="2" cm="1">
        <f t="array" aca="1" ref="CU11" ca="1">MAX(_xlfn._xlws.FILTER(CN11:CT11,CN11:CT11&lt;BP11))</f>
        <v>2.6933333333333334</v>
      </c>
      <c r="CV11" s="2" cm="1">
        <f t="array" aca="1" ref="CV11" ca="1">MIN(_xlfn._xlws.FILTER($CN11:$CT11,$CN11:$CT11&gt;BP11))</f>
        <v>3.3766666666666669</v>
      </c>
      <c r="CW11" s="16">
        <f t="shared" ca="1" si="30"/>
        <v>0.25371287128712883</v>
      </c>
      <c r="CX11" s="20">
        <f t="shared" ca="1" si="31"/>
        <v>-0.12685643564356441</v>
      </c>
      <c r="CY11" s="20">
        <f t="shared" ca="1" si="32"/>
        <v>-8.4570957095709609E-2</v>
      </c>
      <c r="CZ11" s="20">
        <f t="shared" ca="1" si="33"/>
        <v>-5.0742574257425767E-2</v>
      </c>
      <c r="DA11" s="20">
        <f t="shared" ca="1" si="34"/>
        <v>-2.8190319031903204E-2</v>
      </c>
      <c r="DB11" s="20">
        <f t="shared" ca="1" si="40"/>
        <v>-1.4924286546301695E-2</v>
      </c>
      <c r="DC11" s="20">
        <f t="shared" ca="1" si="41"/>
        <v>-7.6882688268826915E-3</v>
      </c>
      <c r="DD11" s="20">
        <f t="shared" ca="1" si="42"/>
        <v>-3.9032749428789051E-3</v>
      </c>
      <c r="DE11" s="21">
        <f t="shared" ca="1" si="43"/>
        <v>3.9032749428789051E-3</v>
      </c>
      <c r="DF11" s="21">
        <f t="shared" ca="1" si="44"/>
        <v>7.6882688268826915E-3</v>
      </c>
      <c r="DG11" s="21">
        <f t="shared" ca="1" si="45"/>
        <v>1.4924286546301695E-2</v>
      </c>
      <c r="DH11" s="21">
        <f t="shared" ca="1" si="35"/>
        <v>2.8190319031903204E-2</v>
      </c>
      <c r="DI11" s="21">
        <f t="shared" ca="1" si="36"/>
        <v>5.0742574257425767E-2</v>
      </c>
      <c r="DJ11" s="21">
        <f t="shared" ca="1" si="37"/>
        <v>8.4570957095709609E-2</v>
      </c>
      <c r="DK11" s="21">
        <f t="shared" ca="1" si="38"/>
        <v>0.12685643564356441</v>
      </c>
      <c r="DM11" s="16" cm="1">
        <f t="array" aca="1" ref="DM11" ca="1">MAX(_xlfn._xlws.FILTER(CX11:DK11,CX11:DK11&lt;BV11))</f>
        <v>7.6882688268826915E-3</v>
      </c>
      <c r="DN11" s="16" cm="1">
        <f t="array" aca="1" ref="DN11" ca="1">MIN(_xlfn._xlws.FILTER(CX11:DK11,CX11:DK11&gt;BV11))</f>
        <v>1.4924286546301695E-2</v>
      </c>
      <c r="DO11" s="2" cm="1">
        <f t="array" aca="1" ref="DO11" ca="1">_FV(ED11,"Fechamento anterior",TRUE)</f>
        <v>2.87</v>
      </c>
      <c r="DP11" s="28">
        <f t="shared" ca="1" si="15"/>
        <v>0.38207380810740804</v>
      </c>
      <c r="DQ11" s="15">
        <f t="shared" ca="1" si="16"/>
        <v>2.8920653315331535</v>
      </c>
      <c r="DR11" s="15">
        <f t="shared" ca="1" si="17"/>
        <v>2.9128327023878859</v>
      </c>
      <c r="DS11" s="9"/>
      <c r="DT11" s="9"/>
      <c r="DU11" s="9"/>
      <c r="DV11" s="89">
        <v>7.8065498857578103E-3</v>
      </c>
      <c r="DW11" s="89">
        <f t="shared" ca="1" si="18"/>
        <v>7.2360177194190035E-3</v>
      </c>
      <c r="DX11" s="72">
        <f t="shared" ca="1" si="19"/>
        <v>-0.41759569048814521</v>
      </c>
      <c r="DY11" s="37"/>
      <c r="DZ11" s="35">
        <f t="shared" si="39"/>
        <v>2.9933259094191537E-2</v>
      </c>
      <c r="EA11" s="56"/>
      <c r="EB11" s="56"/>
      <c r="ED11" s="2" t="e" vm="11">
        <v>#VALUE!</v>
      </c>
      <c r="EF11" s="10" cm="1">
        <f t="array" aca="1" ref="EF11" ca="1">_FV(ED11,"Ações em circulação",TRUE)</f>
        <v>67691630</v>
      </c>
      <c r="EG11" s="18">
        <f>VLOOKUP(BQ11,Fundamentus!A:U,5,FALSE)</f>
        <v>2.7E-2</v>
      </c>
      <c r="EH11" s="2">
        <f t="shared" ca="1" si="20"/>
        <v>7270582481.4814816</v>
      </c>
      <c r="EI11" s="17">
        <v>-1292839934.2725925</v>
      </c>
      <c r="EJ11" s="17">
        <f t="shared" ca="1" si="21"/>
        <v>-1283984866.2296298</v>
      </c>
      <c r="EL11" s="16">
        <f t="shared" ca="1" si="22"/>
        <v>-6.849315068493067E-3</v>
      </c>
      <c r="EM11" s="32" t="str">
        <f>IF(VLOOKUP(BQ11,Fundamentus!A:U,3,FALSE)&lt;15,"Bom",IF(VLOOKUP(BQ11,Fundamentus!A:U,3,FALSE)&gt;15,"Ruim","n/a"))</f>
        <v>Bom</v>
      </c>
      <c r="EN11" s="28" t="str">
        <f>IF(VLOOKUP(BQ11,Fundamentus!A:U,4,FALSE)&lt;1,"Baixo",IF(VLOOKUP(BQ11,Fundamentus!A:U,4,FALSE)&lt;1.5,"Moderado",IF(VLOOKUP(BQ11,Fundamentus!A:U,4,FALSE)&gt;1.5,"Alto","n/a")))</f>
        <v>Baixo</v>
      </c>
      <c r="EO11" s="17" t="str">
        <f>IF(VLOOKUP(BQ11,Fundamentus!A:U,8,FALSE)&lt;0,"Risco elevado",IF(VLOOKUP(BQ11,Fundamentus!A:U,8,FALSE)&lt;1,"Saudável",IF(VLOOKUP(BQ11,Fundamentus!A:U,8,FALSE)&lt;3,"Estável",IF(VLOOKUP(BQ11,Fundamentus!A:U,8,FALSE)&gt;3,"Alerta","n/a"))))</f>
        <v>Risco elevado</v>
      </c>
      <c r="EP11" s="28" t="str">
        <f t="shared" si="23"/>
        <v>Ruim</v>
      </c>
      <c r="EQ11" s="17" t="str">
        <f>IF(VLOOKUP(BQ11,Fundamentus!A:U,12,FALSE)&lt;2,"Subvalorizada",IF(VLOOKUP(BQ11,Fundamentus!A:U,12,FALSE)&lt;6,"Muita barata",IF(VLOOKUP(BQ11,Fundamentus!A:U,12,FALSE)&lt;6,"Barata",IF(VLOOKUP(BQ11,Fundamentus!A:U,12,FALSE)&lt;8,"Atrativa",IF(VLOOKUP(BQ11,Fundamentus!A:U,12,FALSE)&gt;8,"Supervalorizada","n/a")))))</f>
        <v>Subvalorizada</v>
      </c>
      <c r="ES11" s="17" t="str">
        <f>IF(VLOOKUP(BQ11,Fundamentus!A:U,17,FALSE)&lt;0.1,"Fraco retorno",IF(VLOOKUP(BQ11,Fundamentus!A:U,17,FALSE)&gt;0.1,"Bom retorno","n/a"))</f>
        <v>Bom retorno</v>
      </c>
      <c r="ET11" s="17" t="str">
        <f>IF(VLOOKUP(BQ11,Fundamentus!A:U,16,FALSE)&lt;0.1,"Ineficiente",IF(VLOOKUP(BQ11,Fundamentus!A:U,16,FALSE)&gt;0.1,"Eficiente","n/a"))</f>
        <v>Ineficiente</v>
      </c>
      <c r="EU11" s="33" t="str">
        <f>IF(VLOOKUP(BQ11,Fundamentus!A:U,16,FALSE)&lt;0.1,"Oper. Ineficiente",IF(VLOOKUP(BQ11,Fundamentus!A:U,16,FALSE)&gt;0.1,"Oper.Eficiente","n/a"))</f>
        <v>Oper. Ineficiente</v>
      </c>
      <c r="EV11" s="34">
        <f>VLOOKUP(BQ11,Fundamentus!A:U,14,FALSE)</f>
        <v>-0.17660000000000001</v>
      </c>
      <c r="EW11" s="17" t="str">
        <f>IF(VLOOKUP(BQ11,Fundamentus!A:U,21,FALSE)&lt;0,"Negativo",IF(VLOOKUP(BQ11,Fundamentus!A:U,21,FALSE)&lt;0.05,"Fraco",IF(VLOOKUP(BQ11,Fundamentus!A:U,21,FALSE)&lt;0.1,"Bom",IF(VLOOKUP(BQ11,Fundamentus!A:U,21,FALSE)&gt;0.1,"Muito bom","n/a"))))</f>
        <v>Muito bom</v>
      </c>
      <c r="EY11" s="29" t="str">
        <f>IF(VLOOKUP(BQ11,Fundamentus!A:U,15,FALSE)&gt;1,"Bom",IF(VLOOKUP(BQ11,Fundamentus!A:U,15,FALSE)&lt;1,"Ruim","n/a"))</f>
        <v>Ruim</v>
      </c>
      <c r="EZ11" s="17" t="str">
        <f>IF(VLOOKUP(BQ11,Fundamentus!A:U,20,FALSE)&lt;0.5,"Baixa",IF(VLOOKUP(BQ11,Fundamentus!A:U,20,FALSE)&lt;1,"Moderada",IF(VLOOKUP(BQ11,Fundamentus!A:U,20,FALSE)&lt;2,"Alerta",IF(VLOOKUP(BQ11,Fundamentus!A:U,20,FALSE)&gt;2,"Alta","n/a"))))</f>
        <v>Baixa</v>
      </c>
    </row>
    <row r="12" spans="1:156" s="2" customFormat="1" ht="11.25" hidden="1" x14ac:dyDescent="0.2">
      <c r="A12" s="4">
        <v>7.58</v>
      </c>
      <c r="B12" s="4">
        <v>8.09</v>
      </c>
      <c r="C12" s="4">
        <v>8.1199999999999992</v>
      </c>
      <c r="D12" s="4">
        <v>7.74</v>
      </c>
      <c r="E12" s="4">
        <v>7.1</v>
      </c>
      <c r="F12" s="4">
        <v>6.9</v>
      </c>
      <c r="G12" s="4">
        <v>7</v>
      </c>
      <c r="H12" s="4">
        <v>7</v>
      </c>
      <c r="I12" s="4">
        <v>7.28</v>
      </c>
      <c r="J12" s="4">
        <v>7.63</v>
      </c>
      <c r="K12" s="4">
        <v>7.7</v>
      </c>
      <c r="L12" s="4">
        <v>7.88</v>
      </c>
      <c r="M12" s="4">
        <v>7.6</v>
      </c>
      <c r="N12" s="4">
        <v>7.21</v>
      </c>
      <c r="O12" s="4">
        <v>7.44</v>
      </c>
      <c r="P12" s="4">
        <v>7.4</v>
      </c>
      <c r="Q12" s="4">
        <v>7.57</v>
      </c>
      <c r="R12" s="4">
        <v>7.12</v>
      </c>
      <c r="S12" s="4">
        <v>6.96</v>
      </c>
      <c r="T12" s="4">
        <v>6.42</v>
      </c>
      <c r="U12" s="4">
        <v>6.7</v>
      </c>
      <c r="V12" s="4">
        <v>6.26</v>
      </c>
      <c r="W12" s="4">
        <v>6.29</v>
      </c>
      <c r="X12" s="4">
        <v>6.57</v>
      </c>
      <c r="Y12" s="4">
        <v>6.38</v>
      </c>
      <c r="Z12" s="4">
        <v>6.6</v>
      </c>
      <c r="AA12" s="4">
        <v>7.62</v>
      </c>
      <c r="AB12" s="4">
        <v>7</v>
      </c>
      <c r="AC12" s="4">
        <v>6.64</v>
      </c>
      <c r="AD12" s="4">
        <v>6.45</v>
      </c>
      <c r="AE12" s="4">
        <v>6.19</v>
      </c>
      <c r="AF12" s="4">
        <v>6.17</v>
      </c>
      <c r="AG12" s="4">
        <v>5.7</v>
      </c>
      <c r="AH12" s="4">
        <v>5.54</v>
      </c>
      <c r="AI12" s="4">
        <v>5.9</v>
      </c>
      <c r="AJ12" s="4">
        <v>5.46</v>
      </c>
      <c r="AK12" s="4">
        <v>5.52</v>
      </c>
      <c r="AL12" s="4">
        <v>6.03</v>
      </c>
      <c r="AM12" s="4">
        <v>5.68</v>
      </c>
      <c r="AN12" s="4">
        <v>5.83</v>
      </c>
      <c r="AO12" s="4">
        <v>6.02</v>
      </c>
      <c r="AP12" s="4">
        <v>6.15</v>
      </c>
      <c r="AQ12" s="4">
        <v>6.05</v>
      </c>
      <c r="AR12" s="4">
        <v>5.57</v>
      </c>
      <c r="AS12" s="4">
        <v>5.69</v>
      </c>
      <c r="AT12" s="4">
        <v>6</v>
      </c>
      <c r="AU12" s="4">
        <v>5.8250000000000002</v>
      </c>
      <c r="AV12" s="4">
        <v>5.53</v>
      </c>
      <c r="AW12" s="4">
        <v>5.32</v>
      </c>
      <c r="AX12" s="4">
        <v>5.69</v>
      </c>
      <c r="AY12" s="12">
        <v>6.5</v>
      </c>
      <c r="AZ12" s="12">
        <v>6.31</v>
      </c>
      <c r="BA12" s="12">
        <v>6.12</v>
      </c>
      <c r="BB12" s="15">
        <v>5.32</v>
      </c>
      <c r="BC12" s="52">
        <v>5.4</v>
      </c>
      <c r="BD12" s="52">
        <v>5.3</v>
      </c>
      <c r="BE12" s="52">
        <v>5.4</v>
      </c>
      <c r="BF12" s="52">
        <v>5.47</v>
      </c>
      <c r="BG12" s="67">
        <v>5.07</v>
      </c>
      <c r="BH12" s="52">
        <v>4.9400000000000004</v>
      </c>
      <c r="BI12" s="52">
        <v>4.99</v>
      </c>
      <c r="BJ12" s="52">
        <v>4.9400000000000004</v>
      </c>
      <c r="BK12" s="52">
        <v>4.74</v>
      </c>
      <c r="BL12" s="52">
        <v>4.6900000000000004</v>
      </c>
      <c r="BM12" s="52">
        <v>4.7300000000000004</v>
      </c>
      <c r="BN12" s="52">
        <v>4.67</v>
      </c>
      <c r="BO12" s="52">
        <v>4.6100000000000003</v>
      </c>
      <c r="BP12" s="52" cm="1">
        <f t="array" aca="1" ref="BP12" ca="1">_FV(ED12,"Preço")</f>
        <v>4.55</v>
      </c>
      <c r="BQ12" s="69" t="s">
        <v>9</v>
      </c>
      <c r="BR12" s="36" cm="1">
        <f t="array" aca="1" ref="BR12" ca="1">_FV(ED12,"Média de volume",TRUE)</f>
        <v>52340</v>
      </c>
      <c r="BS12" s="36">
        <v>70100</v>
      </c>
      <c r="BT12" s="36" cm="1">
        <f t="array" aca="1" ref="BT12" ca="1">_FV(ED12,"Volume")</f>
        <v>68200</v>
      </c>
      <c r="BU12" s="24" cm="1">
        <f t="array" aca="1" ref="BU12" ca="1">_FV(ED12,"Beta")</f>
        <v>0.95640000000000003</v>
      </c>
      <c r="BV12" s="71" cm="1">
        <f t="array" aca="1" ref="BV12" ca="1">_FV(ED12,"Variação (%)",TRUE)</f>
        <v>-1.0869999999999999E-2</v>
      </c>
      <c r="BX12" s="17" cm="1">
        <f t="array" aca="1" ref="BX12" ca="1">_FV(ED12,"Baixo")</f>
        <v>4.5</v>
      </c>
      <c r="BY12" s="17" cm="1">
        <f t="array" aca="1" ref="BY12" ca="1">_FV(ED12,"Alto")</f>
        <v>4.6500000000000004</v>
      </c>
      <c r="BZ12" s="24"/>
      <c r="CA12" s="63">
        <f ca="1">SQRT(22.5*(BP12/VLOOKUP(BQ12,Fundamentus!A:U,3,FALSE))*(BP12/VLOOKUP(BQ12,Fundamentus!A:U,4,FALSE)))</f>
        <v>13.440613351333148</v>
      </c>
      <c r="CC12" s="62">
        <f t="shared" ca="1" si="24"/>
        <v>-1.3015184381778849E-2</v>
      </c>
      <c r="CD12" s="8"/>
      <c r="CE12" s="61">
        <f t="shared" si="25"/>
        <v>4.6100000000000003</v>
      </c>
      <c r="CF12" s="61">
        <f t="shared" si="26"/>
        <v>8.1199999999999992</v>
      </c>
      <c r="CG12" s="61">
        <f t="shared" si="27"/>
        <v>6.2584328358208934</v>
      </c>
      <c r="CH12" s="14"/>
      <c r="CI12" s="35">
        <f t="shared" si="1"/>
        <v>4.5067047696824698</v>
      </c>
      <c r="CJ12" s="15">
        <f t="shared" si="28"/>
        <v>4.5999999999999943</v>
      </c>
      <c r="CK12" s="35">
        <f t="shared" si="2"/>
        <v>4.6932952303175188</v>
      </c>
      <c r="CM12" s="14"/>
      <c r="CN12" s="17">
        <f t="shared" si="3"/>
        <v>-6.999999999999762E-2</v>
      </c>
      <c r="CO12" s="17">
        <f t="shared" si="4"/>
        <v>2.2700000000000014</v>
      </c>
      <c r="CP12" s="17">
        <f t="shared" si="5"/>
        <v>3.4400000000000013</v>
      </c>
      <c r="CQ12" s="38">
        <f t="shared" si="29"/>
        <v>5.78</v>
      </c>
      <c r="CR12" s="17">
        <f t="shared" si="6"/>
        <v>6.95</v>
      </c>
      <c r="CS12" s="17">
        <f t="shared" si="7"/>
        <v>9.2899999999999991</v>
      </c>
      <c r="CT12" s="17">
        <f t="shared" si="8"/>
        <v>10.459999999999999</v>
      </c>
      <c r="CU12" s="2" cm="1">
        <f t="array" aca="1" ref="CU12" ca="1">MAX(_xlfn._xlws.FILTER(CN12:CT12,CN12:CT12&lt;BP12))</f>
        <v>3.4400000000000013</v>
      </c>
      <c r="CV12" s="2" cm="1">
        <f t="array" aca="1" ref="CV12" ca="1">MIN(_xlfn._xlws.FILTER($CN12:$CT12,$CN12:$CT12&gt;BP12))</f>
        <v>5.78</v>
      </c>
      <c r="CW12" s="16">
        <f t="shared" ca="1" si="30"/>
        <v>0.68023255813953432</v>
      </c>
      <c r="CX12" s="20">
        <f t="shared" ca="1" si="31"/>
        <v>-0.34011627906976716</v>
      </c>
      <c r="CY12" s="20">
        <f t="shared" ca="1" si="32"/>
        <v>-0.22674418604651145</v>
      </c>
      <c r="CZ12" s="20">
        <f t="shared" ca="1" si="33"/>
        <v>-0.13604651162790687</v>
      </c>
      <c r="DA12" s="20">
        <f t="shared" ca="1" si="34"/>
        <v>-7.5581395348837149E-2</v>
      </c>
      <c r="DB12" s="20">
        <f t="shared" ca="1" si="40"/>
        <v>-4.0013679890560844E-2</v>
      </c>
      <c r="DC12" s="20">
        <f t="shared" ca="1" si="41"/>
        <v>-2.0613107822410132E-2</v>
      </c>
      <c r="DD12" s="20">
        <f t="shared" ca="1" si="42"/>
        <v>-1.0465116279069759E-2</v>
      </c>
      <c r="DE12" s="21">
        <f t="shared" ca="1" si="43"/>
        <v>1.0465116279069759E-2</v>
      </c>
      <c r="DF12" s="21">
        <f t="shared" ca="1" si="44"/>
        <v>2.0613107822410132E-2</v>
      </c>
      <c r="DG12" s="21">
        <f t="shared" ca="1" si="45"/>
        <v>4.0013679890560844E-2</v>
      </c>
      <c r="DH12" s="21">
        <f t="shared" ca="1" si="35"/>
        <v>7.5581395348837149E-2</v>
      </c>
      <c r="DI12" s="21">
        <f t="shared" ca="1" si="36"/>
        <v>0.13604651162790687</v>
      </c>
      <c r="DJ12" s="21">
        <f t="shared" ca="1" si="37"/>
        <v>0.22674418604651145</v>
      </c>
      <c r="DK12" s="21">
        <f t="shared" ca="1" si="38"/>
        <v>0.34011627906976716</v>
      </c>
      <c r="DM12" s="16" cm="1">
        <f t="array" aca="1" ref="DM12" ca="1">MAX(_xlfn._xlws.FILTER(CX12:DK12,CX12:DK12&lt;BV12))</f>
        <v>-2.0613107822410132E-2</v>
      </c>
      <c r="DN12" s="16" cm="1">
        <f t="array" aca="1" ref="DN12" ca="1">MIN(_xlfn._xlws.FILTER(CX12:DK12,CX12:DK12&gt;BV12))</f>
        <v>-1.0465116279069759E-2</v>
      </c>
      <c r="DO12" s="2" cm="1">
        <f t="array" aca="1" ref="DO12" ca="1">_FV(ED12,"Fechamento anterior",TRUE)</f>
        <v>4.5999999999999996</v>
      </c>
      <c r="DP12" s="28">
        <f t="shared" ca="1" si="15"/>
        <v>0.96014492753624192</v>
      </c>
      <c r="DQ12" s="15">
        <f t="shared" ca="1" si="16"/>
        <v>4.5051797040169133</v>
      </c>
      <c r="DR12" s="15">
        <f t="shared" ca="1" si="17"/>
        <v>4.5518604651162784</v>
      </c>
      <c r="DS12" s="9"/>
      <c r="DT12" s="9"/>
      <c r="DU12" s="9"/>
      <c r="DV12" s="89">
        <v>1.9400572068150712E-2</v>
      </c>
      <c r="DW12" s="89">
        <f t="shared" ca="1" si="18"/>
        <v>1.0147991543340373E-2</v>
      </c>
      <c r="DX12" s="72">
        <f t="shared" ca="1" si="19"/>
        <v>-0.53593307857028283</v>
      </c>
      <c r="DY12" s="37"/>
      <c r="DZ12" s="35">
        <f t="shared" si="39"/>
        <v>4.664761515876243E-2</v>
      </c>
      <c r="EA12" s="56"/>
      <c r="EB12" s="56"/>
      <c r="ED12" s="2" t="e" vm="12">
        <v>#VALUE!</v>
      </c>
      <c r="EF12" s="10" cm="1">
        <f t="array" aca="1" ref="EF12" ca="1">_FV(ED12,"Ações em circulação",TRUE)</f>
        <v>50602840</v>
      </c>
      <c r="EG12" s="18">
        <f>VLOOKUP(BQ12,Fundamentus!A:U,5,FALSE)</f>
        <v>0.106</v>
      </c>
      <c r="EH12" s="2">
        <f t="shared" ca="1" si="20"/>
        <v>2172103037.7358489</v>
      </c>
      <c r="EI12" s="17">
        <v>24428282.317358494</v>
      </c>
      <c r="EJ12" s="17">
        <f t="shared" ca="1" si="21"/>
        <v>24110343.718867924</v>
      </c>
      <c r="EL12" s="16">
        <f t="shared" ca="1" si="22"/>
        <v>-1.3015184381778844E-2</v>
      </c>
      <c r="EM12" s="32" t="str">
        <f>IF(VLOOKUP(BQ12,Fundamentus!A:U,3,FALSE)&lt;15,"Bom",IF(VLOOKUP(BQ12,Fundamentus!A:U,3,FALSE)&gt;15,"Ruim","n/a"))</f>
        <v>Bom</v>
      </c>
      <c r="EN12" s="28" t="str">
        <f>IF(VLOOKUP(BQ12,Fundamentus!A:U,4,FALSE)&lt;1,"Baixo",IF(VLOOKUP(BQ12,Fundamentus!A:U,4,FALSE)&lt;1.5,"Moderado",IF(VLOOKUP(BQ12,Fundamentus!A:U,4,FALSE)&gt;1.5,"Alto","n/a")))</f>
        <v>Baixo</v>
      </c>
      <c r="EO12" s="17" t="str">
        <f>IF(VLOOKUP(BQ12,Fundamentus!A:U,8,FALSE)&lt;0,"Risco elevado",IF(VLOOKUP(BQ12,Fundamentus!A:U,8,FALSE)&lt;1,"Saudável",IF(VLOOKUP(BQ12,Fundamentus!A:U,8,FALSE)&lt;3,"Estável",IF(VLOOKUP(BQ12,Fundamentus!A:U,8,FALSE)&gt;3,"Alerta","n/a"))))</f>
        <v>Alerta</v>
      </c>
      <c r="EP12" s="28" t="str">
        <f t="shared" si="23"/>
        <v>Ruim</v>
      </c>
      <c r="EQ12" s="17" t="str">
        <f>IF(VLOOKUP(BQ12,Fundamentus!A:U,12,FALSE)&lt;2,"Subvalorizada",IF(VLOOKUP(BQ12,Fundamentus!A:U,12,FALSE)&lt;6,"Muita barata",IF(VLOOKUP(BQ12,Fundamentus!A:U,12,FALSE)&lt;6,"Barata",IF(VLOOKUP(BQ12,Fundamentus!A:U,12,FALSE)&lt;8,"Atrativa",IF(VLOOKUP(BQ12,Fundamentus!A:U,12,FALSE)&gt;8,"Supervalorizada","n/a")))))</f>
        <v>Subvalorizada</v>
      </c>
      <c r="ES12" s="17" t="str">
        <f>IF(VLOOKUP(BQ12,Fundamentus!A:U,17,FALSE)&lt;0.1,"Fraco retorno",IF(VLOOKUP(BQ12,Fundamentus!A:U,17,FALSE)&gt;0.1,"Bom retorno","n/a"))</f>
        <v>Fraco retorno</v>
      </c>
      <c r="ET12" s="17" t="str">
        <f>IF(VLOOKUP(BQ12,Fundamentus!A:U,16,FALSE)&lt;0.1,"Ineficiente",IF(VLOOKUP(BQ12,Fundamentus!A:U,16,FALSE)&gt;0.1,"Eficiente","n/a"))</f>
        <v>Ineficiente</v>
      </c>
      <c r="EU12" s="33" t="str">
        <f>IF(VLOOKUP(BQ12,Fundamentus!A:U,16,FALSE)&lt;0.1,"Oper. Ineficiente",IF(VLOOKUP(BQ12,Fundamentus!A:U,16,FALSE)&gt;0.1,"Oper.Eficiente","n/a"))</f>
        <v>Oper. Ineficiente</v>
      </c>
      <c r="EV12" s="34">
        <f>VLOOKUP(BQ12,Fundamentus!A:U,14,FALSE)</f>
        <v>1.11E-2</v>
      </c>
      <c r="EW12" s="17" t="str">
        <f>IF(VLOOKUP(BQ12,Fundamentus!A:U,21,FALSE)&lt;0,"Negativo",IF(VLOOKUP(BQ12,Fundamentus!A:U,21,FALSE)&lt;0.05,"Fraco",IF(VLOOKUP(BQ12,Fundamentus!A:U,21,FALSE)&lt;0.1,"Bom",IF(VLOOKUP(BQ12,Fundamentus!A:U,21,FALSE)&gt;0.1,"Muito bom","n/a"))))</f>
        <v>Muito bom</v>
      </c>
      <c r="EY12" s="29" t="str">
        <f>IF(VLOOKUP(BQ12,Fundamentus!A:U,15,FALSE)&gt;1,"Bom",IF(VLOOKUP(BQ12,Fundamentus!A:U,15,FALSE)&lt;1,"Ruim","n/a"))</f>
        <v>Bom</v>
      </c>
      <c r="EZ12" s="17" t="str">
        <f>IF(VLOOKUP(BQ12,Fundamentus!A:U,20,FALSE)&lt;0.5,"Baixa",IF(VLOOKUP(BQ12,Fundamentus!A:U,20,FALSE)&lt;1,"Moderada",IF(VLOOKUP(BQ12,Fundamentus!A:U,20,FALSE)&lt;2,"Alerta",IF(VLOOKUP(BQ12,Fundamentus!A:U,20,FALSE)&gt;2,"Alta","n/a"))))</f>
        <v>Baixa</v>
      </c>
    </row>
    <row r="13" spans="1:156" s="2" customFormat="1" ht="11.25" hidden="1" x14ac:dyDescent="0.2">
      <c r="A13" s="4">
        <v>18.309999999999999</v>
      </c>
      <c r="B13" s="4">
        <v>18.5</v>
      </c>
      <c r="C13" s="4">
        <v>18.41</v>
      </c>
      <c r="D13" s="4">
        <v>18.29</v>
      </c>
      <c r="E13" s="4">
        <v>17.84</v>
      </c>
      <c r="F13" s="4">
        <v>17.25</v>
      </c>
      <c r="G13" s="4">
        <v>17.63</v>
      </c>
      <c r="H13" s="4">
        <v>17.46</v>
      </c>
      <c r="I13" s="4">
        <v>17.47</v>
      </c>
      <c r="J13" s="4">
        <v>18.8</v>
      </c>
      <c r="K13" s="4">
        <v>19.11</v>
      </c>
      <c r="L13" s="4">
        <v>19.350000000000001</v>
      </c>
      <c r="M13" s="4">
        <v>18.32</v>
      </c>
      <c r="N13" s="4">
        <v>17.739999999999998</v>
      </c>
      <c r="O13" s="4">
        <v>18.37</v>
      </c>
      <c r="P13" s="4">
        <v>17.72</v>
      </c>
      <c r="Q13" s="4">
        <v>17.899999999999999</v>
      </c>
      <c r="R13" s="4">
        <v>17.66</v>
      </c>
      <c r="S13" s="4">
        <v>17.36</v>
      </c>
      <c r="T13" s="4">
        <v>17.21</v>
      </c>
      <c r="U13" s="4">
        <v>17</v>
      </c>
      <c r="V13" s="4">
        <v>18.66</v>
      </c>
      <c r="W13" s="4">
        <v>17.93</v>
      </c>
      <c r="X13" s="4">
        <v>17.100000000000001</v>
      </c>
      <c r="Y13" s="4">
        <v>17.260000000000002</v>
      </c>
      <c r="Z13" s="4">
        <v>17.22</v>
      </c>
      <c r="AA13" s="4">
        <v>17.3</v>
      </c>
      <c r="AB13" s="4">
        <v>17.350000000000001</v>
      </c>
      <c r="AC13" s="4">
        <v>16.98</v>
      </c>
      <c r="AD13" s="4">
        <v>16.84</v>
      </c>
      <c r="AE13" s="4">
        <v>17.41</v>
      </c>
      <c r="AF13" s="4">
        <v>18.57</v>
      </c>
      <c r="AG13" s="4">
        <v>19.170000000000002</v>
      </c>
      <c r="AH13" s="4">
        <v>17.93</v>
      </c>
      <c r="AI13" s="4">
        <v>17.68</v>
      </c>
      <c r="AJ13" s="4">
        <v>17.02</v>
      </c>
      <c r="AK13" s="4">
        <v>17.190000000000001</v>
      </c>
      <c r="AL13" s="4">
        <v>18.010000000000002</v>
      </c>
      <c r="AM13" s="4">
        <v>17.829999999999998</v>
      </c>
      <c r="AN13" s="4">
        <v>17.36</v>
      </c>
      <c r="AO13" s="4">
        <v>18.16</v>
      </c>
      <c r="AP13" s="4">
        <v>18.829999999999998</v>
      </c>
      <c r="AQ13" s="4">
        <v>18.34</v>
      </c>
      <c r="AR13" s="4">
        <v>18.04</v>
      </c>
      <c r="AS13" s="4">
        <v>19.18</v>
      </c>
      <c r="AT13" s="4">
        <v>18.62</v>
      </c>
      <c r="AU13" s="4">
        <v>18.664999999999999</v>
      </c>
      <c r="AV13" s="4">
        <v>18.43</v>
      </c>
      <c r="AW13" s="4">
        <v>18.53</v>
      </c>
      <c r="AX13" s="4">
        <v>20.12</v>
      </c>
      <c r="AY13" s="12">
        <v>20.149999999999999</v>
      </c>
      <c r="AZ13" s="12">
        <v>20.010000000000002</v>
      </c>
      <c r="BA13" s="12">
        <v>19.79</v>
      </c>
      <c r="BB13" s="15">
        <v>19.329999999999998</v>
      </c>
      <c r="BC13" s="52">
        <v>19.04</v>
      </c>
      <c r="BD13" s="52">
        <v>18.88</v>
      </c>
      <c r="BE13" s="52">
        <v>18.89</v>
      </c>
      <c r="BF13" s="52">
        <v>18.91</v>
      </c>
      <c r="BG13" s="67">
        <v>18.489999999999998</v>
      </c>
      <c r="BH13" s="52">
        <v>18.45</v>
      </c>
      <c r="BI13" s="52">
        <v>17.91</v>
      </c>
      <c r="BJ13" s="52">
        <v>18.100000000000001</v>
      </c>
      <c r="BK13" s="52">
        <v>18.2</v>
      </c>
      <c r="BL13" s="52">
        <v>18.2</v>
      </c>
      <c r="BM13" s="52">
        <v>17.989999999999998</v>
      </c>
      <c r="BN13" s="52">
        <v>18.14</v>
      </c>
      <c r="BO13" s="52">
        <v>17.32</v>
      </c>
      <c r="BP13" s="52" cm="1">
        <f t="array" aca="1" ref="BP13" ca="1">_FV(ED13,"Preço")</f>
        <v>16.899999999999999</v>
      </c>
      <c r="BQ13" s="69" t="s">
        <v>10</v>
      </c>
      <c r="BR13" s="36" cm="1">
        <f t="array" aca="1" ref="BR13" ca="1">_FV(ED13,"Média de volume",TRUE)</f>
        <v>2101170</v>
      </c>
      <c r="BS13" s="36">
        <v>1440100</v>
      </c>
      <c r="BT13" s="36" cm="1">
        <f t="array" aca="1" ref="BT13" ca="1">_FV(ED13,"Volume")</f>
        <v>1894000</v>
      </c>
      <c r="BU13" s="24" cm="1">
        <f t="array" aca="1" ref="BU13" ca="1">_FV(ED13,"Beta")</f>
        <v>0.4844</v>
      </c>
      <c r="BV13" s="71" cm="1">
        <f t="array" aca="1" ref="BV13" ca="1">_FV(ED13,"Variação (%)",TRUE)</f>
        <v>-1.2274E-2</v>
      </c>
      <c r="BX13" s="17" cm="1">
        <f t="array" aca="1" ref="BX13" ca="1">_FV(ED13,"Baixo")</f>
        <v>16.899999999999999</v>
      </c>
      <c r="BY13" s="17" cm="1">
        <f t="array" aca="1" ref="BY13" ca="1">_FV(ED13,"Alto")</f>
        <v>17.190000000000001</v>
      </c>
      <c r="BZ13" s="24"/>
      <c r="CA13" s="63">
        <f ca="1">SQRT(22.5*(BP13/VLOOKUP(BQ13,Fundamentus!A:U,3,FALSE))*(BP13/VLOOKUP(BQ13,Fundamentus!A:U,4,FALSE)))</f>
        <v>19.186220266123851</v>
      </c>
      <c r="CC13" s="62">
        <f t="shared" ca="1" si="24"/>
        <v>-2.4249422632794556E-2</v>
      </c>
      <c r="CD13" s="8"/>
      <c r="CE13" s="61">
        <f t="shared" si="25"/>
        <v>16.84</v>
      </c>
      <c r="CF13" s="61">
        <f t="shared" si="26"/>
        <v>20.149999999999999</v>
      </c>
      <c r="CG13" s="61">
        <f t="shared" si="27"/>
        <v>18.167537313432838</v>
      </c>
      <c r="CH13" s="14"/>
      <c r="CI13" s="35">
        <f t="shared" si="1"/>
        <v>16.622107793127999</v>
      </c>
      <c r="CJ13" s="15">
        <f t="shared" si="28"/>
        <v>17.289999999999736</v>
      </c>
      <c r="CK13" s="35">
        <f t="shared" si="2"/>
        <v>17.957892206871474</v>
      </c>
      <c r="CM13" s="14"/>
      <c r="CN13" s="17">
        <f t="shared" si="3"/>
        <v>12.746666666666666</v>
      </c>
      <c r="CO13" s="17">
        <f t="shared" si="4"/>
        <v>14.793333333333333</v>
      </c>
      <c r="CP13" s="17">
        <f t="shared" si="5"/>
        <v>16.056666666666665</v>
      </c>
      <c r="CQ13" s="38">
        <f t="shared" si="29"/>
        <v>18.103333333333332</v>
      </c>
      <c r="CR13" s="17">
        <f t="shared" si="6"/>
        <v>19.366666666666664</v>
      </c>
      <c r="CS13" s="17">
        <f t="shared" si="7"/>
        <v>21.41333333333333</v>
      </c>
      <c r="CT13" s="17">
        <f t="shared" si="8"/>
        <v>22.676666666666662</v>
      </c>
      <c r="CU13" s="2" cm="1">
        <f t="array" aca="1" ref="CU13" ca="1">MAX(_xlfn._xlws.FILTER(CN13:CT13,CN13:CT13&lt;BP13))</f>
        <v>16.056666666666665</v>
      </c>
      <c r="CV13" s="2" cm="1">
        <f t="array" aca="1" ref="CV13" ca="1">MIN(_xlfn._xlws.FILTER($CN13:$CT13,$CN13:$CT13&gt;BP13))</f>
        <v>18.103333333333332</v>
      </c>
      <c r="CW13" s="16">
        <f t="shared" ca="1" si="30"/>
        <v>0.12746522731990861</v>
      </c>
      <c r="CX13" s="20">
        <f t="shared" ca="1" si="31"/>
        <v>-6.3732613659954307E-2</v>
      </c>
      <c r="CY13" s="20">
        <f t="shared" ca="1" si="32"/>
        <v>-4.2488409106636205E-2</v>
      </c>
      <c r="CZ13" s="20">
        <f t="shared" ca="1" si="33"/>
        <v>-2.5493045463981723E-2</v>
      </c>
      <c r="DA13" s="20">
        <f t="shared" ca="1" si="34"/>
        <v>-1.4162803035545402E-2</v>
      </c>
      <c r="DB13" s="20">
        <f t="shared" ca="1" si="40"/>
        <v>-7.4979545482299183E-3</v>
      </c>
      <c r="DC13" s="20">
        <f t="shared" ca="1" si="41"/>
        <v>-3.8625826460578368E-3</v>
      </c>
      <c r="DD13" s="20">
        <f t="shared" ca="1" si="42"/>
        <v>-1.9610034972293634E-3</v>
      </c>
      <c r="DE13" s="21">
        <f t="shared" ca="1" si="43"/>
        <v>1.9610034972293634E-3</v>
      </c>
      <c r="DF13" s="21">
        <f t="shared" ca="1" si="44"/>
        <v>3.8625826460578368E-3</v>
      </c>
      <c r="DG13" s="21">
        <f t="shared" ca="1" si="45"/>
        <v>7.4979545482299183E-3</v>
      </c>
      <c r="DH13" s="21">
        <f t="shared" ca="1" si="35"/>
        <v>1.4162803035545402E-2</v>
      </c>
      <c r="DI13" s="21">
        <f t="shared" ca="1" si="36"/>
        <v>2.5493045463981723E-2</v>
      </c>
      <c r="DJ13" s="21">
        <f t="shared" ca="1" si="37"/>
        <v>4.2488409106636205E-2</v>
      </c>
      <c r="DK13" s="21">
        <f t="shared" ca="1" si="38"/>
        <v>6.3732613659954307E-2</v>
      </c>
      <c r="DM13" s="16" cm="1">
        <f t="array" aca="1" ref="DM13" ca="1">MAX(_xlfn._xlws.FILTER(CX13:DK13,CX13:DK13&lt;BV13))</f>
        <v>-1.4162803035545402E-2</v>
      </c>
      <c r="DN13" s="16" cm="1">
        <f t="array" aca="1" ref="DN13" ca="1">MIN(_xlfn._xlws.FILTER(CX13:DK13,CX13:DK13&gt;BV13))</f>
        <v>-7.4979545482299183E-3</v>
      </c>
      <c r="DO13" s="2" cm="1">
        <f t="array" aca="1" ref="DO13" ca="1">_FV(ED13,"Fechamento anterior",TRUE)</f>
        <v>17.11</v>
      </c>
      <c r="DP13" s="28">
        <f t="shared" ca="1" si="15"/>
        <v>0.28346912676547809</v>
      </c>
      <c r="DQ13" s="15">
        <f t="shared" ca="1" si="16"/>
        <v>16.867674440061819</v>
      </c>
      <c r="DR13" s="15">
        <f t="shared" ca="1" si="17"/>
        <v>16.981709997679786</v>
      </c>
      <c r="DS13" s="9"/>
      <c r="DT13" s="9"/>
      <c r="DU13" s="9"/>
      <c r="DV13" s="89">
        <v>1.9015791488284734E-3</v>
      </c>
      <c r="DW13" s="89">
        <f t="shared" ca="1" si="18"/>
        <v>6.6648484873154832E-3</v>
      </c>
      <c r="DX13" s="72">
        <f t="shared" ca="1" si="19"/>
        <v>-0.58392656178219704</v>
      </c>
      <c r="DY13" s="37"/>
      <c r="DZ13" s="35">
        <f t="shared" si="39"/>
        <v>0.33394610343586856</v>
      </c>
      <c r="EA13" s="56"/>
      <c r="EB13" s="56"/>
      <c r="ED13" s="2" t="e" vm="13">
        <v>#VALUE!</v>
      </c>
      <c r="EF13" s="10" cm="1">
        <f t="array" aca="1" ref="EF13" ca="1">_FV(ED13,"Ações em circulação",TRUE)</f>
        <v>443329700</v>
      </c>
      <c r="EG13" s="18">
        <f>VLOOKUP(BQ13,Fundamentus!A:U,5,FALSE)</f>
        <v>0.92500000000000004</v>
      </c>
      <c r="EH13" s="2">
        <f t="shared" ca="1" si="20"/>
        <v>8099753437.8378363</v>
      </c>
      <c r="EI13" s="17">
        <v>732982634.24129725</v>
      </c>
      <c r="EJ13" s="17">
        <f t="shared" ca="1" si="21"/>
        <v>715208228.56108093</v>
      </c>
      <c r="EL13" s="16">
        <f t="shared" ca="1" si="22"/>
        <v>-2.4249422632794615E-2</v>
      </c>
      <c r="EM13" s="32" t="str">
        <f>IF(VLOOKUP(BQ13,Fundamentus!A:U,3,FALSE)&lt;15,"Bom",IF(VLOOKUP(BQ13,Fundamentus!A:U,3,FALSE)&gt;15,"Ruim","n/a"))</f>
        <v>Bom</v>
      </c>
      <c r="EN13" s="28" t="str">
        <f>IF(VLOOKUP(BQ13,Fundamentus!A:U,4,FALSE)&lt;1,"Baixo",IF(VLOOKUP(BQ13,Fundamentus!A:U,4,FALSE)&lt;1.5,"Moderado",IF(VLOOKUP(BQ13,Fundamentus!A:U,4,FALSE)&gt;1.5,"Alto","n/a")))</f>
        <v>Alto</v>
      </c>
      <c r="EO13" s="17" t="str">
        <f>IF(VLOOKUP(BQ13,Fundamentus!A:U,8,FALSE)&lt;0,"Risco elevado",IF(VLOOKUP(BQ13,Fundamentus!A:U,8,FALSE)&lt;1,"Saudável",IF(VLOOKUP(BQ13,Fundamentus!A:U,8,FALSE)&lt;3,"Estável",IF(VLOOKUP(BQ13,Fundamentus!A:U,8,FALSE)&gt;3,"Alerta","n/a"))))</f>
        <v>Alerta</v>
      </c>
      <c r="EP13" s="28" t="str">
        <f t="shared" si="23"/>
        <v>Ruim</v>
      </c>
      <c r="EQ13" s="17" t="str">
        <f>IF(VLOOKUP(BQ13,Fundamentus!A:U,12,FALSE)&lt;2,"Subvalorizada",IF(VLOOKUP(BQ13,Fundamentus!A:U,12,FALSE)&lt;6,"Muita barata",IF(VLOOKUP(BQ13,Fundamentus!A:U,12,FALSE)&lt;6,"Barata",IF(VLOOKUP(BQ13,Fundamentus!A:U,12,FALSE)&lt;8,"Atrativa",IF(VLOOKUP(BQ13,Fundamentus!A:U,12,FALSE)&gt;8,"Supervalorizada","n/a")))))</f>
        <v>Muita barata</v>
      </c>
      <c r="ES13" s="17" t="str">
        <f>IF(VLOOKUP(BQ13,Fundamentus!A:U,17,FALSE)&lt;0.1,"Fraco retorno",IF(VLOOKUP(BQ13,Fundamentus!A:U,17,FALSE)&gt;0.1,"Bom retorno","n/a"))</f>
        <v>Bom retorno</v>
      </c>
      <c r="ET13" s="17" t="str">
        <f>IF(VLOOKUP(BQ13,Fundamentus!A:U,16,FALSE)&lt;0.1,"Ineficiente",IF(VLOOKUP(BQ13,Fundamentus!A:U,16,FALSE)&gt;0.1,"Eficiente","n/a"))</f>
        <v>Eficiente</v>
      </c>
      <c r="EU13" s="33" t="str">
        <f>IF(VLOOKUP(BQ13,Fundamentus!A:U,16,FALSE)&lt;0.1,"Oper. Ineficiente",IF(VLOOKUP(BQ13,Fundamentus!A:U,16,FALSE)&gt;0.1,"Oper.Eficiente","n/a"))</f>
        <v>Oper.Eficiente</v>
      </c>
      <c r="EV13" s="34">
        <f>VLOOKUP(BQ13,Fundamentus!A:U,14,FALSE)</f>
        <v>8.8300000000000003E-2</v>
      </c>
      <c r="EW13" s="17" t="str">
        <f>IF(VLOOKUP(BQ13,Fundamentus!A:U,21,FALSE)&lt;0,"Negativo",IF(VLOOKUP(BQ13,Fundamentus!A:U,21,FALSE)&lt;0.05,"Fraco",IF(VLOOKUP(BQ13,Fundamentus!A:U,21,FALSE)&lt;0.1,"Bom",IF(VLOOKUP(BQ13,Fundamentus!A:U,21,FALSE)&gt;0.1,"Muito bom","n/a"))))</f>
        <v>Muito bom</v>
      </c>
      <c r="EY13" s="29" t="str">
        <f>IF(VLOOKUP(BQ13,Fundamentus!A:U,15,FALSE)&gt;1,"Bom",IF(VLOOKUP(BQ13,Fundamentus!A:U,15,FALSE)&lt;1,"Ruim","n/a"))</f>
        <v>Bom</v>
      </c>
      <c r="EZ13" s="17" t="str">
        <f>IF(VLOOKUP(BQ13,Fundamentus!A:U,20,FALSE)&lt;0.5,"Baixa",IF(VLOOKUP(BQ13,Fundamentus!A:U,20,FALSE)&lt;1,"Moderada",IF(VLOOKUP(BQ13,Fundamentus!A:U,20,FALSE)&lt;2,"Alerta",IF(VLOOKUP(BQ13,Fundamentus!A:U,20,FALSE)&gt;2,"Alta","n/a"))))</f>
        <v>Alerta</v>
      </c>
    </row>
    <row r="14" spans="1:156" s="2" customFormat="1" ht="11.25" hidden="1" x14ac:dyDescent="0.2">
      <c r="A14" s="4">
        <v>6.75</v>
      </c>
      <c r="B14" s="4">
        <v>6.79</v>
      </c>
      <c r="C14" s="4">
        <v>6.63</v>
      </c>
      <c r="D14" s="4">
        <v>6.29</v>
      </c>
      <c r="E14" s="4">
        <v>6.15</v>
      </c>
      <c r="F14" s="4">
        <v>6.5</v>
      </c>
      <c r="G14" s="4">
        <v>6.52</v>
      </c>
      <c r="H14" s="4">
        <v>6.5</v>
      </c>
      <c r="I14" s="4">
        <v>6.46</v>
      </c>
      <c r="J14" s="4">
        <v>6.6</v>
      </c>
      <c r="K14" s="4">
        <v>6.75</v>
      </c>
      <c r="L14" s="4">
        <v>6.42</v>
      </c>
      <c r="M14" s="4">
        <v>6.6</v>
      </c>
      <c r="N14" s="4">
        <v>6.47</v>
      </c>
      <c r="O14" s="4">
        <v>6.7</v>
      </c>
      <c r="P14" s="4">
        <v>6.64</v>
      </c>
      <c r="Q14" s="4">
        <v>6.28</v>
      </c>
      <c r="R14" s="4">
        <v>6.47</v>
      </c>
      <c r="S14" s="4">
        <v>6.9</v>
      </c>
      <c r="T14" s="4">
        <v>7</v>
      </c>
      <c r="U14" s="4">
        <v>6.78</v>
      </c>
      <c r="V14" s="4">
        <v>6.78</v>
      </c>
      <c r="W14" s="4">
        <v>6.99</v>
      </c>
      <c r="X14" s="4">
        <v>6.85</v>
      </c>
      <c r="Y14" s="4">
        <v>6.45</v>
      </c>
      <c r="Z14" s="4">
        <v>6.37</v>
      </c>
      <c r="AA14" s="4">
        <v>5.98</v>
      </c>
      <c r="AB14" s="4">
        <v>6.16</v>
      </c>
      <c r="AC14" s="4">
        <v>6.15</v>
      </c>
      <c r="AD14" s="4">
        <v>6.08</v>
      </c>
      <c r="AE14" s="4">
        <v>5.52</v>
      </c>
      <c r="AF14" s="4">
        <v>5.56</v>
      </c>
      <c r="AG14" s="4">
        <v>5.59</v>
      </c>
      <c r="AH14" s="4">
        <v>5.36</v>
      </c>
      <c r="AI14" s="4">
        <v>5.35</v>
      </c>
      <c r="AJ14" s="4">
        <v>5.27</v>
      </c>
      <c r="AK14" s="4">
        <v>5.26</v>
      </c>
      <c r="AL14" s="4">
        <v>5.05</v>
      </c>
      <c r="AM14" s="4">
        <v>5.6</v>
      </c>
      <c r="AN14" s="4">
        <v>5.5</v>
      </c>
      <c r="AO14" s="4">
        <v>5.31</v>
      </c>
      <c r="AP14" s="4">
        <v>5.76</v>
      </c>
      <c r="AQ14" s="4">
        <v>5.68</v>
      </c>
      <c r="AR14" s="4">
        <v>5.51</v>
      </c>
      <c r="AS14" s="4">
        <v>5.51</v>
      </c>
      <c r="AT14" s="4">
        <v>5.4</v>
      </c>
      <c r="AU14" s="4">
        <v>5.68</v>
      </c>
      <c r="AV14" s="4">
        <v>5.69</v>
      </c>
      <c r="AW14" s="4">
        <v>5.16</v>
      </c>
      <c r="AX14" s="4">
        <v>5.35</v>
      </c>
      <c r="AY14" s="12">
        <v>5.3</v>
      </c>
      <c r="AZ14" s="12">
        <v>5.37</v>
      </c>
      <c r="BA14" s="12">
        <v>5.42</v>
      </c>
      <c r="BB14" s="15">
        <v>5.51</v>
      </c>
      <c r="BC14" s="52">
        <v>5.81</v>
      </c>
      <c r="BD14" s="52">
        <v>5.88</v>
      </c>
      <c r="BE14" s="52">
        <v>5.83</v>
      </c>
      <c r="BF14" s="52">
        <v>6.25</v>
      </c>
      <c r="BG14" s="67">
        <v>6.3</v>
      </c>
      <c r="BH14" s="52">
        <v>6.42</v>
      </c>
      <c r="BI14" s="52">
        <v>6.85</v>
      </c>
      <c r="BJ14" s="52">
        <v>7</v>
      </c>
      <c r="BK14" s="52">
        <v>6.82</v>
      </c>
      <c r="BL14" s="52">
        <v>6.42</v>
      </c>
      <c r="BM14" s="52">
        <v>6.4</v>
      </c>
      <c r="BN14" s="52">
        <v>6.1</v>
      </c>
      <c r="BO14" s="52">
        <v>6.38</v>
      </c>
      <c r="BP14" s="52" cm="1">
        <f t="array" aca="1" ref="BP14" ca="1">_FV(ED14,"Preço")</f>
        <v>6.36</v>
      </c>
      <c r="BQ14" s="69" t="s">
        <v>123</v>
      </c>
      <c r="BR14" s="36" cm="1">
        <f t="array" aca="1" ref="BR14" ca="1">_FV(ED14,"Média de volume",TRUE)</f>
        <v>454620</v>
      </c>
      <c r="BS14" s="36">
        <v>393300</v>
      </c>
      <c r="BT14" s="36" cm="1">
        <f t="array" aca="1" ref="BT14" ca="1">_FV(ED14,"Volume")</f>
        <v>570500</v>
      </c>
      <c r="BU14" s="24" cm="1">
        <f t="array" aca="1" ref="BU14" ca="1">_FV(ED14,"Beta")</f>
        <v>1.2831999999999999</v>
      </c>
      <c r="BV14" s="71" cm="1">
        <f t="array" aca="1" ref="BV14" ca="1">_FV(ED14,"Variação (%)",TRUE)</f>
        <v>-2.7522999999999999E-2</v>
      </c>
      <c r="BX14" s="17" cm="1">
        <f t="array" aca="1" ref="BX14" ca="1">_FV(ED14,"Baixo")</f>
        <v>6.2</v>
      </c>
      <c r="BY14" s="17" cm="1">
        <f t="array" aca="1" ref="BY14" ca="1">_FV(ED14,"Alto")</f>
        <v>6.51</v>
      </c>
      <c r="BZ14" s="24"/>
      <c r="CA14" s="63" t="e">
        <f ca="1">SQRT(22.5*(BP14/VLOOKUP(BQ14,Fundamentus!A:U,3,FALSE))*(BP14/VLOOKUP(BQ14,Fundamentus!A:U,4,FALSE)))</f>
        <v>#NUM!</v>
      </c>
      <c r="CC14" s="62">
        <f t="shared" ca="1" si="24"/>
        <v>-3.1347962382444472E-3</v>
      </c>
      <c r="CD14" s="8"/>
      <c r="CE14" s="61">
        <f t="shared" si="25"/>
        <v>5.05</v>
      </c>
      <c r="CF14" s="61">
        <f t="shared" si="26"/>
        <v>7</v>
      </c>
      <c r="CG14" s="61">
        <f t="shared" si="27"/>
        <v>6.1071641791044797</v>
      </c>
      <c r="CH14" s="14"/>
      <c r="CI14" s="35">
        <f t="shared" si="1"/>
        <v>5.760156548377573</v>
      </c>
      <c r="CJ14" s="15">
        <f t="shared" si="28"/>
        <v>6.2199999999999704</v>
      </c>
      <c r="CK14" s="35">
        <f t="shared" si="2"/>
        <v>6.6798434516223679</v>
      </c>
      <c r="CM14" s="14"/>
      <c r="CN14" s="17">
        <f t="shared" si="3"/>
        <v>3.3366666666666669</v>
      </c>
      <c r="CO14" s="17">
        <f t="shared" si="4"/>
        <v>4.1933333333333334</v>
      </c>
      <c r="CP14" s="17">
        <f t="shared" si="5"/>
        <v>5.2866666666666671</v>
      </c>
      <c r="CQ14" s="38">
        <f t="shared" si="29"/>
        <v>6.1433333333333335</v>
      </c>
      <c r="CR14" s="17">
        <f t="shared" si="6"/>
        <v>7.2366666666666672</v>
      </c>
      <c r="CS14" s="17">
        <f t="shared" si="7"/>
        <v>8.0933333333333337</v>
      </c>
      <c r="CT14" s="17">
        <f t="shared" si="8"/>
        <v>9.1866666666666674</v>
      </c>
      <c r="CU14" s="2" cm="1">
        <f t="array" aca="1" ref="CU14" ca="1">MAX(_xlfn._xlws.FILTER(CN14:CT14,CN14:CT14&lt;BP14))</f>
        <v>6.1433333333333335</v>
      </c>
      <c r="CV14" s="2" cm="1">
        <f t="array" aca="1" ref="CV14" ca="1">MIN(_xlfn._xlws.FILTER($CN14:$CT14,$CN14:$CT14&gt;BP14))</f>
        <v>7.2366666666666672</v>
      </c>
      <c r="CW14" s="16">
        <f t="shared" ref="CW14:CW18" ca="1" si="46">(CV14/CU14)-1</f>
        <v>0.17797069994574066</v>
      </c>
      <c r="CX14" s="20">
        <f t="shared" ref="CX14:CX18" ca="1" si="47">-$CW14/2</f>
        <v>-8.8985349972870331E-2</v>
      </c>
      <c r="CY14" s="20">
        <f t="shared" ref="CY14:CY18" ca="1" si="48">-$CW14/3</f>
        <v>-5.9323566648580218E-2</v>
      </c>
      <c r="CZ14" s="20">
        <f t="shared" ref="CZ14:CZ18" ca="1" si="49">-$CW14/5</f>
        <v>-3.5594139989148135E-2</v>
      </c>
      <c r="DA14" s="20">
        <f t="shared" ref="DA14:DA18" ca="1" si="50">-$CW14/9</f>
        <v>-1.9774522216193406E-2</v>
      </c>
      <c r="DB14" s="20">
        <f t="shared" ref="DB14:DB18" ca="1" si="51">-$CW14/17</f>
        <v>-1.0468864702690628E-2</v>
      </c>
      <c r="DC14" s="20">
        <f t="shared" ref="DC14:DC18" ca="1" si="52">-$CW14/33</f>
        <v>-5.3930515135072925E-3</v>
      </c>
      <c r="DD14" s="20">
        <f t="shared" ref="DD14:DD18" ca="1" si="53">-$CW14/65</f>
        <v>-2.7380107683960104E-3</v>
      </c>
      <c r="DE14" s="21">
        <f t="shared" ref="DE14:DE18" ca="1" si="54">-$CW14/65*-1</f>
        <v>2.7380107683960104E-3</v>
      </c>
      <c r="DF14" s="21">
        <f t="shared" ref="DF14:DF18" ca="1" si="55">-$CW14/33*-1</f>
        <v>5.3930515135072925E-3</v>
      </c>
      <c r="DG14" s="21">
        <f t="shared" ref="DG14:DG18" ca="1" si="56">-$CW14/17*-1</f>
        <v>1.0468864702690628E-2</v>
      </c>
      <c r="DH14" s="21">
        <f t="shared" ref="DH14:DH18" ca="1" si="57">-$CW14/9*-1</f>
        <v>1.9774522216193406E-2</v>
      </c>
      <c r="DI14" s="21">
        <f t="shared" ref="DI14:DI18" ca="1" si="58">-$CW14/5*-1</f>
        <v>3.5594139989148135E-2</v>
      </c>
      <c r="DJ14" s="21">
        <f t="shared" ref="DJ14:DJ18" ca="1" si="59">-$CW14/3*-1</f>
        <v>5.9323566648580218E-2</v>
      </c>
      <c r="DK14" s="21">
        <f t="shared" ref="DK14:DK18" ca="1" si="60">-$CW14/2*-1</f>
        <v>8.8985349972870331E-2</v>
      </c>
      <c r="DM14" s="16" cm="1">
        <f t="array" aca="1" ref="DM14" ca="1">MAX(_xlfn._xlws.FILTER(CX14:DK14,CX14:DK14&lt;BV14))</f>
        <v>-3.5594139989148135E-2</v>
      </c>
      <c r="DN14" s="16" cm="1">
        <f t="array" aca="1" ref="DN14" ca="1">MIN(_xlfn._xlws.FILTER(CX14:DK14,CX14:DK14&gt;BV14))</f>
        <v>-1.9774522216193406E-2</v>
      </c>
      <c r="DO14" s="2" cm="1">
        <f t="array" aca="1" ref="DO14" ca="1">_FV(ED14,"Fechamento anterior",TRUE)</f>
        <v>6.54</v>
      </c>
      <c r="DP14" s="28">
        <f t="shared" ca="1" si="15"/>
        <v>0.51020222644887425</v>
      </c>
      <c r="DQ14" s="15">
        <f t="shared" ref="DQ14:DQ18" ca="1" si="61">DO14+(DO14*DM14)</f>
        <v>6.3072143244709711</v>
      </c>
      <c r="DR14" s="15">
        <f t="shared" ref="DR14:DR18" ca="1" si="62">DO14+(DO14*DN14)</f>
        <v>6.4106746247060951</v>
      </c>
      <c r="DS14" s="9"/>
      <c r="DT14" s="9"/>
      <c r="DU14" s="9"/>
      <c r="DV14" s="89">
        <v>1.5819617772954729E-2</v>
      </c>
      <c r="DW14" s="89">
        <f t="shared" ca="1" si="18"/>
        <v>1.5819617772954729E-2</v>
      </c>
      <c r="DX14" s="72">
        <f t="shared" ca="1" si="19"/>
        <v>0.304451437779724</v>
      </c>
      <c r="DY14" s="37"/>
      <c r="DZ14" s="35">
        <f t="shared" si="39"/>
        <v>0.22992172581119882</v>
      </c>
      <c r="EA14" s="56"/>
      <c r="EB14" s="56"/>
      <c r="ED14" s="2" t="e" vm="14">
        <v>#VALUE!</v>
      </c>
      <c r="EF14" s="10" cm="1">
        <f t="array" aca="1" ref="EF14" ca="1">_FV(ED14,"Ações em circulação",TRUE)</f>
        <v>199959500</v>
      </c>
      <c r="EG14" s="18">
        <f>VLOOKUP(BQ14,Fundamentus!A:U,5,FALSE)</f>
        <v>0.754</v>
      </c>
      <c r="EH14" s="2">
        <f t="shared" ca="1" si="20"/>
        <v>1686661034.4827585</v>
      </c>
      <c r="EI14" s="17">
        <v>-23179920.5</v>
      </c>
      <c r="EJ14" s="17">
        <f t="shared" ca="1" si="21"/>
        <v>-23107256.172413792</v>
      </c>
      <c r="EL14" s="16">
        <f t="shared" ca="1" si="22"/>
        <v>-3.1347962382445305E-3</v>
      </c>
      <c r="EM14" s="32" t="str">
        <f>IF(VLOOKUP(BQ14,Fundamentus!A:U,3,FALSE)&lt;15,"Bom",IF(VLOOKUP(BQ14,Fundamentus!A:U,3,FALSE)&gt;15,"Ruim","n/a"))</f>
        <v>Bom</v>
      </c>
      <c r="EN14" s="28" t="str">
        <f>IF(VLOOKUP(BQ14,Fundamentus!A:U,4,FALSE)&lt;1,"Baixo",IF(VLOOKUP(BQ14,Fundamentus!A:U,4,FALSE)&lt;1.5,"Moderado",IF(VLOOKUP(BQ14,Fundamentus!A:U,4,FALSE)&gt;1.5,"Alto","n/a")))</f>
        <v>Moderado</v>
      </c>
      <c r="EO14" s="17" t="str">
        <f>IF(VLOOKUP(BQ14,Fundamentus!A:U,8,FALSE)&lt;0,"Risco elevado",IF(VLOOKUP(BQ14,Fundamentus!A:U,8,FALSE)&lt;1,"Saudável",IF(VLOOKUP(BQ14,Fundamentus!A:U,8,FALSE)&lt;3,"Estável",IF(VLOOKUP(BQ14,Fundamentus!A:U,8,FALSE)&gt;3,"Alerta","n/a"))))</f>
        <v>Alerta</v>
      </c>
      <c r="EP14" s="28" t="str">
        <f t="shared" si="23"/>
        <v>Ruim</v>
      </c>
      <c r="EQ14" s="17" t="str">
        <f>IF(VLOOKUP(BQ14,Fundamentus!A:U,12,FALSE)&lt;2,"Subvalorizada",IF(VLOOKUP(BQ14,Fundamentus!A:U,12,FALSE)&lt;6,"Muita barata",IF(VLOOKUP(BQ14,Fundamentus!A:U,12,FALSE)&lt;6,"Barata",IF(VLOOKUP(BQ14,Fundamentus!A:U,12,FALSE)&lt;8,"Atrativa",IF(VLOOKUP(BQ14,Fundamentus!A:U,12,FALSE)&gt;8,"Supervalorizada","n/a")))))</f>
        <v>Muita barata</v>
      </c>
      <c r="ES14" s="17" t="str">
        <f>IF(VLOOKUP(BQ14,Fundamentus!A:U,17,FALSE)&lt;0.1,"Fraco retorno",IF(VLOOKUP(BQ14,Fundamentus!A:U,17,FALSE)&gt;0.1,"Bom retorno","n/a"))</f>
        <v>Fraco retorno</v>
      </c>
      <c r="ET14" s="17" t="str">
        <f>IF(VLOOKUP(BQ14,Fundamentus!A:U,16,FALSE)&lt;0.1,"Ineficiente",IF(VLOOKUP(BQ14,Fundamentus!A:U,16,FALSE)&gt;0.1,"Eficiente","n/a"))</f>
        <v>Ineficiente</v>
      </c>
      <c r="EU14" s="33" t="str">
        <f>IF(VLOOKUP(BQ14,Fundamentus!A:U,16,FALSE)&lt;0.1,"Oper. Ineficiente",IF(VLOOKUP(BQ14,Fundamentus!A:U,16,FALSE)&gt;0.1,"Oper.Eficiente","n/a"))</f>
        <v>Oper. Ineficiente</v>
      </c>
      <c r="EV14" s="34">
        <f>VLOOKUP(BQ14,Fundamentus!A:U,14,FALSE)</f>
        <v>-1.37E-2</v>
      </c>
      <c r="EW14" s="17" t="str">
        <f>IF(VLOOKUP(BQ14,Fundamentus!A:U,21,FALSE)&lt;0,"Negativo",IF(VLOOKUP(BQ14,Fundamentus!A:U,21,FALSE)&lt;0.05,"Fraco",IF(VLOOKUP(BQ14,Fundamentus!A:U,21,FALSE)&lt;0.1,"Bom",IF(VLOOKUP(BQ14,Fundamentus!A:U,21,FALSE)&gt;0.1,"Muito bom","n/a"))))</f>
        <v>Muito bom</v>
      </c>
      <c r="EY14" s="29" t="str">
        <f>IF(VLOOKUP(BQ14,Fundamentus!A:U,15,FALSE)&gt;1,"Bom",IF(VLOOKUP(BQ14,Fundamentus!A:U,15,FALSE)&lt;1,"Ruim","n/a"))</f>
        <v>Bom</v>
      </c>
      <c r="EZ14" s="17" t="str">
        <f>IF(VLOOKUP(BQ14,Fundamentus!A:U,20,FALSE)&lt;0.5,"Baixa",IF(VLOOKUP(BQ14,Fundamentus!A:U,20,FALSE)&lt;1,"Moderada",IF(VLOOKUP(BQ14,Fundamentus!A:U,20,FALSE)&lt;2,"Alerta",IF(VLOOKUP(BQ14,Fundamentus!A:U,20,FALSE)&gt;2,"Alta","n/a"))))</f>
        <v>Alerta</v>
      </c>
    </row>
    <row r="15" spans="1:156" s="2" customFormat="1" ht="11.25" hidden="1" x14ac:dyDescent="0.2">
      <c r="A15" s="4">
        <v>15.67</v>
      </c>
      <c r="B15" s="4">
        <v>15.12</v>
      </c>
      <c r="C15" s="4">
        <v>14.56</v>
      </c>
      <c r="D15" s="4">
        <v>14.74</v>
      </c>
      <c r="E15" s="4">
        <v>14.61</v>
      </c>
      <c r="F15" s="4">
        <v>14.4</v>
      </c>
      <c r="G15" s="4">
        <v>14.17</v>
      </c>
      <c r="H15" s="4">
        <v>14.4</v>
      </c>
      <c r="I15" s="4">
        <v>14.43</v>
      </c>
      <c r="J15" s="4">
        <v>14.4</v>
      </c>
      <c r="K15" s="4">
        <v>14.93</v>
      </c>
      <c r="L15" s="4">
        <v>15.3</v>
      </c>
      <c r="M15" s="4">
        <v>14.8</v>
      </c>
      <c r="N15" s="4">
        <v>14.68</v>
      </c>
      <c r="O15" s="4">
        <v>14.95</v>
      </c>
      <c r="P15" s="4">
        <v>15.83</v>
      </c>
      <c r="Q15" s="4">
        <v>16.3</v>
      </c>
      <c r="R15" s="4">
        <v>16.399999999999999</v>
      </c>
      <c r="S15" s="4">
        <v>16.170000000000002</v>
      </c>
      <c r="T15" s="4">
        <v>16.16</v>
      </c>
      <c r="U15" s="4">
        <v>15.37</v>
      </c>
      <c r="V15" s="4">
        <v>15.08</v>
      </c>
      <c r="W15" s="4">
        <v>15</v>
      </c>
      <c r="X15" s="4">
        <v>14.95</v>
      </c>
      <c r="Y15" s="4">
        <v>14.78</v>
      </c>
      <c r="Z15" s="4">
        <v>15.02</v>
      </c>
      <c r="AA15" s="4">
        <v>14.12</v>
      </c>
      <c r="AB15" s="4">
        <v>14.08</v>
      </c>
      <c r="AC15" s="4">
        <v>13.54</v>
      </c>
      <c r="AD15" s="4">
        <v>13.79</v>
      </c>
      <c r="AE15" s="4">
        <v>13.21</v>
      </c>
      <c r="AF15" s="4">
        <v>13.32</v>
      </c>
      <c r="AG15" s="4">
        <v>12.94</v>
      </c>
      <c r="AH15" s="4">
        <v>12.35</v>
      </c>
      <c r="AI15" s="4">
        <v>12.42</v>
      </c>
      <c r="AJ15" s="4">
        <v>12.24</v>
      </c>
      <c r="AK15" s="4">
        <v>12.55</v>
      </c>
      <c r="AL15" s="4">
        <v>13.06</v>
      </c>
      <c r="AM15" s="4">
        <v>13.11</v>
      </c>
      <c r="AN15" s="4">
        <v>13.56</v>
      </c>
      <c r="AO15" s="4">
        <v>13.81</v>
      </c>
      <c r="AP15" s="4">
        <v>13.94</v>
      </c>
      <c r="AQ15" s="4">
        <v>13.8</v>
      </c>
      <c r="AR15" s="4">
        <v>13.37</v>
      </c>
      <c r="AS15" s="4">
        <v>13.55</v>
      </c>
      <c r="AT15" s="4">
        <v>13.74</v>
      </c>
      <c r="AU15" s="4">
        <v>14.02</v>
      </c>
      <c r="AV15" s="4">
        <v>14.38</v>
      </c>
      <c r="AW15" s="4">
        <v>14.04</v>
      </c>
      <c r="AX15" s="4">
        <v>13.96</v>
      </c>
      <c r="AY15" s="12">
        <v>14.26</v>
      </c>
      <c r="AZ15" s="12">
        <v>14.6</v>
      </c>
      <c r="BA15" s="12">
        <v>15.45</v>
      </c>
      <c r="BB15" s="15">
        <v>15.53</v>
      </c>
      <c r="BC15" s="52">
        <v>15.91</v>
      </c>
      <c r="BD15" s="52">
        <v>15.69</v>
      </c>
      <c r="BE15" s="52">
        <v>15.4</v>
      </c>
      <c r="BF15" s="52">
        <v>14.98</v>
      </c>
      <c r="BG15" s="67">
        <v>15.5</v>
      </c>
      <c r="BH15" s="52">
        <v>15.37</v>
      </c>
      <c r="BI15" s="52">
        <v>15.34</v>
      </c>
      <c r="BJ15" s="52">
        <v>15.37</v>
      </c>
      <c r="BK15" s="52">
        <v>14.44</v>
      </c>
      <c r="BL15" s="52">
        <v>13.79</v>
      </c>
      <c r="BM15" s="52">
        <v>13.96</v>
      </c>
      <c r="BN15" s="52">
        <v>13.64</v>
      </c>
      <c r="BO15" s="52">
        <v>14.1</v>
      </c>
      <c r="BP15" s="52" cm="1">
        <f t="array" aca="1" ref="BP15" ca="1">_FV(ED15,"Preço")</f>
        <v>14.08</v>
      </c>
      <c r="BQ15" s="69" t="s">
        <v>12</v>
      </c>
      <c r="BR15" s="36" cm="1">
        <f t="array" aca="1" ref="BR15" ca="1">_FV(ED15,"Média de volume",TRUE)</f>
        <v>50460</v>
      </c>
      <c r="BS15" s="36">
        <v>36500</v>
      </c>
      <c r="BT15" s="36" cm="1">
        <f t="array" aca="1" ref="BT15" ca="1">_FV(ED15,"Volume")</f>
        <v>35300</v>
      </c>
      <c r="BU15" s="24" cm="1">
        <f t="array" aca="1" ref="BU15" ca="1">_FV(ED15,"Beta")</f>
        <v>1.0992999999999999</v>
      </c>
      <c r="BV15" s="71" cm="1">
        <f t="array" aca="1" ref="BV15" ca="1">_FV(ED15,"Variação (%)",TRUE)</f>
        <v>1.4219999999999999E-3</v>
      </c>
      <c r="BX15" s="17" cm="1">
        <f t="array" aca="1" ref="BX15" ca="1">_FV(ED15,"Baixo")</f>
        <v>13.9</v>
      </c>
      <c r="BY15" s="17" cm="1">
        <f t="array" aca="1" ref="BY15" ca="1">_FV(ED15,"Alto")</f>
        <v>14.17</v>
      </c>
      <c r="BZ15" s="24"/>
      <c r="CA15" s="63">
        <f ca="1">SQRT(22.5*(BP15/VLOOKUP(BQ15,Fundamentus!A:U,3,FALSE))*(BP15/VLOOKUP(BQ15,Fundamentus!A:U,4,FALSE)))</f>
        <v>22.627936469875142</v>
      </c>
      <c r="CC15" s="62">
        <f t="shared" ca="1" si="24"/>
        <v>-1.4184397163120265E-3</v>
      </c>
      <c r="CD15" s="8"/>
      <c r="CE15" s="61">
        <f t="shared" si="25"/>
        <v>12.24</v>
      </c>
      <c r="CF15" s="61">
        <f t="shared" si="26"/>
        <v>16.399999999999999</v>
      </c>
      <c r="CG15" s="61">
        <f t="shared" si="27"/>
        <v>14.454477611940298</v>
      </c>
      <c r="CH15" s="14"/>
      <c r="CI15" s="35">
        <f t="shared" si="1"/>
        <v>13.475149111121969</v>
      </c>
      <c r="CJ15" s="15">
        <f t="shared" si="28"/>
        <v>14.025000000000034</v>
      </c>
      <c r="CK15" s="35">
        <f t="shared" si="2"/>
        <v>14.5748508888781</v>
      </c>
      <c r="CM15" s="14"/>
      <c r="CN15" s="17">
        <f t="shared" si="3"/>
        <v>7.9333333333333389</v>
      </c>
      <c r="CO15" s="17">
        <f t="shared" si="4"/>
        <v>10.08666666666667</v>
      </c>
      <c r="CP15" s="17">
        <f t="shared" si="5"/>
        <v>12.093333333333337</v>
      </c>
      <c r="CQ15" s="38">
        <f t="shared" si="29"/>
        <v>14.246666666666668</v>
      </c>
      <c r="CR15" s="17">
        <f t="shared" si="6"/>
        <v>16.253333333333337</v>
      </c>
      <c r="CS15" s="17">
        <f t="shared" si="7"/>
        <v>18.406666666666666</v>
      </c>
      <c r="CT15" s="17">
        <f t="shared" si="8"/>
        <v>20.413333333333334</v>
      </c>
      <c r="CU15" s="2" cm="1">
        <f t="array" aca="1" ref="CU15" ca="1">MAX(_xlfn._xlws.FILTER(CN15:CT15,CN15:CT15&lt;BP15))</f>
        <v>12.093333333333337</v>
      </c>
      <c r="CV15" s="2" cm="1">
        <f t="array" aca="1" ref="CV15" ca="1">MIN(_xlfn._xlws.FILTER($CN15:$CT15,$CN15:$CT15&gt;BP15))</f>
        <v>14.246666666666668</v>
      </c>
      <c r="CW15" s="16">
        <f t="shared" ca="1" si="46"/>
        <v>0.17805953693495002</v>
      </c>
      <c r="CX15" s="20">
        <f t="shared" ca="1" si="47"/>
        <v>-8.9029768467475012E-2</v>
      </c>
      <c r="CY15" s="20">
        <f t="shared" ca="1" si="48"/>
        <v>-5.9353178978316677E-2</v>
      </c>
      <c r="CZ15" s="20">
        <f t="shared" ca="1" si="49"/>
        <v>-3.5611907386990008E-2</v>
      </c>
      <c r="DA15" s="20">
        <f t="shared" ca="1" si="50"/>
        <v>-1.9784392992772223E-2</v>
      </c>
      <c r="DB15" s="20">
        <f t="shared" ca="1" si="51"/>
        <v>-1.0474090407938237E-2</v>
      </c>
      <c r="DC15" s="20">
        <f t="shared" ca="1" si="52"/>
        <v>-5.3957435434833344E-3</v>
      </c>
      <c r="DD15" s="20">
        <f t="shared" ca="1" si="53"/>
        <v>-2.7393774913069234E-3</v>
      </c>
      <c r="DE15" s="21">
        <f t="shared" ca="1" si="54"/>
        <v>2.7393774913069234E-3</v>
      </c>
      <c r="DF15" s="21">
        <f t="shared" ca="1" si="55"/>
        <v>5.3957435434833344E-3</v>
      </c>
      <c r="DG15" s="21">
        <f t="shared" ca="1" si="56"/>
        <v>1.0474090407938237E-2</v>
      </c>
      <c r="DH15" s="21">
        <f t="shared" ca="1" si="57"/>
        <v>1.9784392992772223E-2</v>
      </c>
      <c r="DI15" s="21">
        <f t="shared" ca="1" si="58"/>
        <v>3.5611907386990008E-2</v>
      </c>
      <c r="DJ15" s="21">
        <f t="shared" ca="1" si="59"/>
        <v>5.9353178978316677E-2</v>
      </c>
      <c r="DK15" s="21">
        <f t="shared" ca="1" si="60"/>
        <v>8.9029768467475012E-2</v>
      </c>
      <c r="DM15" s="16" cm="1">
        <f t="array" aca="1" ref="DM15" ca="1">MAX(_xlfn._xlws.FILTER(CX15:DK15,CX15:DK15&lt;BV15))</f>
        <v>-2.7393774913069234E-3</v>
      </c>
      <c r="DN15" s="16" cm="1">
        <f t="array" aca="1" ref="DN15" ca="1">MIN(_xlfn._xlws.FILTER(CX15:DK15,CX15:DK15&gt;BV15))</f>
        <v>2.7393774913069234E-3</v>
      </c>
      <c r="DO15" s="2" cm="1">
        <f t="array" aca="1" ref="DO15" ca="1">_FV(ED15,"Fechamento anterior",TRUE)</f>
        <v>14.06</v>
      </c>
      <c r="DP15" s="28">
        <f t="shared" ca="1" si="15"/>
        <v>0.75963473657786096</v>
      </c>
      <c r="DQ15" s="15">
        <f t="shared" ca="1" si="61"/>
        <v>14.021484352472225</v>
      </c>
      <c r="DR15" s="15">
        <f t="shared" ca="1" si="62"/>
        <v>14.098515647527776</v>
      </c>
      <c r="DS15" s="9"/>
      <c r="DT15" s="9"/>
      <c r="DU15" s="9"/>
      <c r="DV15" s="89">
        <v>5.0783468644549027E-3</v>
      </c>
      <c r="DW15" s="89">
        <f t="shared" ca="1" si="18"/>
        <v>5.4787549826138468E-3</v>
      </c>
      <c r="DX15" s="72">
        <f t="shared" ca="1" si="19"/>
        <v>0.10002711846513486</v>
      </c>
      <c r="DY15" s="37"/>
      <c r="DZ15" s="35">
        <f t="shared" si="39"/>
        <v>0.27492544443903311</v>
      </c>
      <c r="EA15" s="56"/>
      <c r="EB15" s="56"/>
      <c r="ED15" s="2" t="e" vm="15">
        <v>#VALUE!</v>
      </c>
      <c r="EF15" s="10" cm="1">
        <f t="array" aca="1" ref="EF15" ca="1">_FV(ED15,"Ações em circulação",TRUE)</f>
        <v>3749266000</v>
      </c>
      <c r="EG15" s="18">
        <f>VLOOKUP(BQ15,Fundamentus!A:U,5,FALSE)</f>
        <v>0</v>
      </c>
      <c r="EH15" s="2" t="e">
        <f t="shared" ca="1" si="20"/>
        <v>#DIV/0!</v>
      </c>
      <c r="EI15" s="17" t="e">
        <v>#DIV/0!</v>
      </c>
      <c r="EJ15" s="17" t="e">
        <f t="shared" ca="1" si="21"/>
        <v>#DIV/0!</v>
      </c>
      <c r="EL15" s="16" t="e">
        <f t="shared" ca="1" si="22"/>
        <v>#DIV/0!</v>
      </c>
      <c r="EM15" s="32" t="str">
        <f>IF(VLOOKUP(BQ15,Fundamentus!A:U,3,FALSE)&lt;15,"Bom",IF(VLOOKUP(BQ15,Fundamentus!A:U,3,FALSE)&gt;15,"Ruim","n/a"))</f>
        <v>Bom</v>
      </c>
      <c r="EN15" s="28" t="str">
        <f>IF(VLOOKUP(BQ15,Fundamentus!A:U,4,FALSE)&lt;1,"Baixo",IF(VLOOKUP(BQ15,Fundamentus!A:U,4,FALSE)&lt;1.5,"Moderado",IF(VLOOKUP(BQ15,Fundamentus!A:U,4,FALSE)&gt;1.5,"Alto","n/a")))</f>
        <v>Moderado</v>
      </c>
      <c r="EO15" s="17" t="str">
        <f>IF(VLOOKUP(BQ15,Fundamentus!A:U,8,FALSE)&lt;0,"Risco elevado",IF(VLOOKUP(BQ15,Fundamentus!A:U,8,FALSE)&lt;1,"Saudável",IF(VLOOKUP(BQ15,Fundamentus!A:U,8,FALSE)&lt;3,"Estável",IF(VLOOKUP(BQ15,Fundamentus!A:U,8,FALSE)&gt;3,"Alerta","n/a"))))</f>
        <v>Saudável</v>
      </c>
      <c r="EP15" s="28" t="str">
        <f t="shared" si="23"/>
        <v>Ruim</v>
      </c>
      <c r="EQ15" s="17" t="str">
        <f>IF(VLOOKUP(BQ15,Fundamentus!A:U,12,FALSE)&lt;2,"Subvalorizada",IF(VLOOKUP(BQ15,Fundamentus!A:U,12,FALSE)&lt;6,"Muita barata",IF(VLOOKUP(BQ15,Fundamentus!A:U,12,FALSE)&lt;6,"Barata",IF(VLOOKUP(BQ15,Fundamentus!A:U,12,FALSE)&lt;8,"Atrativa",IF(VLOOKUP(BQ15,Fundamentus!A:U,12,FALSE)&gt;8,"Supervalorizada","n/a")))))</f>
        <v>Subvalorizada</v>
      </c>
      <c r="ES15" s="17" t="str">
        <f>IF(VLOOKUP(BQ15,Fundamentus!A:U,17,FALSE)&lt;0.1,"Fraco retorno",IF(VLOOKUP(BQ15,Fundamentus!A:U,17,FALSE)&gt;0.1,"Bom retorno","n/a"))</f>
        <v>Bom retorno</v>
      </c>
      <c r="ET15" s="17" t="str">
        <f>IF(VLOOKUP(BQ15,Fundamentus!A:U,16,FALSE)&lt;0.1,"Ineficiente",IF(VLOOKUP(BQ15,Fundamentus!A:U,16,FALSE)&gt;0.1,"Eficiente","n/a"))</f>
        <v>Ineficiente</v>
      </c>
      <c r="EU15" s="33" t="str">
        <f>IF(VLOOKUP(BQ15,Fundamentus!A:U,16,FALSE)&lt;0.1,"Oper. Ineficiente",IF(VLOOKUP(BQ15,Fundamentus!A:U,16,FALSE)&gt;0.1,"Oper.Eficiente","n/a"))</f>
        <v>Oper. Ineficiente</v>
      </c>
      <c r="EV15" s="34">
        <f>VLOOKUP(BQ15,Fundamentus!A:U,14,FALSE)</f>
        <v>0</v>
      </c>
      <c r="EW15" s="17" t="str">
        <f>IF(VLOOKUP(BQ15,Fundamentus!A:U,21,FALSE)&lt;0,"Negativo",IF(VLOOKUP(BQ15,Fundamentus!A:U,21,FALSE)&lt;0.05,"Fraco",IF(VLOOKUP(BQ15,Fundamentus!A:U,21,FALSE)&lt;0.1,"Bom",IF(VLOOKUP(BQ15,Fundamentus!A:U,21,FALSE)&gt;0.1,"Muito bom","n/a"))))</f>
        <v>Negativo</v>
      </c>
      <c r="EY15" s="29" t="str">
        <f>IF(VLOOKUP(BQ15,Fundamentus!A:U,15,FALSE)&gt;1,"Bom",IF(VLOOKUP(BQ15,Fundamentus!A:U,15,FALSE)&lt;1,"Ruim","n/a"))</f>
        <v>Ruim</v>
      </c>
      <c r="EZ15" s="17" t="str">
        <f>IF(VLOOKUP(BQ15,Fundamentus!A:U,20,FALSE)&lt;0.5,"Baixa",IF(VLOOKUP(BQ15,Fundamentus!A:U,20,FALSE)&lt;1,"Moderada",IF(VLOOKUP(BQ15,Fundamentus!A:U,20,FALSE)&lt;2,"Alerta",IF(VLOOKUP(BQ15,Fundamentus!A:U,20,FALSE)&gt;2,"Alta","n/a"))))</f>
        <v>Baixa</v>
      </c>
    </row>
    <row r="16" spans="1:156" s="2" customFormat="1" ht="11.25" hidden="1" x14ac:dyDescent="0.2">
      <c r="A16" s="4">
        <v>4.68</v>
      </c>
      <c r="B16" s="4">
        <v>4.6500000000000004</v>
      </c>
      <c r="C16" s="4">
        <v>4.8099999999999996</v>
      </c>
      <c r="D16" s="4">
        <v>4.91</v>
      </c>
      <c r="E16" s="4">
        <v>4.6500000000000004</v>
      </c>
      <c r="F16" s="4">
        <v>4.71</v>
      </c>
      <c r="G16" s="4">
        <v>4.6500000000000004</v>
      </c>
      <c r="H16" s="4">
        <v>4.5</v>
      </c>
      <c r="I16" s="4">
        <v>4.55</v>
      </c>
      <c r="J16" s="4">
        <v>4.58</v>
      </c>
      <c r="K16" s="4">
        <v>4.58</v>
      </c>
      <c r="L16" s="4">
        <v>4.55</v>
      </c>
      <c r="M16" s="4">
        <v>4.45</v>
      </c>
      <c r="N16" s="4">
        <v>4.4000000000000004</v>
      </c>
      <c r="O16" s="4">
        <v>4.47</v>
      </c>
      <c r="P16" s="4">
        <v>4.46</v>
      </c>
      <c r="Q16" s="4">
        <v>4.55</v>
      </c>
      <c r="R16" s="4">
        <v>4.51</v>
      </c>
      <c r="S16" s="4">
        <v>4.5599999999999996</v>
      </c>
      <c r="T16" s="4">
        <v>5.08</v>
      </c>
      <c r="U16" s="4">
        <v>4.6399999999999997</v>
      </c>
      <c r="V16" s="4">
        <v>4.6500000000000004</v>
      </c>
      <c r="W16" s="4">
        <v>4.59</v>
      </c>
      <c r="X16" s="4">
        <v>4.43</v>
      </c>
      <c r="Y16" s="4">
        <v>4.37</v>
      </c>
      <c r="Z16" s="4">
        <v>4.45</v>
      </c>
      <c r="AA16" s="4">
        <v>4.45</v>
      </c>
      <c r="AB16" s="4">
        <v>4.4000000000000004</v>
      </c>
      <c r="AC16" s="4">
        <v>4.2699999999999996</v>
      </c>
      <c r="AD16" s="4">
        <v>4.3</v>
      </c>
      <c r="AE16" s="4">
        <v>4.3</v>
      </c>
      <c r="AF16" s="4">
        <v>4.32</v>
      </c>
      <c r="AG16" s="4">
        <v>4.25</v>
      </c>
      <c r="AH16" s="4">
        <v>4.22</v>
      </c>
      <c r="AI16" s="4">
        <v>4.0999999999999996</v>
      </c>
      <c r="AJ16" s="4">
        <v>4.2</v>
      </c>
      <c r="AK16" s="4">
        <v>4.2300000000000004</v>
      </c>
      <c r="AL16" s="4">
        <v>4.1500000000000004</v>
      </c>
      <c r="AM16" s="4">
        <v>4.1399999999999997</v>
      </c>
      <c r="AN16" s="4">
        <v>4.1900000000000004</v>
      </c>
      <c r="AO16" s="4">
        <v>4.18</v>
      </c>
      <c r="AP16" s="4">
        <v>4.17</v>
      </c>
      <c r="AQ16" s="4">
        <v>4.17</v>
      </c>
      <c r="AR16" s="4">
        <v>4.1500000000000004</v>
      </c>
      <c r="AS16" s="4">
        <v>4.13</v>
      </c>
      <c r="AT16" s="4">
        <v>4.13</v>
      </c>
      <c r="AU16" s="4">
        <v>4.2249999999999996</v>
      </c>
      <c r="AV16" s="4">
        <v>4.3600000000000003</v>
      </c>
      <c r="AW16" s="4">
        <v>4.2699999999999996</v>
      </c>
      <c r="AX16" s="4">
        <v>4.2300000000000004</v>
      </c>
      <c r="AY16" s="12">
        <v>4.4400000000000004</v>
      </c>
      <c r="AZ16" s="12">
        <v>4.45</v>
      </c>
      <c r="BA16" s="12">
        <v>4.4800000000000004</v>
      </c>
      <c r="BB16" s="15">
        <v>4.42</v>
      </c>
      <c r="BC16" s="52">
        <v>4.7</v>
      </c>
      <c r="BD16" s="52">
        <v>4.8899999999999997</v>
      </c>
      <c r="BE16" s="52">
        <v>4.88</v>
      </c>
      <c r="BF16" s="52">
        <v>4.91</v>
      </c>
      <c r="BG16" s="67">
        <v>4.95</v>
      </c>
      <c r="BH16" s="52">
        <v>4.75</v>
      </c>
      <c r="BI16" s="52">
        <v>5.05</v>
      </c>
      <c r="BJ16" s="52">
        <v>4.5999999999999996</v>
      </c>
      <c r="BK16" s="52">
        <v>4.2</v>
      </c>
      <c r="BL16" s="52">
        <v>4.17</v>
      </c>
      <c r="BM16" s="52">
        <v>4.08</v>
      </c>
      <c r="BN16" s="52">
        <v>4.4000000000000004</v>
      </c>
      <c r="BO16" s="52">
        <v>4.76</v>
      </c>
      <c r="BP16" s="52" cm="1">
        <f t="array" aca="1" ref="BP16" ca="1">_FV(ED16,"Preço")</f>
        <v>4.5</v>
      </c>
      <c r="BQ16" s="69" t="s">
        <v>13</v>
      </c>
      <c r="BR16" s="36" cm="1">
        <f t="array" aca="1" ref="BR16" ca="1">_FV(ED16,"Média de volume",TRUE)</f>
        <v>19780</v>
      </c>
      <c r="BS16" s="36">
        <v>53600</v>
      </c>
      <c r="BT16" s="36" cm="1">
        <f t="array" aca="1" ref="BT16" ca="1">_FV(ED16,"Volume")</f>
        <v>10000</v>
      </c>
      <c r="BU16" s="24" cm="1">
        <f t="array" aca="1" ref="BU16" ca="1">_FV(ED16,"Beta")</f>
        <v>0.54969999999999997</v>
      </c>
      <c r="BV16" s="71" cm="1">
        <f t="array" aca="1" ref="BV16" ca="1">_FV(ED16,"Variação (%)",TRUE)</f>
        <v>1.5800999999999999E-2</v>
      </c>
      <c r="BX16" s="17" cm="1">
        <f t="array" aca="1" ref="BX16" ca="1">_FV(ED16,"Baixo")</f>
        <v>4.4400000000000004</v>
      </c>
      <c r="BY16" s="17" cm="1">
        <f t="array" aca="1" ref="BY16" ca="1">_FV(ED16,"Alto")</f>
        <v>4.74</v>
      </c>
      <c r="BZ16" s="24"/>
      <c r="CA16" s="63">
        <f ca="1">SQRT(22.5*(BP16/VLOOKUP(BQ16,Fundamentus!A:U,3,FALSE))*(BP16/VLOOKUP(BQ16,Fundamentus!A:U,4,FALSE)))</f>
        <v>5.3545127900592515</v>
      </c>
      <c r="CC16" s="62">
        <f t="shared" ca="1" si="24"/>
        <v>-5.4621848739495757E-2</v>
      </c>
      <c r="CD16" s="8"/>
      <c r="CE16" s="61">
        <f t="shared" si="25"/>
        <v>4.08</v>
      </c>
      <c r="CF16" s="61">
        <f t="shared" si="26"/>
        <v>5.08</v>
      </c>
      <c r="CG16" s="61">
        <f t="shared" si="27"/>
        <v>4.4641044776119392</v>
      </c>
      <c r="CH16" s="14"/>
      <c r="CI16" s="35">
        <f t="shared" si="1"/>
        <v>4.3896300380122399</v>
      </c>
      <c r="CJ16" s="15">
        <f t="shared" si="28"/>
        <v>4.875</v>
      </c>
      <c r="CK16" s="35">
        <f t="shared" si="2"/>
        <v>5.3603699619877601</v>
      </c>
      <c r="CM16" s="14"/>
      <c r="CN16" s="17">
        <f t="shared" si="3"/>
        <v>3.1999999999999993</v>
      </c>
      <c r="CO16" s="17">
        <f t="shared" si="4"/>
        <v>3.6399999999999997</v>
      </c>
      <c r="CP16" s="17">
        <f t="shared" si="5"/>
        <v>4.1999999999999993</v>
      </c>
      <c r="CQ16" s="38">
        <f t="shared" si="29"/>
        <v>4.6399999999999997</v>
      </c>
      <c r="CR16" s="17">
        <f t="shared" si="6"/>
        <v>5.1999999999999993</v>
      </c>
      <c r="CS16" s="17">
        <f t="shared" si="7"/>
        <v>5.64</v>
      </c>
      <c r="CT16" s="17">
        <f t="shared" si="8"/>
        <v>6.1999999999999993</v>
      </c>
      <c r="CU16" s="2" cm="1">
        <f t="array" aca="1" ref="CU16" ca="1">MAX(_xlfn._xlws.FILTER(CN16:CT16,CN16:CT16&lt;BP16))</f>
        <v>4.1999999999999993</v>
      </c>
      <c r="CV16" s="2" cm="1">
        <f t="array" aca="1" ref="CV16" ca="1">MIN(_xlfn._xlws.FILTER($CN16:$CT16,$CN16:$CT16&gt;BP16))</f>
        <v>4.6399999999999997</v>
      </c>
      <c r="CW16" s="16">
        <f t="shared" ca="1" si="46"/>
        <v>0.10476190476190483</v>
      </c>
      <c r="CX16" s="20">
        <f t="shared" ca="1" si="47"/>
        <v>-5.2380952380952417E-2</v>
      </c>
      <c r="CY16" s="20">
        <f t="shared" ca="1" si="48"/>
        <v>-3.4920634920634942E-2</v>
      </c>
      <c r="CZ16" s="20">
        <f t="shared" ca="1" si="49"/>
        <v>-2.0952380952380965E-2</v>
      </c>
      <c r="DA16" s="20">
        <f t="shared" ca="1" si="50"/>
        <v>-1.1640211640211649E-2</v>
      </c>
      <c r="DB16" s="20">
        <f t="shared" ca="1" si="51"/>
        <v>-6.1624649859944019E-3</v>
      </c>
      <c r="DC16" s="20">
        <f t="shared" ca="1" si="52"/>
        <v>-3.1746031746031768E-3</v>
      </c>
      <c r="DD16" s="20">
        <f t="shared" ca="1" si="53"/>
        <v>-1.6117216117216128E-3</v>
      </c>
      <c r="DE16" s="21">
        <f t="shared" ca="1" si="54"/>
        <v>1.6117216117216128E-3</v>
      </c>
      <c r="DF16" s="21">
        <f t="shared" ca="1" si="55"/>
        <v>3.1746031746031768E-3</v>
      </c>
      <c r="DG16" s="21">
        <f t="shared" ca="1" si="56"/>
        <v>6.1624649859944019E-3</v>
      </c>
      <c r="DH16" s="21">
        <f t="shared" ca="1" si="57"/>
        <v>1.1640211640211649E-2</v>
      </c>
      <c r="DI16" s="21">
        <f t="shared" ca="1" si="58"/>
        <v>2.0952380952380965E-2</v>
      </c>
      <c r="DJ16" s="21">
        <f t="shared" ca="1" si="59"/>
        <v>3.4920634920634942E-2</v>
      </c>
      <c r="DK16" s="21">
        <f t="shared" ca="1" si="60"/>
        <v>5.2380952380952417E-2</v>
      </c>
      <c r="DM16" s="16" cm="1">
        <f t="array" aca="1" ref="DM16" ca="1">MAX(_xlfn._xlws.FILTER(CX16:DK16,CX16:DK16&lt;BV16))</f>
        <v>1.1640211640211649E-2</v>
      </c>
      <c r="DN16" s="16" cm="1">
        <f t="array" aca="1" ref="DN16" ca="1">MIN(_xlfn._xlws.FILTER(CX16:DK16,CX16:DK16&gt;BV16))</f>
        <v>2.0952380952380965E-2</v>
      </c>
      <c r="DO16" s="2" cm="1">
        <f t="array" aca="1" ref="DO16" ca="1">_FV(ED16,"Fechamento anterior",TRUE)</f>
        <v>4.43</v>
      </c>
      <c r="DP16" s="28">
        <f t="shared" ca="1" si="15"/>
        <v>0.44684998973938778</v>
      </c>
      <c r="DQ16" s="15">
        <f t="shared" ca="1" si="61"/>
        <v>4.4815661375661371</v>
      </c>
      <c r="DR16" s="15">
        <f t="shared" ca="1" si="62"/>
        <v>4.5228190476190475</v>
      </c>
      <c r="DS16" s="9"/>
      <c r="DT16" s="9"/>
      <c r="DU16" s="9"/>
      <c r="DV16" s="89" t="e" vm="5">
        <v>#VALUE!</v>
      </c>
      <c r="DW16" s="89">
        <f t="shared" ca="1" si="18"/>
        <v>9.3121693121693168E-3</v>
      </c>
      <c r="DX16" s="72">
        <f t="shared" ca="1" si="19"/>
        <v>-0.77260652567835808</v>
      </c>
      <c r="DY16" s="37"/>
      <c r="DZ16" s="35">
        <f t="shared" si="39"/>
        <v>0.24268498099388014</v>
      </c>
      <c r="EA16" s="56"/>
      <c r="EB16" s="56"/>
      <c r="ED16" s="2" t="e" vm="16">
        <v>#VALUE!</v>
      </c>
      <c r="EF16" s="10" cm="1">
        <f t="array" aca="1" ref="EF16" ca="1">_FV(ED16,"Ações em circulação",TRUE)</f>
        <v>1502786000</v>
      </c>
      <c r="EG16" s="18">
        <f>VLOOKUP(BQ16,Fundamentus!A:U,5,FALSE)</f>
        <v>0.47399999999999998</v>
      </c>
      <c r="EH16" s="2">
        <f t="shared" ca="1" si="20"/>
        <v>14266955696.202532</v>
      </c>
      <c r="EI16" s="17">
        <v>1027715397.9240507</v>
      </c>
      <c r="EJ16" s="17">
        <f t="shared" ca="1" si="21"/>
        <v>971579682.91139233</v>
      </c>
      <c r="EL16" s="16">
        <f t="shared" ca="1" si="22"/>
        <v>-5.4621848739495937E-2</v>
      </c>
      <c r="EM16" s="32" t="str">
        <f>IF(VLOOKUP(BQ16,Fundamentus!A:U,3,FALSE)&lt;15,"Bom",IF(VLOOKUP(BQ16,Fundamentus!A:U,3,FALSE)&gt;15,"Ruim","n/a"))</f>
        <v>Bom</v>
      </c>
      <c r="EN16" s="28" t="str">
        <f>IF(VLOOKUP(BQ16,Fundamentus!A:U,4,FALSE)&lt;1,"Baixo",IF(VLOOKUP(BQ16,Fundamentus!A:U,4,FALSE)&lt;1.5,"Moderado",IF(VLOOKUP(BQ16,Fundamentus!A:U,4,FALSE)&gt;1.5,"Alto","n/a")))</f>
        <v>Alto</v>
      </c>
      <c r="EO16" s="17" t="str">
        <f>IF(VLOOKUP(BQ16,Fundamentus!A:U,8,FALSE)&lt;0,"Risco elevado",IF(VLOOKUP(BQ16,Fundamentus!A:U,8,FALSE)&lt;1,"Saudável",IF(VLOOKUP(BQ16,Fundamentus!A:U,8,FALSE)&lt;3,"Estável",IF(VLOOKUP(BQ16,Fundamentus!A:U,8,FALSE)&gt;3,"Alerta","n/a"))))</f>
        <v>Alerta</v>
      </c>
      <c r="EP16" s="28" t="str">
        <f t="shared" si="23"/>
        <v>Ruim</v>
      </c>
      <c r="EQ16" s="17" t="str">
        <f>IF(VLOOKUP(BQ16,Fundamentus!A:U,12,FALSE)&lt;2,"Subvalorizada",IF(VLOOKUP(BQ16,Fundamentus!A:U,12,FALSE)&lt;6,"Muita barata",IF(VLOOKUP(BQ16,Fundamentus!A:U,12,FALSE)&lt;6,"Barata",IF(VLOOKUP(BQ16,Fundamentus!A:U,12,FALSE)&lt;8,"Atrativa",IF(VLOOKUP(BQ16,Fundamentus!A:U,12,FALSE)&gt;8,"Supervalorizada","n/a")))))</f>
        <v>Muita barata</v>
      </c>
      <c r="ES16" s="17" t="str">
        <f>IF(VLOOKUP(BQ16,Fundamentus!A:U,17,FALSE)&lt;0.1,"Fraco retorno",IF(VLOOKUP(BQ16,Fundamentus!A:U,17,FALSE)&gt;0.1,"Bom retorno","n/a"))</f>
        <v>Bom retorno</v>
      </c>
      <c r="ET16" s="17" t="str">
        <f>IF(VLOOKUP(BQ16,Fundamentus!A:U,16,FALSE)&lt;0.1,"Ineficiente",IF(VLOOKUP(BQ16,Fundamentus!A:U,16,FALSE)&gt;0.1,"Eficiente","n/a"))</f>
        <v>Eficiente</v>
      </c>
      <c r="EU16" s="33" t="str">
        <f>IF(VLOOKUP(BQ16,Fundamentus!A:U,16,FALSE)&lt;0.1,"Oper. Ineficiente",IF(VLOOKUP(BQ16,Fundamentus!A:U,16,FALSE)&gt;0.1,"Oper.Eficiente","n/a"))</f>
        <v>Oper.Eficiente</v>
      </c>
      <c r="EV16" s="34">
        <f>VLOOKUP(BQ16,Fundamentus!A:U,14,FALSE)</f>
        <v>6.8099999999999994E-2</v>
      </c>
      <c r="EW16" s="17" t="str">
        <f>IF(VLOOKUP(BQ16,Fundamentus!A:U,21,FALSE)&lt;0,"Negativo",IF(VLOOKUP(BQ16,Fundamentus!A:U,21,FALSE)&lt;0.05,"Fraco",IF(VLOOKUP(BQ16,Fundamentus!A:U,21,FALSE)&lt;0.1,"Bom",IF(VLOOKUP(BQ16,Fundamentus!A:U,21,FALSE)&gt;0.1,"Muito bom","n/a"))))</f>
        <v>Bom</v>
      </c>
      <c r="EY16" s="29" t="str">
        <f>IF(VLOOKUP(BQ16,Fundamentus!A:U,15,FALSE)&gt;1,"Bom",IF(VLOOKUP(BQ16,Fundamentus!A:U,15,FALSE)&lt;1,"Ruim","n/a"))</f>
        <v>Bom</v>
      </c>
      <c r="EZ16" s="17" t="str">
        <f>IF(VLOOKUP(BQ16,Fundamentus!A:U,20,FALSE)&lt;0.5,"Baixa",IF(VLOOKUP(BQ16,Fundamentus!A:U,20,FALSE)&lt;1,"Moderada",IF(VLOOKUP(BQ16,Fundamentus!A:U,20,FALSE)&lt;2,"Alerta",IF(VLOOKUP(BQ16,Fundamentus!A:U,20,FALSE)&gt;2,"Alta","n/a"))))</f>
        <v>Baixa</v>
      </c>
    </row>
    <row r="17" spans="1:157" s="2" customFormat="1" ht="11.25" hidden="1" x14ac:dyDescent="0.2">
      <c r="A17" s="4">
        <v>9.9</v>
      </c>
      <c r="B17" s="4">
        <v>9.49</v>
      </c>
      <c r="C17" s="4">
        <v>9.17</v>
      </c>
      <c r="D17" s="4">
        <v>9.27</v>
      </c>
      <c r="E17" s="4">
        <v>8.92</v>
      </c>
      <c r="F17" s="4">
        <v>8.92</v>
      </c>
      <c r="G17" s="4">
        <v>9</v>
      </c>
      <c r="H17" s="4">
        <v>8.77</v>
      </c>
      <c r="I17" s="4">
        <v>8.83</v>
      </c>
      <c r="J17" s="4">
        <v>8.7100000000000009</v>
      </c>
      <c r="K17" s="4">
        <v>9.25</v>
      </c>
      <c r="L17" s="4">
        <v>9.4600000000000009</v>
      </c>
      <c r="M17" s="4">
        <v>9.16</v>
      </c>
      <c r="N17" s="4">
        <v>9.91</v>
      </c>
      <c r="O17" s="4">
        <v>10.1</v>
      </c>
      <c r="P17" s="4">
        <v>9.14</v>
      </c>
      <c r="Q17" s="4">
        <v>9.0299999999999994</v>
      </c>
      <c r="R17" s="4">
        <v>9.3000000000000007</v>
      </c>
      <c r="S17" s="4">
        <v>9.8000000000000007</v>
      </c>
      <c r="T17" s="4">
        <v>9.3000000000000007</v>
      </c>
      <c r="U17" s="4">
        <v>8.85</v>
      </c>
      <c r="V17" s="4">
        <v>9.6300000000000008</v>
      </c>
      <c r="W17" s="4">
        <v>9.4</v>
      </c>
      <c r="X17" s="4">
        <v>9.43</v>
      </c>
      <c r="Y17" s="4">
        <v>9.3000000000000007</v>
      </c>
      <c r="Z17" s="4">
        <v>9.1999999999999993</v>
      </c>
      <c r="AA17" s="4">
        <v>9.02</v>
      </c>
      <c r="AB17" s="4">
        <v>8.3699999999999992</v>
      </c>
      <c r="AC17" s="4">
        <v>7.9</v>
      </c>
      <c r="AD17" s="4">
        <v>8.1999999999999993</v>
      </c>
      <c r="AE17" s="4">
        <v>7.94</v>
      </c>
      <c r="AF17" s="4">
        <v>8.0500000000000007</v>
      </c>
      <c r="AG17" s="4">
        <v>7.87</v>
      </c>
      <c r="AH17" s="4">
        <v>7.4</v>
      </c>
      <c r="AI17" s="4">
        <v>7.4</v>
      </c>
      <c r="AJ17" s="4">
        <v>7.39</v>
      </c>
      <c r="AK17" s="4">
        <v>7.07</v>
      </c>
      <c r="AL17" s="4">
        <v>7.2</v>
      </c>
      <c r="AM17" s="4">
        <v>6.8</v>
      </c>
      <c r="AN17" s="4">
        <v>8.2899999999999991</v>
      </c>
      <c r="AO17" s="4">
        <v>8.33</v>
      </c>
      <c r="AP17" s="4">
        <v>9.48</v>
      </c>
      <c r="AQ17" s="4">
        <v>9.1</v>
      </c>
      <c r="AR17" s="4">
        <v>9.0399999999999991</v>
      </c>
      <c r="AS17" s="4">
        <v>9</v>
      </c>
      <c r="AT17" s="4">
        <v>9.35</v>
      </c>
      <c r="AU17" s="4">
        <v>9.0249999999999986</v>
      </c>
      <c r="AV17" s="4">
        <v>9.19</v>
      </c>
      <c r="AW17" s="4">
        <v>8.77</v>
      </c>
      <c r="AX17" s="4">
        <v>9.07</v>
      </c>
      <c r="AY17" s="12">
        <v>9</v>
      </c>
      <c r="AZ17" s="12">
        <v>8.99</v>
      </c>
      <c r="BA17" s="12">
        <v>9.18</v>
      </c>
      <c r="BB17" s="15">
        <v>9.24</v>
      </c>
      <c r="BC17" s="52">
        <v>8.73</v>
      </c>
      <c r="BD17" s="52">
        <v>8.8000000000000007</v>
      </c>
      <c r="BE17" s="52">
        <v>8.92</v>
      </c>
      <c r="BF17" s="52">
        <v>8.89</v>
      </c>
      <c r="BG17" s="67">
        <v>8.64</v>
      </c>
      <c r="BH17" s="52">
        <v>8.74</v>
      </c>
      <c r="BI17" s="52">
        <v>8.8000000000000007</v>
      </c>
      <c r="BJ17" s="52">
        <v>8.27</v>
      </c>
      <c r="BK17" s="52">
        <v>7.96</v>
      </c>
      <c r="BL17" s="52">
        <v>7.3</v>
      </c>
      <c r="BM17" s="52">
        <v>7.5</v>
      </c>
      <c r="BN17" s="52">
        <v>7.6</v>
      </c>
      <c r="BO17" s="52">
        <v>7.4</v>
      </c>
      <c r="BP17" s="52" cm="1">
        <f t="array" aca="1" ref="BP17" ca="1">_FV(ED17,"Preço")</f>
        <v>7.28</v>
      </c>
      <c r="BQ17" s="69" t="s">
        <v>14</v>
      </c>
      <c r="BR17" s="36" cm="1">
        <f t="array" aca="1" ref="BR17" ca="1">_FV(ED17,"Média de volume",TRUE)</f>
        <v>3010</v>
      </c>
      <c r="BS17" s="36">
        <v>6200</v>
      </c>
      <c r="BT17" s="36" cm="1">
        <f t="array" aca="1" ref="BT17" ca="1">_FV(ED17,"Volume")</f>
        <v>100</v>
      </c>
      <c r="BU17" s="24" cm="1">
        <f t="array" aca="1" ref="BU17" ca="1">_FV(ED17,"Beta")</f>
        <v>1.0066999999999999</v>
      </c>
      <c r="BV17" s="71" cm="1">
        <f t="array" aca="1" ref="BV17" ca="1">_FV(ED17,"Variação (%)",TRUE)</f>
        <v>-1.2212000000000001E-2</v>
      </c>
      <c r="BX17" s="17" cm="1">
        <f t="array" aca="1" ref="BX17" ca="1">_FV(ED17,"Baixo")</f>
        <v>7.28</v>
      </c>
      <c r="BY17" s="17" cm="1">
        <f t="array" aca="1" ref="BY17" ca="1">_FV(ED17,"Alto")</f>
        <v>7.28</v>
      </c>
      <c r="BZ17" s="24"/>
      <c r="CA17" s="63">
        <f ca="1">SQRT(22.5*(BP17/VLOOKUP(BQ17,Fundamentus!A:U,3,FALSE))*(BP17/VLOOKUP(BQ17,Fundamentus!A:U,4,FALSE)))</f>
        <v>4.3423894212328067</v>
      </c>
      <c r="CC17" s="62">
        <f t="shared" ca="1" si="24"/>
        <v>-1.6216216216216231E-2</v>
      </c>
      <c r="CD17" s="8"/>
      <c r="CE17" s="61">
        <f t="shared" si="25"/>
        <v>6.8</v>
      </c>
      <c r="CF17" s="61">
        <f t="shared" si="26"/>
        <v>10.1</v>
      </c>
      <c r="CG17" s="61">
        <f t="shared" si="27"/>
        <v>8.7232089552238818</v>
      </c>
      <c r="CH17" s="14"/>
      <c r="CI17" s="35">
        <f t="shared" si="1"/>
        <v>7.0956169017227975</v>
      </c>
      <c r="CJ17" s="15">
        <f t="shared" si="28"/>
        <v>7.5500000000000114</v>
      </c>
      <c r="CK17" s="35">
        <f t="shared" si="2"/>
        <v>8.0043830982772253</v>
      </c>
      <c r="CM17" s="14"/>
      <c r="CN17" s="17">
        <f t="shared" si="3"/>
        <v>2.8</v>
      </c>
      <c r="CO17" s="17">
        <f t="shared" si="4"/>
        <v>4.8</v>
      </c>
      <c r="CP17" s="17">
        <f t="shared" si="5"/>
        <v>6.1</v>
      </c>
      <c r="CQ17" s="38">
        <f t="shared" si="29"/>
        <v>8.1</v>
      </c>
      <c r="CR17" s="17">
        <f t="shared" si="6"/>
        <v>9.3999999999999986</v>
      </c>
      <c r="CS17" s="17">
        <f t="shared" si="7"/>
        <v>11.399999999999999</v>
      </c>
      <c r="CT17" s="17">
        <f t="shared" si="8"/>
        <v>12.7</v>
      </c>
      <c r="CU17" s="2" cm="1">
        <f t="array" aca="1" ref="CU17" ca="1">MAX(_xlfn._xlws.FILTER(CN17:CT17,CN17:CT17&lt;BP17))</f>
        <v>6.1</v>
      </c>
      <c r="CV17" s="2" cm="1">
        <f t="array" aca="1" ref="CV17" ca="1">MIN(_xlfn._xlws.FILTER($CN17:$CT17,$CN17:$CT17&gt;BP17))</f>
        <v>8.1</v>
      </c>
      <c r="CW17" s="16">
        <f t="shared" ca="1" si="46"/>
        <v>0.32786885245901631</v>
      </c>
      <c r="CX17" s="20">
        <f t="shared" ca="1" si="47"/>
        <v>-0.16393442622950816</v>
      </c>
      <c r="CY17" s="20">
        <f t="shared" ca="1" si="48"/>
        <v>-0.10928961748633877</v>
      </c>
      <c r="CZ17" s="20">
        <f t="shared" ca="1" si="49"/>
        <v>-6.5573770491803268E-2</v>
      </c>
      <c r="DA17" s="20">
        <f t="shared" ca="1" si="50"/>
        <v>-3.6429872495446255E-2</v>
      </c>
      <c r="DB17" s="20">
        <f t="shared" ca="1" si="51"/>
        <v>-1.928640308582449E-2</v>
      </c>
      <c r="DC17" s="20">
        <f t="shared" ca="1" si="52"/>
        <v>-9.9354197714853435E-3</v>
      </c>
      <c r="DD17" s="20">
        <f t="shared" ca="1" si="53"/>
        <v>-5.0441361916771744E-3</v>
      </c>
      <c r="DE17" s="21">
        <f t="shared" ca="1" si="54"/>
        <v>5.0441361916771744E-3</v>
      </c>
      <c r="DF17" s="21">
        <f t="shared" ca="1" si="55"/>
        <v>9.9354197714853435E-3</v>
      </c>
      <c r="DG17" s="21">
        <f t="shared" ca="1" si="56"/>
        <v>1.928640308582449E-2</v>
      </c>
      <c r="DH17" s="21">
        <f t="shared" ca="1" si="57"/>
        <v>3.6429872495446255E-2</v>
      </c>
      <c r="DI17" s="21">
        <f t="shared" ca="1" si="58"/>
        <v>6.5573770491803268E-2</v>
      </c>
      <c r="DJ17" s="21">
        <f t="shared" ca="1" si="59"/>
        <v>0.10928961748633877</v>
      </c>
      <c r="DK17" s="21">
        <f t="shared" ca="1" si="60"/>
        <v>0.16393442622950816</v>
      </c>
      <c r="DM17" s="16" cm="1">
        <f t="array" aca="1" ref="DM17" ca="1">MAX(_xlfn._xlws.FILTER(CX17:DK17,CX17:DK17&lt;BV17))</f>
        <v>-1.928640308582449E-2</v>
      </c>
      <c r="DN17" s="16" cm="1">
        <f t="array" aca="1" ref="DN17" ca="1">MIN(_xlfn._xlws.FILTER(CX17:DK17,CX17:DK17&gt;BV17))</f>
        <v>-9.9354197714853435E-3</v>
      </c>
      <c r="DO17" s="2" cm="1">
        <f t="array" aca="1" ref="DO17" ca="1">_FV(ED17,"Fechamento anterior",TRUE)</f>
        <v>7.37</v>
      </c>
      <c r="DP17" s="28">
        <f t="shared" ca="1" si="15"/>
        <v>0.75657649253731041</v>
      </c>
      <c r="DQ17" s="15">
        <f t="shared" ca="1" si="61"/>
        <v>7.227859209257474</v>
      </c>
      <c r="DR17" s="15">
        <f t="shared" ca="1" si="62"/>
        <v>7.2967759562841534</v>
      </c>
      <c r="DS17" s="9"/>
      <c r="DT17" s="9"/>
      <c r="DU17" s="9"/>
      <c r="DV17" s="89">
        <v>1.7143469409621765E-2</v>
      </c>
      <c r="DW17" s="89">
        <f t="shared" ca="1" si="18"/>
        <v>9.3509833143391469E-3</v>
      </c>
      <c r="DX17" s="72">
        <f t="shared" ca="1" si="19"/>
        <v>-0.59421224298111375</v>
      </c>
      <c r="DY17" s="37"/>
      <c r="DZ17" s="35">
        <f t="shared" si="39"/>
        <v>0.22719154913860679</v>
      </c>
      <c r="EA17" s="56"/>
      <c r="EB17" s="56"/>
      <c r="ED17" s="2" t="e" vm="17">
        <v>#VALUE!</v>
      </c>
      <c r="EF17" s="10" cm="1">
        <f t="array" aca="1" ref="EF17" ca="1">_FV(ED17,"Ações em circulação",TRUE)</f>
        <v>101983400</v>
      </c>
      <c r="EG17" s="18">
        <f>VLOOKUP(BQ17,Fundamentus!A:U,5,FALSE)</f>
        <v>1.591</v>
      </c>
      <c r="EH17" s="2">
        <f t="shared" ca="1" si="20"/>
        <v>466649372.72155875</v>
      </c>
      <c r="EI17" s="17">
        <v>5834399.162790698</v>
      </c>
      <c r="EJ17" s="17">
        <f t="shared" ca="1" si="21"/>
        <v>5739787.2844751729</v>
      </c>
      <c r="EL17" s="16">
        <f t="shared" ca="1" si="22"/>
        <v>-1.6216216216216273E-2</v>
      </c>
      <c r="EM17" s="32" t="str">
        <f>IF(VLOOKUP(BQ17,Fundamentus!A:U,3,FALSE)&lt;15,"Bom",IF(VLOOKUP(BQ17,Fundamentus!A:U,3,FALSE)&gt;15,"Ruim","n/a"))</f>
        <v>Ruim</v>
      </c>
      <c r="EN17" s="28" t="str">
        <f>IF(VLOOKUP(BQ17,Fundamentus!A:U,4,FALSE)&lt;1,"Baixo",IF(VLOOKUP(BQ17,Fundamentus!A:U,4,FALSE)&lt;1.5,"Moderado",IF(VLOOKUP(BQ17,Fundamentus!A:U,4,FALSE)&gt;1.5,"Alto","n/a")))</f>
        <v>Baixo</v>
      </c>
      <c r="EO17" s="17" t="str">
        <f>IF(VLOOKUP(BQ17,Fundamentus!A:U,8,FALSE)&lt;0,"Risco elevado",IF(VLOOKUP(BQ17,Fundamentus!A:U,8,FALSE)&lt;1,"Saudável",IF(VLOOKUP(BQ17,Fundamentus!A:U,8,FALSE)&lt;3,"Estável",IF(VLOOKUP(BQ17,Fundamentus!A:U,8,FALSE)&gt;3,"Alerta","n/a"))))</f>
        <v>Saudável</v>
      </c>
      <c r="EP17" s="28" t="str">
        <f t="shared" si="23"/>
        <v>Bom</v>
      </c>
      <c r="EQ17" s="17" t="str">
        <f>IF(VLOOKUP(BQ17,Fundamentus!A:U,12,FALSE)&lt;2,"Subvalorizada",IF(VLOOKUP(BQ17,Fundamentus!A:U,12,FALSE)&lt;6,"Muita barata",IF(VLOOKUP(BQ17,Fundamentus!A:U,12,FALSE)&lt;6,"Barata",IF(VLOOKUP(BQ17,Fundamentus!A:U,12,FALSE)&lt;8,"Atrativa",IF(VLOOKUP(BQ17,Fundamentus!A:U,12,FALSE)&gt;8,"Supervalorizada","n/a")))))</f>
        <v>Supervalorizada</v>
      </c>
      <c r="ES17" s="17" t="str">
        <f>IF(VLOOKUP(BQ17,Fundamentus!A:U,17,FALSE)&lt;0.1,"Fraco retorno",IF(VLOOKUP(BQ17,Fundamentus!A:U,17,FALSE)&gt;0.1,"Bom retorno","n/a"))</f>
        <v>Fraco retorno</v>
      </c>
      <c r="ET17" s="17" t="str">
        <f>IF(VLOOKUP(BQ17,Fundamentus!A:U,16,FALSE)&lt;0.1,"Ineficiente",IF(VLOOKUP(BQ17,Fundamentus!A:U,16,FALSE)&gt;0.1,"Eficiente","n/a"))</f>
        <v>Ineficiente</v>
      </c>
      <c r="EU17" s="33" t="str">
        <f>IF(VLOOKUP(BQ17,Fundamentus!A:U,16,FALSE)&lt;0.1,"Oper. Ineficiente",IF(VLOOKUP(BQ17,Fundamentus!A:U,16,FALSE)&gt;0.1,"Oper.Eficiente","n/a"))</f>
        <v>Oper. Ineficiente</v>
      </c>
      <c r="EV17" s="34">
        <f>VLOOKUP(BQ17,Fundamentus!A:U,14,FALSE)</f>
        <v>1.23E-2</v>
      </c>
      <c r="EW17" s="17" t="str">
        <f>IF(VLOOKUP(BQ17,Fundamentus!A:U,21,FALSE)&lt;0,"Negativo",IF(VLOOKUP(BQ17,Fundamentus!A:U,21,FALSE)&lt;0.05,"Fraco",IF(VLOOKUP(BQ17,Fundamentus!A:U,21,FALSE)&lt;0.1,"Bom",IF(VLOOKUP(BQ17,Fundamentus!A:U,21,FALSE)&gt;0.1,"Muito bom","n/a"))))</f>
        <v>Muito bom</v>
      </c>
      <c r="EY17" s="29" t="str">
        <f>IF(VLOOKUP(BQ17,Fundamentus!A:U,15,FALSE)&gt;1,"Bom",IF(VLOOKUP(BQ17,Fundamentus!A:U,15,FALSE)&lt;1,"Ruim","n/a"))</f>
        <v>Bom</v>
      </c>
      <c r="EZ17" s="17" t="str">
        <f>IF(VLOOKUP(BQ17,Fundamentus!A:U,20,FALSE)&lt;0.5,"Baixa",IF(VLOOKUP(BQ17,Fundamentus!A:U,20,FALSE)&lt;1,"Moderada",IF(VLOOKUP(BQ17,Fundamentus!A:U,20,FALSE)&lt;2,"Alerta",IF(VLOOKUP(BQ17,Fundamentus!A:U,20,FALSE)&gt;2,"Alta","n/a"))))</f>
        <v>Baixa</v>
      </c>
    </row>
    <row r="18" spans="1:157" s="2" customFormat="1" ht="11.25" hidden="1" x14ac:dyDescent="0.2">
      <c r="A18" s="4">
        <v>39.89</v>
      </c>
      <c r="B18" s="4">
        <v>41.67</v>
      </c>
      <c r="C18" s="4">
        <v>36.69</v>
      </c>
      <c r="D18" s="4">
        <v>36.590000000000003</v>
      </c>
      <c r="E18" s="4">
        <v>38.76</v>
      </c>
      <c r="F18" s="4">
        <v>36.94</v>
      </c>
      <c r="G18" s="4">
        <v>34.68</v>
      </c>
      <c r="H18" s="4">
        <v>36.72</v>
      </c>
      <c r="I18" s="4">
        <v>38.08</v>
      </c>
      <c r="J18" s="4">
        <v>37.520000000000003</v>
      </c>
      <c r="K18" s="4">
        <v>38.15</v>
      </c>
      <c r="L18" s="4">
        <v>38.69</v>
      </c>
      <c r="M18" s="4">
        <v>37.64</v>
      </c>
      <c r="N18" s="4">
        <v>35.729999999999997</v>
      </c>
      <c r="O18" s="4">
        <v>36.51</v>
      </c>
      <c r="P18" s="4">
        <v>38.51</v>
      </c>
      <c r="Q18" s="4">
        <v>36.89</v>
      </c>
      <c r="R18" s="4">
        <v>39.369999999999997</v>
      </c>
      <c r="S18" s="4">
        <v>37.549999999999997</v>
      </c>
      <c r="T18" s="4">
        <v>36.700000000000003</v>
      </c>
      <c r="U18" s="4">
        <v>36.26</v>
      </c>
      <c r="V18" s="4">
        <v>36.11</v>
      </c>
      <c r="W18" s="4">
        <v>37.840000000000003</v>
      </c>
      <c r="X18" s="4">
        <v>37.619999999999997</v>
      </c>
      <c r="Y18" s="4">
        <v>36.08</v>
      </c>
      <c r="Z18" s="4">
        <v>36.15</v>
      </c>
      <c r="AA18" s="4">
        <v>35.42</v>
      </c>
      <c r="AB18" s="4">
        <v>36.17</v>
      </c>
      <c r="AC18" s="4">
        <v>37.270000000000003</v>
      </c>
      <c r="AD18" s="4">
        <v>39.42</v>
      </c>
      <c r="AE18" s="4">
        <v>38.82</v>
      </c>
      <c r="AF18" s="4">
        <v>39.03</v>
      </c>
      <c r="AG18" s="4">
        <v>38.1</v>
      </c>
      <c r="AH18" s="4">
        <v>36.86</v>
      </c>
      <c r="AI18" s="4">
        <v>35.659999999999997</v>
      </c>
      <c r="AJ18" s="4">
        <v>36.380000000000003</v>
      </c>
      <c r="AK18" s="4">
        <v>36.94</v>
      </c>
      <c r="AL18" s="4">
        <v>37.200000000000003</v>
      </c>
      <c r="AM18" s="4">
        <v>36.64</v>
      </c>
      <c r="AN18" s="4">
        <v>37.69</v>
      </c>
      <c r="AO18" s="4">
        <v>36.58</v>
      </c>
      <c r="AP18" s="4">
        <v>37.44</v>
      </c>
      <c r="AQ18" s="4">
        <v>38.39</v>
      </c>
      <c r="AR18" s="4">
        <v>35.93</v>
      </c>
      <c r="AS18" s="4">
        <v>34.630000000000003</v>
      </c>
      <c r="AT18" s="4">
        <v>35.5</v>
      </c>
      <c r="AU18" s="4">
        <v>36.604999999999997</v>
      </c>
      <c r="AV18" s="4">
        <v>37.43</v>
      </c>
      <c r="AW18" s="4">
        <v>34.549999999999997</v>
      </c>
      <c r="AX18" s="4">
        <v>31.85</v>
      </c>
      <c r="AY18" s="12">
        <v>30.85</v>
      </c>
      <c r="AZ18" s="12">
        <v>30.52</v>
      </c>
      <c r="BA18" s="12">
        <v>29.99</v>
      </c>
      <c r="BB18" s="15">
        <v>30.71</v>
      </c>
      <c r="BC18" s="52">
        <v>31.87</v>
      </c>
      <c r="BD18" s="52">
        <v>31.4</v>
      </c>
      <c r="BE18" s="52">
        <v>30.9</v>
      </c>
      <c r="BF18" s="52">
        <v>29.63</v>
      </c>
      <c r="BG18" s="67">
        <v>32.53</v>
      </c>
      <c r="BH18" s="52">
        <v>32.82</v>
      </c>
      <c r="BI18" s="52">
        <v>31.21</v>
      </c>
      <c r="BJ18" s="52">
        <v>32.119999999999997</v>
      </c>
      <c r="BK18" s="52">
        <v>32.6</v>
      </c>
      <c r="BL18" s="52">
        <v>30.99</v>
      </c>
      <c r="BM18" s="52">
        <v>31.98</v>
      </c>
      <c r="BN18" s="52">
        <v>32.21</v>
      </c>
      <c r="BO18" s="52">
        <v>30.53</v>
      </c>
      <c r="BP18" s="52" cm="1">
        <f t="array" aca="1" ref="BP18" ca="1">_FV(ED18,"Preço")</f>
        <v>30.17</v>
      </c>
      <c r="BQ18" s="69" t="s">
        <v>15</v>
      </c>
      <c r="BR18" s="36" cm="1">
        <f t="array" aca="1" ref="BR18" ca="1">_FV(ED18,"Média de volume",TRUE)</f>
        <v>36759460</v>
      </c>
      <c r="BS18" s="36">
        <v>107235300</v>
      </c>
      <c r="BT18" s="36" cm="1">
        <f t="array" aca="1" ref="BT18" ca="1">_FV(ED18,"Volume")</f>
        <v>54888600</v>
      </c>
      <c r="BU18" s="24" cm="1">
        <f t="array" aca="1" ref="BU18" ca="1">_FV(ED18,"Beta")</f>
        <v>1.004</v>
      </c>
      <c r="BV18" s="71" cm="1">
        <f t="array" aca="1" ref="BV18" ca="1">_FV(ED18,"Variação (%)",TRUE)</f>
        <v>-3.3129999999999998E-4</v>
      </c>
      <c r="BX18" s="17" cm="1">
        <f t="array" aca="1" ref="BX18" ca="1">_FV(ED18,"Baixo")</f>
        <v>29.74</v>
      </c>
      <c r="BY18" s="17" cm="1">
        <f t="array" aca="1" ref="BY18" ca="1">_FV(ED18,"Alto")</f>
        <v>30.22</v>
      </c>
      <c r="BZ18" s="24"/>
      <c r="CA18" s="63">
        <f ca="1">SQRT(22.5*(BP18/VLOOKUP(BQ18,Fundamentus!A:U,3,FALSE))*(BP18/VLOOKUP(BQ18,Fundamentus!A:U,4,FALSE)))</f>
        <v>47.935745796062086</v>
      </c>
      <c r="CC18" s="62">
        <f t="shared" ca="1" si="24"/>
        <v>-1.1791680314444788E-2</v>
      </c>
      <c r="CD18" s="8"/>
      <c r="CE18" s="61">
        <f t="shared" si="25"/>
        <v>29.63</v>
      </c>
      <c r="CF18" s="61">
        <f t="shared" si="26"/>
        <v>41.67</v>
      </c>
      <c r="CG18" s="61">
        <f t="shared" si="27"/>
        <v>35.622462686567168</v>
      </c>
      <c r="CH18" s="14"/>
      <c r="CI18" s="35">
        <f t="shared" si="1"/>
        <v>29.587123958585217</v>
      </c>
      <c r="CJ18" s="15">
        <f t="shared" si="28"/>
        <v>31.139999999999986</v>
      </c>
      <c r="CK18" s="35">
        <f t="shared" si="2"/>
        <v>32.692876041414756</v>
      </c>
      <c r="CM18" s="14"/>
      <c r="CN18" s="17">
        <f t="shared" si="3"/>
        <v>14.176666666666666</v>
      </c>
      <c r="CO18" s="17">
        <f t="shared" si="4"/>
        <v>21.903333333333332</v>
      </c>
      <c r="CP18" s="17">
        <f t="shared" si="5"/>
        <v>26.216666666666669</v>
      </c>
      <c r="CQ18" s="38">
        <f t="shared" si="29"/>
        <v>33.943333333333335</v>
      </c>
      <c r="CR18" s="17">
        <f t="shared" si="6"/>
        <v>38.256666666666675</v>
      </c>
      <c r="CS18" s="17">
        <f t="shared" si="7"/>
        <v>45.983333333333334</v>
      </c>
      <c r="CT18" s="17">
        <f t="shared" si="8"/>
        <v>50.296666666666674</v>
      </c>
      <c r="CU18" s="2" cm="1">
        <f t="array" aca="1" ref="CU18" ca="1">MAX(_xlfn._xlws.FILTER(CN18:CT18,CN18:CT18&lt;BP18))</f>
        <v>26.216666666666669</v>
      </c>
      <c r="CV18" s="2" cm="1">
        <f t="array" aca="1" ref="CV18" ca="1">MIN(_xlfn._xlws.FILTER($CN18:$CT18,$CN18:$CT18&gt;BP18))</f>
        <v>33.943333333333335</v>
      </c>
      <c r="CW18" s="16">
        <f t="shared" ca="1" si="46"/>
        <v>0.29472345835982194</v>
      </c>
      <c r="CX18" s="20">
        <f t="shared" ca="1" si="47"/>
        <v>-0.14736172917991097</v>
      </c>
      <c r="CY18" s="20">
        <f t="shared" ca="1" si="48"/>
        <v>-9.8241152786607319E-2</v>
      </c>
      <c r="CZ18" s="20">
        <f t="shared" ca="1" si="49"/>
        <v>-5.8944691671964387E-2</v>
      </c>
      <c r="DA18" s="20">
        <f t="shared" ca="1" si="50"/>
        <v>-3.2747050928869106E-2</v>
      </c>
      <c r="DB18" s="20">
        <f t="shared" ca="1" si="51"/>
        <v>-1.7336674021165996E-2</v>
      </c>
      <c r="DC18" s="20">
        <f t="shared" ca="1" si="52"/>
        <v>-8.9310138896915737E-3</v>
      </c>
      <c r="DD18" s="20">
        <f t="shared" ca="1" si="53"/>
        <v>-4.5342070516895686E-3</v>
      </c>
      <c r="DE18" s="21">
        <f t="shared" ca="1" si="54"/>
        <v>4.5342070516895686E-3</v>
      </c>
      <c r="DF18" s="21">
        <f t="shared" ca="1" si="55"/>
        <v>8.9310138896915737E-3</v>
      </c>
      <c r="DG18" s="21">
        <f t="shared" ca="1" si="56"/>
        <v>1.7336674021165996E-2</v>
      </c>
      <c r="DH18" s="21">
        <f t="shared" ca="1" si="57"/>
        <v>3.2747050928869106E-2</v>
      </c>
      <c r="DI18" s="21">
        <f t="shared" ca="1" si="58"/>
        <v>5.8944691671964387E-2</v>
      </c>
      <c r="DJ18" s="21">
        <f t="shared" ca="1" si="59"/>
        <v>9.8241152786607319E-2</v>
      </c>
      <c r="DK18" s="21">
        <f t="shared" ca="1" si="60"/>
        <v>0.14736172917991097</v>
      </c>
      <c r="DM18" s="16" cm="1">
        <f t="array" aca="1" ref="DM18" ca="1">MAX(_xlfn._xlws.FILTER(CX18:DK18,CX18:DK18&lt;BV18))</f>
        <v>-4.5342070516895686E-3</v>
      </c>
      <c r="DN18" s="16" cm="1">
        <f t="array" aca="1" ref="DN18" ca="1">MIN(_xlfn._xlws.FILTER(CX18:DK18,CX18:DK18&gt;BV18))</f>
        <v>4.5342070516895686E-3</v>
      </c>
      <c r="DO18" s="2" cm="1">
        <f t="array" aca="1" ref="DO18" ca="1">_FV(ED18,"Fechamento anterior",TRUE)</f>
        <v>30.18</v>
      </c>
      <c r="DP18" s="28">
        <f t="shared" ca="1" si="15"/>
        <v>0.46346160883420368</v>
      </c>
      <c r="DQ18" s="15">
        <f t="shared" ca="1" si="61"/>
        <v>30.043157631180009</v>
      </c>
      <c r="DR18" s="15">
        <f t="shared" ca="1" si="62"/>
        <v>30.316842368819991</v>
      </c>
      <c r="DS18" s="9"/>
      <c r="DT18" s="9"/>
      <c r="DU18" s="9"/>
      <c r="DV18" s="89">
        <v>3.9296461114642932E-2</v>
      </c>
      <c r="DW18" s="89">
        <f t="shared" ca="1" si="18"/>
        <v>9.0684141033791372E-3</v>
      </c>
      <c r="DX18" s="72">
        <f t="shared" ca="1" si="19"/>
        <v>-0.62464741172531224</v>
      </c>
      <c r="DY18" s="37"/>
      <c r="DZ18" s="35">
        <f t="shared" si="39"/>
        <v>0.77643802070738444</v>
      </c>
      <c r="EA18" s="56"/>
      <c r="EB18" s="56"/>
      <c r="ED18" s="2" t="e" vm="18">
        <v>#VALUE!</v>
      </c>
      <c r="EF18" s="10" cm="1">
        <f t="array" aca="1" ref="EF18" ca="1">_FV(ED18,"Ações em circulação",TRUE)</f>
        <v>12888730000</v>
      </c>
      <c r="EG18" s="18">
        <f>VLOOKUP(BQ18,Fundamentus!A:U,5,FALSE)</f>
        <v>0.83099999999999996</v>
      </c>
      <c r="EH18" s="2">
        <f t="shared" ca="1" si="20"/>
        <v>467933795547.53314</v>
      </c>
      <c r="EI18" s="17">
        <v>46309997895.090256</v>
      </c>
      <c r="EJ18" s="17">
        <f t="shared" ca="1" si="21"/>
        <v>45763925204.548737</v>
      </c>
      <c r="EL18" s="16">
        <f t="shared" ca="1" si="22"/>
        <v>-1.1791680314444886E-2</v>
      </c>
      <c r="EM18" s="32" t="str">
        <f>IF(VLOOKUP(BQ18,Fundamentus!A:U,3,FALSE)&lt;15,"Bom",IF(VLOOKUP(BQ18,Fundamentus!A:U,3,FALSE)&gt;15,"Ruim","n/a"))</f>
        <v>Bom</v>
      </c>
      <c r="EN18" s="28" t="str">
        <f>IF(VLOOKUP(BQ18,Fundamentus!A:U,4,FALSE)&lt;1,"Baixo",IF(VLOOKUP(BQ18,Fundamentus!A:U,4,FALSE)&lt;1.5,"Moderado",IF(VLOOKUP(BQ18,Fundamentus!A:U,4,FALSE)&gt;1.5,"Alto","n/a")))</f>
        <v>Moderado</v>
      </c>
      <c r="EO18" s="17" t="str">
        <f>IF(VLOOKUP(BQ18,Fundamentus!A:U,8,FALSE)&lt;0,"Risco elevado",IF(VLOOKUP(BQ18,Fundamentus!A:U,8,FALSE)&lt;1,"Saudável",IF(VLOOKUP(BQ18,Fundamentus!A:U,8,FALSE)&lt;3,"Estável",IF(VLOOKUP(BQ18,Fundamentus!A:U,8,FALSE)&gt;3,"Alerta","n/a"))))</f>
        <v>Risco elevado</v>
      </c>
      <c r="EP18" s="28" t="str">
        <f t="shared" si="23"/>
        <v>Ruim</v>
      </c>
      <c r="EQ18" s="17" t="str">
        <f>IF(VLOOKUP(BQ18,Fundamentus!A:U,12,FALSE)&lt;2,"Subvalorizada",IF(VLOOKUP(BQ18,Fundamentus!A:U,12,FALSE)&lt;6,"Muita barata",IF(VLOOKUP(BQ18,Fundamentus!A:U,12,FALSE)&lt;6,"Barata",IF(VLOOKUP(BQ18,Fundamentus!A:U,12,FALSE)&lt;8,"Atrativa",IF(VLOOKUP(BQ18,Fundamentus!A:U,12,FALSE)&gt;8,"Supervalorizada","n/a")))))</f>
        <v>Muita barata</v>
      </c>
      <c r="ES18" s="17" t="str">
        <f>IF(VLOOKUP(BQ18,Fundamentus!A:U,17,FALSE)&lt;0.1,"Fraco retorno",IF(VLOOKUP(BQ18,Fundamentus!A:U,17,FALSE)&gt;0.1,"Bom retorno","n/a"))</f>
        <v>Bom retorno</v>
      </c>
      <c r="ET18" s="17" t="str">
        <f>IF(VLOOKUP(BQ18,Fundamentus!A:U,16,FALSE)&lt;0.1,"Ineficiente",IF(VLOOKUP(BQ18,Fundamentus!A:U,16,FALSE)&gt;0.1,"Eficiente","n/a"))</f>
        <v>Eficiente</v>
      </c>
      <c r="EU18" s="33" t="str">
        <f>IF(VLOOKUP(BQ18,Fundamentus!A:U,16,FALSE)&lt;0.1,"Oper. Ineficiente",IF(VLOOKUP(BQ18,Fundamentus!A:U,16,FALSE)&gt;0.1,"Oper.Eficiente","n/a"))</f>
        <v>Oper.Eficiente</v>
      </c>
      <c r="EV18" s="34">
        <f>VLOOKUP(BQ18,Fundamentus!A:U,14,FALSE)</f>
        <v>9.7799999999999998E-2</v>
      </c>
      <c r="EW18" s="17" t="str">
        <f>IF(VLOOKUP(BQ18,Fundamentus!A:U,21,FALSE)&lt;0,"Negativo",IF(VLOOKUP(BQ18,Fundamentus!A:U,21,FALSE)&lt;0.05,"Fraco",IF(VLOOKUP(BQ18,Fundamentus!A:U,21,FALSE)&lt;0.1,"Bom",IF(VLOOKUP(BQ18,Fundamentus!A:U,21,FALSE)&gt;0.1,"Muito bom","n/a"))))</f>
        <v>Muito bom</v>
      </c>
      <c r="EY18" s="29" t="str">
        <f>IF(VLOOKUP(BQ18,Fundamentus!A:U,15,FALSE)&gt;1,"Bom",IF(VLOOKUP(BQ18,Fundamentus!A:U,15,FALSE)&lt;1,"Ruim","n/a"))</f>
        <v>Ruim</v>
      </c>
      <c r="EZ18" s="17" t="str">
        <f>IF(VLOOKUP(BQ18,Fundamentus!A:U,20,FALSE)&lt;0.5,"Baixa",IF(VLOOKUP(BQ18,Fundamentus!A:U,20,FALSE)&lt;1,"Moderada",IF(VLOOKUP(BQ18,Fundamentus!A:U,20,FALSE)&lt;2,"Alerta",IF(VLOOKUP(BQ18,Fundamentus!A:U,20,FALSE)&gt;2,"Alta","n/a"))))</f>
        <v>Moderada</v>
      </c>
    </row>
    <row r="19" spans="1:157" s="2" customFormat="1" ht="11.25" hidden="1" x14ac:dyDescent="0.2">
      <c r="A19" s="4">
        <v>13.53</v>
      </c>
      <c r="B19" s="4">
        <v>13.45</v>
      </c>
      <c r="C19" s="4">
        <v>13.63</v>
      </c>
      <c r="D19" s="4">
        <v>12.95</v>
      </c>
      <c r="E19" s="4">
        <v>12.09</v>
      </c>
      <c r="F19" s="4">
        <v>12</v>
      </c>
      <c r="G19" s="4">
        <v>11.66</v>
      </c>
      <c r="H19" s="4">
        <v>10.79</v>
      </c>
      <c r="I19" s="4">
        <v>10.3</v>
      </c>
      <c r="J19" s="4">
        <v>11.45</v>
      </c>
      <c r="K19" s="4">
        <v>11.24</v>
      </c>
      <c r="L19" s="4">
        <v>10.54</v>
      </c>
      <c r="M19" s="4">
        <v>9.84</v>
      </c>
      <c r="N19" s="4">
        <v>10.199999999999999</v>
      </c>
      <c r="O19" s="4">
        <v>10.27</v>
      </c>
      <c r="P19" s="4">
        <v>10.25</v>
      </c>
      <c r="Q19" s="4">
        <v>9.73</v>
      </c>
      <c r="R19" s="4">
        <v>9.57</v>
      </c>
      <c r="S19" s="4">
        <v>9.4499999999999993</v>
      </c>
      <c r="T19" s="4">
        <v>8.8000000000000007</v>
      </c>
      <c r="U19" s="4">
        <v>7.7</v>
      </c>
      <c r="V19" s="4">
        <v>8.1199999999999992</v>
      </c>
      <c r="W19" s="4">
        <v>6.97</v>
      </c>
      <c r="X19" s="4">
        <v>6.72</v>
      </c>
      <c r="Y19" s="4">
        <v>7.23</v>
      </c>
      <c r="Z19" s="4">
        <v>7.27</v>
      </c>
      <c r="AA19" s="4">
        <v>7.33</v>
      </c>
      <c r="AB19" s="4">
        <v>7</v>
      </c>
      <c r="AC19" s="4">
        <v>7.06</v>
      </c>
      <c r="AD19" s="4">
        <v>7.2</v>
      </c>
      <c r="AE19" s="4">
        <v>6.6</v>
      </c>
      <c r="AF19" s="4">
        <v>6.16</v>
      </c>
      <c r="AG19" s="4">
        <v>5.75</v>
      </c>
      <c r="AH19" s="4">
        <v>5.79</v>
      </c>
      <c r="AI19" s="4">
        <v>5.73</v>
      </c>
      <c r="AJ19" s="4">
        <v>5.42</v>
      </c>
      <c r="AK19" s="4">
        <v>5.62</v>
      </c>
      <c r="AL19" s="4">
        <v>5.82</v>
      </c>
      <c r="AM19" s="4">
        <v>6.15</v>
      </c>
      <c r="AN19" s="4">
        <v>6.74</v>
      </c>
      <c r="AO19" s="4">
        <v>7.06</v>
      </c>
      <c r="AP19" s="4">
        <v>7.48</v>
      </c>
      <c r="AQ19" s="4">
        <v>6.94</v>
      </c>
      <c r="AR19" s="4">
        <v>6.67</v>
      </c>
      <c r="AS19" s="4">
        <v>6.8</v>
      </c>
      <c r="AT19" s="4">
        <v>7.55</v>
      </c>
      <c r="AU19" s="4">
        <v>7.7</v>
      </c>
      <c r="AV19" s="4">
        <v>7.88</v>
      </c>
      <c r="AW19" s="4">
        <v>7.98</v>
      </c>
      <c r="AX19" s="4">
        <v>8.3000000000000007</v>
      </c>
      <c r="AY19" s="12">
        <v>8.26</v>
      </c>
      <c r="AZ19" s="12">
        <v>9.24</v>
      </c>
      <c r="BA19" s="12">
        <v>9.19</v>
      </c>
      <c r="BB19" s="15">
        <v>9.4</v>
      </c>
      <c r="BC19" s="52">
        <v>9.64</v>
      </c>
      <c r="BD19" s="52">
        <v>10.050000000000001</v>
      </c>
      <c r="BE19" s="52">
        <v>11.22</v>
      </c>
      <c r="BF19" s="52">
        <v>11.21</v>
      </c>
      <c r="BG19" s="67">
        <v>10.91</v>
      </c>
      <c r="BH19" s="52">
        <v>10.78</v>
      </c>
      <c r="BI19" s="52">
        <v>11.04</v>
      </c>
      <c r="BJ19" s="52">
        <v>10.3</v>
      </c>
      <c r="BK19" s="52">
        <v>9.98</v>
      </c>
      <c r="BL19" s="52">
        <v>9.7200000000000006</v>
      </c>
      <c r="BM19" s="52">
        <v>9.6999999999999993</v>
      </c>
      <c r="BN19" s="52">
        <v>9.6999999999999993</v>
      </c>
      <c r="BO19" s="52">
        <v>9.92</v>
      </c>
      <c r="BP19" s="52" cm="1">
        <f t="array" aca="1" ref="BP19" ca="1">_FV(ED19,"Preço")</f>
        <v>10.039999999999999</v>
      </c>
      <c r="BQ19" s="69" t="s">
        <v>182</v>
      </c>
      <c r="BR19" s="36" cm="1">
        <f t="array" aca="1" ref="BR19" ca="1">_FV(ED19,"Média de volume",TRUE)</f>
        <v>20892310</v>
      </c>
      <c r="BS19" s="36">
        <v>42253200</v>
      </c>
      <c r="BT19" s="36" cm="1">
        <f t="array" aca="1" ref="BT19" ca="1">_FV(ED19,"Volume")</f>
        <v>13384200</v>
      </c>
      <c r="BU19" s="24" cm="1">
        <f t="array" aca="1" ref="BU19" ca="1">_FV(ED19,"Beta")</f>
        <v>1.4677</v>
      </c>
      <c r="BV19" s="71" cm="1">
        <f t="array" aca="1" ref="BV19" ca="1">_FV(ED19,"Variação (%)",TRUE)</f>
        <v>-9.9500000000000001E-4</v>
      </c>
      <c r="BX19" s="17" cm="1">
        <f t="array" aca="1" ref="BX19" ca="1">_FV(ED19,"Baixo")</f>
        <v>9.89</v>
      </c>
      <c r="BY19" s="17" cm="1">
        <f t="array" aca="1" ref="BY19" ca="1">_FV(ED19,"Alto")</f>
        <v>10.16</v>
      </c>
      <c r="BZ19" s="24"/>
      <c r="CA19" s="63">
        <f ca="1">SQRT(22.5*(BP19/VLOOKUP(BQ19,Fundamentus!A:U,3,FALSE))*(BP19/VLOOKUP(BQ19,Fundamentus!A:U,4,FALSE)))</f>
        <v>7.6737421441661233</v>
      </c>
      <c r="CC19" s="62">
        <f t="shared" ca="1" si="24"/>
        <v>1.2096774193548309E-2</v>
      </c>
      <c r="CD19" s="8"/>
      <c r="CE19" s="61">
        <f t="shared" si="25"/>
        <v>5.42</v>
      </c>
      <c r="CF19" s="61">
        <f t="shared" si="26"/>
        <v>13.63</v>
      </c>
      <c r="CG19" s="61">
        <f t="shared" si="27"/>
        <v>8.9364179104477621</v>
      </c>
      <c r="CH19" s="14"/>
      <c r="CI19" s="35">
        <f t="shared" si="1"/>
        <v>9.668140536674672</v>
      </c>
      <c r="CJ19" s="15">
        <f t="shared" si="28"/>
        <v>9.9099999999999682</v>
      </c>
      <c r="CK19" s="35">
        <f t="shared" si="2"/>
        <v>10.151859463325264</v>
      </c>
      <c r="CM19" s="14"/>
      <c r="CN19" s="17">
        <f t="shared" si="3"/>
        <v>-2.5266666666666691</v>
      </c>
      <c r="CO19" s="17">
        <f t="shared" si="4"/>
        <v>1.4466666666666654</v>
      </c>
      <c r="CP19" s="17">
        <f t="shared" si="5"/>
        <v>5.6833333333333318</v>
      </c>
      <c r="CQ19" s="38">
        <f t="shared" si="29"/>
        <v>9.6566666666666663</v>
      </c>
      <c r="CR19" s="17">
        <f t="shared" si="6"/>
        <v>13.893333333333333</v>
      </c>
      <c r="CS19" s="17">
        <f t="shared" si="7"/>
        <v>17.866666666666667</v>
      </c>
      <c r="CT19" s="17">
        <f t="shared" si="8"/>
        <v>22.103333333333332</v>
      </c>
      <c r="CU19" s="2" cm="1">
        <f t="array" aca="1" ref="CU19" ca="1">MAX(_xlfn._xlws.FILTER(CN19:CT19,CN19:CT19&lt;BP19))</f>
        <v>9.6566666666666663</v>
      </c>
      <c r="CV19" s="2" cm="1">
        <f t="array" aca="1" ref="CV19" ca="1">MIN(_xlfn._xlws.FILTER($CN19:$CT19,$CN19:$CT19&gt;BP19))</f>
        <v>13.893333333333333</v>
      </c>
      <c r="CW19" s="16">
        <f t="shared" ref="CW19:CW50" ca="1" si="63">(CV19/CU19)-1</f>
        <v>0.43872972040041414</v>
      </c>
      <c r="CX19" s="20">
        <f t="shared" ref="CX19:CX50" ca="1" si="64">-$CW19/2</f>
        <v>-0.21936486020020707</v>
      </c>
      <c r="CY19" s="20">
        <f t="shared" ref="CY19:CY50" ca="1" si="65">-$CW19/3</f>
        <v>-0.14624324013347137</v>
      </c>
      <c r="CZ19" s="20">
        <f t="shared" ref="CZ19:CZ50" ca="1" si="66">-$CW19/5</f>
        <v>-8.7745944080082822E-2</v>
      </c>
      <c r="DA19" s="20">
        <f t="shared" ref="DA19:DA50" ca="1" si="67">-$CW19/9</f>
        <v>-4.8747746711157128E-2</v>
      </c>
      <c r="DB19" s="20">
        <f t="shared" ref="DB19:DB50" ca="1" si="68">-$CW19/17</f>
        <v>-2.5807630611789065E-2</v>
      </c>
      <c r="DC19" s="20">
        <f t="shared" ref="DC19:DC50" ca="1" si="69">-$CW19/33</f>
        <v>-1.3294840012133761E-2</v>
      </c>
      <c r="DD19" s="20">
        <f t="shared" ref="DD19:DD50" ca="1" si="70">-$CW19/65</f>
        <v>-6.7496880061602175E-3</v>
      </c>
      <c r="DE19" s="21">
        <f t="shared" ref="DE19:DE50" ca="1" si="71">-$CW19/65*-1</f>
        <v>6.7496880061602175E-3</v>
      </c>
      <c r="DF19" s="21">
        <f t="shared" ref="DF19:DF50" ca="1" si="72">-$CW19/33*-1</f>
        <v>1.3294840012133761E-2</v>
      </c>
      <c r="DG19" s="21">
        <f t="shared" ref="DG19:DG50" ca="1" si="73">-$CW19/17*-1</f>
        <v>2.5807630611789065E-2</v>
      </c>
      <c r="DH19" s="21">
        <f t="shared" ref="DH19:DH50" ca="1" si="74">-$CW19/9*-1</f>
        <v>4.8747746711157128E-2</v>
      </c>
      <c r="DI19" s="21">
        <f t="shared" ref="DI19:DI50" ca="1" si="75">-$CW19/5*-1</f>
        <v>8.7745944080082822E-2</v>
      </c>
      <c r="DJ19" s="21">
        <f t="shared" ref="DJ19:DJ50" ca="1" si="76">-$CW19/3*-1</f>
        <v>0.14624324013347137</v>
      </c>
      <c r="DK19" s="21">
        <f t="shared" ref="DK19:DK50" ca="1" si="77">-$CW19/2*-1</f>
        <v>0.21936486020020707</v>
      </c>
      <c r="DM19" s="16" cm="1">
        <f t="array" aca="1" ref="DM19" ca="1">MAX(_xlfn._xlws.FILTER(CX19:DK19,CX19:DK19&lt;BV19))</f>
        <v>-6.7496880061602175E-3</v>
      </c>
      <c r="DN19" s="16" cm="1">
        <f t="array" aca="1" ref="DN19" ca="1">MIN(_xlfn._xlws.FILTER(CX19:DK19,CX19:DK19&gt;BV19))</f>
        <v>6.7496880061602175E-3</v>
      </c>
      <c r="DO19" s="2" cm="1">
        <f t="array" aca="1" ref="DO19" ca="1">_FV(ED19,"Fechamento anterior",TRUE)</f>
        <v>10.050000000000001</v>
      </c>
      <c r="DP19" s="28">
        <f t="shared" ca="1" si="15"/>
        <v>0.42629104673327789</v>
      </c>
      <c r="DQ19" s="15">
        <f t="shared" ref="DQ19:DQ50" ca="1" si="78">DO19+(DO19*DM19)</f>
        <v>9.9821656355380899</v>
      </c>
      <c r="DR19" s="15">
        <f t="shared" ref="DR19:DR50" ca="1" si="79">DO19+(DO19*DN19)</f>
        <v>10.117834364461912</v>
      </c>
      <c r="DS19" s="9"/>
      <c r="DT19" s="9"/>
      <c r="DU19" s="9"/>
      <c r="DV19" s="89">
        <v>1.2512790599655304E-2</v>
      </c>
      <c r="DW19" s="89">
        <f t="shared" ca="1" si="18"/>
        <v>1.3499376012320435E-2</v>
      </c>
      <c r="DX19" s="72">
        <f t="shared" ca="1" si="19"/>
        <v>0.53750222634532008</v>
      </c>
      <c r="DY19" s="37"/>
      <c r="DZ19" s="35">
        <f t="shared" si="39"/>
        <v>0.12092973166264806</v>
      </c>
      <c r="EA19" s="56"/>
      <c r="EB19" s="56"/>
      <c r="ED19" s="2" t="e" vm="19">
        <v>#VALUE!</v>
      </c>
      <c r="EF19" s="10" cm="1">
        <f t="array" aca="1" ref="EF19" ca="1">_FV(ED19,"Ações em circulação",TRUE)</f>
        <v>1353436000</v>
      </c>
      <c r="EG19" s="18">
        <f>VLOOKUP(BQ19,Fundamentus!A:U,5,FALSE)</f>
        <v>0.17399999999999999</v>
      </c>
      <c r="EH19" s="2">
        <f t="shared" ca="1" si="20"/>
        <v>78094812873.563217</v>
      </c>
      <c r="EI19" s="17">
        <v>848775496.09195399</v>
      </c>
      <c r="EJ19" s="17">
        <f t="shared" ca="1" si="21"/>
        <v>859042941.60919535</v>
      </c>
      <c r="EL19" s="16">
        <f t="shared" ca="1" si="22"/>
        <v>1.2096774193548265E-2</v>
      </c>
      <c r="EM19" s="32" t="str">
        <f>IF(VLOOKUP(BQ19,Fundamentus!A:U,3,FALSE)&lt;15,"Bom",IF(VLOOKUP(BQ19,Fundamentus!A:U,3,FALSE)&gt;15,"Ruim","n/a"))</f>
        <v>Ruim</v>
      </c>
      <c r="EN19" s="28" t="str">
        <f>IF(VLOOKUP(BQ19,Fundamentus!A:U,4,FALSE)&lt;1,"Baixo",IF(VLOOKUP(BQ19,Fundamentus!A:U,4,FALSE)&lt;1.5,"Moderado",IF(VLOOKUP(BQ19,Fundamentus!A:U,4,FALSE)&gt;1.5,"Alto","n/a")))</f>
        <v>Alto</v>
      </c>
      <c r="EO19" s="17" t="str">
        <f>IF(VLOOKUP(BQ19,Fundamentus!A:U,8,FALSE)&lt;0,"Risco elevado",IF(VLOOKUP(BQ19,Fundamentus!A:U,8,FALSE)&lt;1,"Saudável",IF(VLOOKUP(BQ19,Fundamentus!A:U,8,FALSE)&lt;3,"Estável",IF(VLOOKUP(BQ19,Fundamentus!A:U,8,FALSE)&gt;3,"Alerta","n/a"))))</f>
        <v>Alerta</v>
      </c>
      <c r="EP19" s="28" t="str">
        <f t="shared" si="23"/>
        <v>Ruim</v>
      </c>
      <c r="EQ19" s="17" t="str">
        <f>IF(VLOOKUP(BQ19,Fundamentus!A:U,12,FALSE)&lt;2,"Subvalorizada",IF(VLOOKUP(BQ19,Fundamentus!A:U,12,FALSE)&lt;6,"Muita barata",IF(VLOOKUP(BQ19,Fundamentus!A:U,12,FALSE)&lt;6,"Barata",IF(VLOOKUP(BQ19,Fundamentus!A:U,12,FALSE)&lt;8,"Atrativa",IF(VLOOKUP(BQ19,Fundamentus!A:U,12,FALSE)&gt;8,"Supervalorizada","n/a")))))</f>
        <v>Muita barata</v>
      </c>
      <c r="ES19" s="17" t="str">
        <f>IF(VLOOKUP(BQ19,Fundamentus!A:U,17,FALSE)&lt;0.1,"Fraco retorno",IF(VLOOKUP(BQ19,Fundamentus!A:U,17,FALSE)&gt;0.1,"Bom retorno","n/a"))</f>
        <v>Bom retorno</v>
      </c>
      <c r="ET19" s="17" t="str">
        <f>IF(VLOOKUP(BQ19,Fundamentus!A:U,16,FALSE)&lt;0.1,"Ineficiente",IF(VLOOKUP(BQ19,Fundamentus!A:U,16,FALSE)&gt;0.1,"Eficiente","n/a"))</f>
        <v>Eficiente</v>
      </c>
      <c r="EU19" s="33" t="str">
        <f>IF(VLOOKUP(BQ19,Fundamentus!A:U,16,FALSE)&lt;0.1,"Oper. Ineficiente",IF(VLOOKUP(BQ19,Fundamentus!A:U,16,FALSE)&gt;0.1,"Oper.Eficiente","n/a"))</f>
        <v>Oper.Eficiente</v>
      </c>
      <c r="EV19" s="34">
        <f>VLOOKUP(BQ19,Fundamentus!A:U,14,FALSE)</f>
        <v>1.0999999999999999E-2</v>
      </c>
      <c r="EW19" s="17" t="str">
        <f>IF(VLOOKUP(BQ19,Fundamentus!A:U,21,FALSE)&lt;0,"Negativo",IF(VLOOKUP(BQ19,Fundamentus!A:U,21,FALSE)&lt;0.05,"Fraco",IF(VLOOKUP(BQ19,Fundamentus!A:U,21,FALSE)&lt;0.1,"Bom",IF(VLOOKUP(BQ19,Fundamentus!A:U,21,FALSE)&gt;0.1,"Muito bom","n/a"))))</f>
        <v>Muito bom</v>
      </c>
      <c r="EY19" s="29" t="str">
        <f>IF(VLOOKUP(BQ19,Fundamentus!A:U,15,FALSE)&gt;1,"Bom",IF(VLOOKUP(BQ19,Fundamentus!A:U,15,FALSE)&lt;1,"Ruim","n/a"))</f>
        <v>Bom</v>
      </c>
      <c r="EZ19" s="17" t="str">
        <f>IF(VLOOKUP(BQ19,Fundamentus!A:U,20,FALSE)&lt;0.5,"Baixa",IF(VLOOKUP(BQ19,Fundamentus!A:U,20,FALSE)&lt;1,"Moderada",IF(VLOOKUP(BQ19,Fundamentus!A:U,20,FALSE)&lt;2,"Alerta",IF(VLOOKUP(BQ19,Fundamentus!A:U,20,FALSE)&gt;2,"Alta","n/a"))))</f>
        <v>Alta</v>
      </c>
      <c r="FA19" s="10"/>
    </row>
    <row r="20" spans="1:157" s="2" customFormat="1" ht="11.25" hidden="1" x14ac:dyDescent="0.2">
      <c r="A20" s="4">
        <v>6.22</v>
      </c>
      <c r="B20" s="4">
        <v>6.24</v>
      </c>
      <c r="C20" s="4">
        <v>6.31</v>
      </c>
      <c r="D20" s="4">
        <v>6.12</v>
      </c>
      <c r="E20" s="4">
        <v>6.11</v>
      </c>
      <c r="F20" s="4">
        <v>5.94</v>
      </c>
      <c r="G20" s="4">
        <v>5.9</v>
      </c>
      <c r="H20" s="4">
        <v>5.98</v>
      </c>
      <c r="I20" s="4">
        <v>5.99</v>
      </c>
      <c r="J20" s="4">
        <v>6.2</v>
      </c>
      <c r="K20" s="4">
        <v>6.51</v>
      </c>
      <c r="L20" s="4">
        <v>6.54</v>
      </c>
      <c r="M20" s="4">
        <v>6.3</v>
      </c>
      <c r="N20" s="4">
        <v>6.23</v>
      </c>
      <c r="O20" s="4">
        <v>6.56</v>
      </c>
      <c r="P20" s="4">
        <v>6.54</v>
      </c>
      <c r="Q20" s="4">
        <v>6.78</v>
      </c>
      <c r="R20" s="4">
        <v>6.69</v>
      </c>
      <c r="S20" s="4">
        <v>6.56</v>
      </c>
      <c r="T20" s="4">
        <v>6.47</v>
      </c>
      <c r="U20" s="4">
        <v>6.33</v>
      </c>
      <c r="V20" s="4">
        <v>6.18</v>
      </c>
      <c r="W20" s="4">
        <v>6.16</v>
      </c>
      <c r="X20" s="4">
        <v>6.18</v>
      </c>
      <c r="Y20" s="4">
        <v>6.05</v>
      </c>
      <c r="Z20" s="4">
        <v>6.18</v>
      </c>
      <c r="AA20" s="4">
        <v>6.14</v>
      </c>
      <c r="AB20" s="4">
        <v>6.05</v>
      </c>
      <c r="AC20" s="4">
        <v>5.82</v>
      </c>
      <c r="AD20" s="4">
        <v>5.78</v>
      </c>
      <c r="AE20" s="4">
        <v>5.6</v>
      </c>
      <c r="AF20" s="4">
        <v>5.65</v>
      </c>
      <c r="AG20" s="4">
        <v>5.57</v>
      </c>
      <c r="AH20" s="4">
        <v>5.64</v>
      </c>
      <c r="AI20" s="4">
        <v>5.72</v>
      </c>
      <c r="AJ20" s="4">
        <v>5.54</v>
      </c>
      <c r="AK20" s="4">
        <v>5.6</v>
      </c>
      <c r="AL20" s="4">
        <v>5.7</v>
      </c>
      <c r="AM20" s="4">
        <v>5.83</v>
      </c>
      <c r="AN20" s="4">
        <v>6.22</v>
      </c>
      <c r="AO20" s="4">
        <v>5.99</v>
      </c>
      <c r="AP20" s="4">
        <v>5.93</v>
      </c>
      <c r="AQ20" s="4">
        <v>5.98</v>
      </c>
      <c r="AR20" s="4">
        <v>5.9</v>
      </c>
      <c r="AS20" s="4">
        <v>5.94</v>
      </c>
      <c r="AT20" s="4">
        <v>5.82</v>
      </c>
      <c r="AU20" s="4">
        <v>5.77</v>
      </c>
      <c r="AV20" s="4">
        <v>5.6</v>
      </c>
      <c r="AW20" s="4">
        <v>5.33</v>
      </c>
      <c r="AX20" s="4">
        <v>5.3</v>
      </c>
      <c r="AY20" s="12">
        <v>5.5</v>
      </c>
      <c r="AZ20" s="12">
        <v>5.54</v>
      </c>
      <c r="BA20" s="12">
        <v>5.48</v>
      </c>
      <c r="BB20" s="15">
        <v>5.48</v>
      </c>
      <c r="BC20" s="52">
        <v>5.59</v>
      </c>
      <c r="BD20" s="52">
        <v>5.45</v>
      </c>
      <c r="BE20" s="52">
        <v>5.46</v>
      </c>
      <c r="BF20" s="52">
        <v>5.35</v>
      </c>
      <c r="BG20" s="67">
        <v>5.31</v>
      </c>
      <c r="BH20" s="52">
        <v>5.26</v>
      </c>
      <c r="BI20" s="52">
        <v>5.22</v>
      </c>
      <c r="BJ20" s="52">
        <v>5.28</v>
      </c>
      <c r="BK20" s="52">
        <v>5.19</v>
      </c>
      <c r="BL20" s="52">
        <v>5.0999999999999996</v>
      </c>
      <c r="BM20" s="52">
        <v>5.0999999999999996</v>
      </c>
      <c r="BN20" s="52">
        <v>5</v>
      </c>
      <c r="BO20" s="52">
        <v>4.79</v>
      </c>
      <c r="BP20" s="52" cm="1">
        <f t="array" aca="1" ref="BP20" ca="1">_FV(ED20,"Preço")</f>
        <v>4.7300000000000004</v>
      </c>
      <c r="BQ20" s="69" t="s">
        <v>17</v>
      </c>
      <c r="BR20" s="36" cm="1">
        <f t="array" aca="1" ref="BR20" ca="1">_FV(ED20,"Média de volume",TRUE)</f>
        <v>512890</v>
      </c>
      <c r="BS20" s="36">
        <v>401000</v>
      </c>
      <c r="BT20" s="36" cm="1">
        <f t="array" aca="1" ref="BT20" ca="1">_FV(ED20,"Volume")</f>
        <v>448000</v>
      </c>
      <c r="BU20" s="24" cm="1">
        <f t="array" aca="1" ref="BU20" ca="1">_FV(ED20,"Beta")</f>
        <v>0.57550000000000001</v>
      </c>
      <c r="BV20" s="71" cm="1">
        <f t="array" aca="1" ref="BV20" ca="1">_FV(ED20,"Variação (%)",TRUE)</f>
        <v>1.0684000000000001E-2</v>
      </c>
      <c r="BX20" s="17" cm="1">
        <f t="array" aca="1" ref="BX20" ca="1">_FV(ED20,"Baixo")</f>
        <v>4.67</v>
      </c>
      <c r="BY20" s="17" cm="1">
        <f t="array" aca="1" ref="BY20" ca="1">_FV(ED20,"Alto")</f>
        <v>4.75</v>
      </c>
      <c r="BZ20" s="24"/>
      <c r="CA20" s="63">
        <f ca="1">SQRT(22.5*(BP20/VLOOKUP(BQ20,Fundamentus!A:U,3,FALSE))*(BP20/VLOOKUP(BQ20,Fundamentus!A:U,4,FALSE)))</f>
        <v>7.7579216237118356</v>
      </c>
      <c r="CC20" s="62">
        <f t="shared" ca="1" si="24"/>
        <v>-1.2526096033402842E-2</v>
      </c>
      <c r="CD20" s="8"/>
      <c r="CE20" s="61">
        <f t="shared" si="25"/>
        <v>4.79</v>
      </c>
      <c r="CF20" s="61">
        <f t="shared" si="26"/>
        <v>6.78</v>
      </c>
      <c r="CG20" s="61">
        <f t="shared" si="27"/>
        <v>5.8476119402985089</v>
      </c>
      <c r="CH20" s="14"/>
      <c r="CI20" s="35">
        <f t="shared" si="1"/>
        <v>4.4661825425580117</v>
      </c>
      <c r="CJ20" s="15">
        <f t="shared" si="28"/>
        <v>4.7400000000000091</v>
      </c>
      <c r="CK20" s="35">
        <f t="shared" si="2"/>
        <v>5.0138174574420065</v>
      </c>
      <c r="CM20" s="14"/>
      <c r="CN20" s="17">
        <f t="shared" si="3"/>
        <v>2.1366666666666658</v>
      </c>
      <c r="CO20" s="17">
        <f t="shared" si="4"/>
        <v>3.4633333333333329</v>
      </c>
      <c r="CP20" s="17">
        <f t="shared" si="5"/>
        <v>4.126666666666666</v>
      </c>
      <c r="CQ20" s="38">
        <f t="shared" si="29"/>
        <v>5.4533333333333331</v>
      </c>
      <c r="CR20" s="17">
        <f t="shared" si="6"/>
        <v>6.1166666666666663</v>
      </c>
      <c r="CS20" s="17">
        <f t="shared" si="7"/>
        <v>7.4433333333333334</v>
      </c>
      <c r="CT20" s="17">
        <f t="shared" si="8"/>
        <v>8.1066666666666656</v>
      </c>
      <c r="CU20" s="2" cm="1">
        <f t="array" aca="1" ref="CU20" ca="1">MAX(_xlfn._xlws.FILTER(CN20:CT20,CN20:CT20&lt;BP20))</f>
        <v>4.126666666666666</v>
      </c>
      <c r="CV20" s="2" cm="1">
        <f t="array" aca="1" ref="CV20" ca="1">MIN(_xlfn._xlws.FILTER($CN20:$CT20,$CN20:$CT20&gt;BP20))</f>
        <v>5.4533333333333331</v>
      </c>
      <c r="CW20" s="16">
        <f t="shared" ca="1" si="63"/>
        <v>0.32148626817447501</v>
      </c>
      <c r="CX20" s="20">
        <f t="shared" ca="1" si="64"/>
        <v>-0.1607431340872375</v>
      </c>
      <c r="CY20" s="20">
        <f t="shared" ca="1" si="65"/>
        <v>-0.10716208939149167</v>
      </c>
      <c r="CZ20" s="20">
        <f t="shared" ca="1" si="66"/>
        <v>-6.4297253634894996E-2</v>
      </c>
      <c r="DA20" s="20">
        <f t="shared" ca="1" si="67"/>
        <v>-3.5720696463830554E-2</v>
      </c>
      <c r="DB20" s="20">
        <f t="shared" ca="1" si="68"/>
        <v>-1.8910956951439708E-2</v>
      </c>
      <c r="DC20" s="20">
        <f t="shared" ca="1" si="69"/>
        <v>-9.7420081264992433E-3</v>
      </c>
      <c r="DD20" s="20">
        <f t="shared" ca="1" si="70"/>
        <v>-4.9459425872996152E-3</v>
      </c>
      <c r="DE20" s="21">
        <f t="shared" ca="1" si="71"/>
        <v>4.9459425872996152E-3</v>
      </c>
      <c r="DF20" s="21">
        <f t="shared" ca="1" si="72"/>
        <v>9.7420081264992433E-3</v>
      </c>
      <c r="DG20" s="21">
        <f t="shared" ca="1" si="73"/>
        <v>1.8910956951439708E-2</v>
      </c>
      <c r="DH20" s="21">
        <f t="shared" ca="1" si="74"/>
        <v>3.5720696463830554E-2</v>
      </c>
      <c r="DI20" s="21">
        <f t="shared" ca="1" si="75"/>
        <v>6.4297253634894996E-2</v>
      </c>
      <c r="DJ20" s="21">
        <f t="shared" ca="1" si="76"/>
        <v>0.10716208939149167</v>
      </c>
      <c r="DK20" s="21">
        <f t="shared" ca="1" si="77"/>
        <v>0.1607431340872375</v>
      </c>
      <c r="DM20" s="16" cm="1">
        <f t="array" aca="1" ref="DM20" ca="1">MAX(_xlfn._xlws.FILTER(CX20:DK20,CX20:DK20&lt;BV20))</f>
        <v>9.7420081264992433E-3</v>
      </c>
      <c r="DN20" s="16" cm="1">
        <f t="array" aca="1" ref="DN20" ca="1">MIN(_xlfn._xlws.FILTER(CX20:DK20,CX20:DK20&gt;BV20))</f>
        <v>1.8910956951439708E-2</v>
      </c>
      <c r="DO20" s="2" cm="1">
        <f t="array" aca="1" ref="DO20" ca="1">_FV(ED20,"Fechamento anterior",TRUE)</f>
        <v>4.68</v>
      </c>
      <c r="DP20" s="28">
        <f t="shared" ca="1" si="15"/>
        <v>0.10271107138256214</v>
      </c>
      <c r="DQ20" s="15">
        <f t="shared" ca="1" si="78"/>
        <v>4.7255925980320166</v>
      </c>
      <c r="DR20" s="15">
        <f t="shared" ca="1" si="79"/>
        <v>4.7685032785327373</v>
      </c>
      <c r="DS20" s="9"/>
      <c r="DT20" s="9"/>
      <c r="DU20" s="9"/>
      <c r="DV20" s="89">
        <v>9.1689488249404646E-3</v>
      </c>
      <c r="DW20" s="89">
        <f t="shared" ca="1" si="18"/>
        <v>9.1689488249404646E-3</v>
      </c>
      <c r="DX20" s="72">
        <f t="shared" ca="1" si="19"/>
        <v>-3.652068094353321E-2</v>
      </c>
      <c r="DY20" s="37"/>
      <c r="DZ20" s="35">
        <f t="shared" si="39"/>
        <v>0.13690872872099866</v>
      </c>
      <c r="EA20" s="56"/>
      <c r="EB20" s="56"/>
      <c r="ED20" s="2" t="e" vm="20">
        <v>#VALUE!</v>
      </c>
      <c r="EF20" s="10" cm="1">
        <f t="array" aca="1" ref="EF20" ca="1">_FV(ED20,"Ações em circulação",TRUE)</f>
        <v>357374800</v>
      </c>
      <c r="EG20" s="18">
        <f>VLOOKUP(BQ20,Fundamentus!A:U,5,FALSE)</f>
        <v>0.91300000000000003</v>
      </c>
      <c r="EH20" s="2">
        <f t="shared" ca="1" si="20"/>
        <v>1851459807.2289159</v>
      </c>
      <c r="EI20" s="17">
        <v>251617693.52289158</v>
      </c>
      <c r="EJ20" s="17">
        <f t="shared" ca="1" si="21"/>
        <v>248465906.13012055</v>
      </c>
      <c r="EL20" s="16">
        <f t="shared" ca="1" si="22"/>
        <v>-1.2526096033402712E-2</v>
      </c>
      <c r="EM20" s="32" t="str">
        <f>IF(VLOOKUP(BQ20,Fundamentus!A:U,3,FALSE)&lt;15,"Bom",IF(VLOOKUP(BQ20,Fundamentus!A:U,3,FALSE)&gt;15,"Ruim","n/a"))</f>
        <v>Bom</v>
      </c>
      <c r="EN20" s="28" t="str">
        <f>IF(VLOOKUP(BQ20,Fundamentus!A:U,4,FALSE)&lt;1,"Baixo",IF(VLOOKUP(BQ20,Fundamentus!A:U,4,FALSE)&lt;1.5,"Moderado",IF(VLOOKUP(BQ20,Fundamentus!A:U,4,FALSE)&gt;1.5,"Alto","n/a")))</f>
        <v>Moderado</v>
      </c>
      <c r="EO20" s="17" t="str">
        <f>IF(VLOOKUP(BQ20,Fundamentus!A:U,8,FALSE)&lt;0,"Risco elevado",IF(VLOOKUP(BQ20,Fundamentus!A:U,8,FALSE)&lt;1,"Saudável",IF(VLOOKUP(BQ20,Fundamentus!A:U,8,FALSE)&lt;3,"Estável",IF(VLOOKUP(BQ20,Fundamentus!A:U,8,FALSE)&gt;3,"Alerta","n/a"))))</f>
        <v>Estável</v>
      </c>
      <c r="EP20" s="28" t="str">
        <f t="shared" si="23"/>
        <v>Ruim</v>
      </c>
      <c r="EQ20" s="17" t="str">
        <f>IF(VLOOKUP(BQ20,Fundamentus!A:U,12,FALSE)&lt;2,"Subvalorizada",IF(VLOOKUP(BQ20,Fundamentus!A:U,12,FALSE)&lt;6,"Muita barata",IF(VLOOKUP(BQ20,Fundamentus!A:U,12,FALSE)&lt;6,"Barata",IF(VLOOKUP(BQ20,Fundamentus!A:U,12,FALSE)&lt;8,"Atrativa",IF(VLOOKUP(BQ20,Fundamentus!A:U,12,FALSE)&gt;8,"Supervalorizada","n/a")))))</f>
        <v>Atrativa</v>
      </c>
      <c r="ES20" s="17" t="str">
        <f>IF(VLOOKUP(BQ20,Fundamentus!A:U,17,FALSE)&lt;0.1,"Fraco retorno",IF(VLOOKUP(BQ20,Fundamentus!A:U,17,FALSE)&gt;0.1,"Bom retorno","n/a"))</f>
        <v>Bom retorno</v>
      </c>
      <c r="ET20" s="17" t="str">
        <f>IF(VLOOKUP(BQ20,Fundamentus!A:U,16,FALSE)&lt;0.1,"Ineficiente",IF(VLOOKUP(BQ20,Fundamentus!A:U,16,FALSE)&gt;0.1,"Eficiente","n/a"))</f>
        <v>Eficiente</v>
      </c>
      <c r="EU20" s="33" t="str">
        <f>IF(VLOOKUP(BQ20,Fundamentus!A:U,16,FALSE)&lt;0.1,"Oper. Ineficiente",IF(VLOOKUP(BQ20,Fundamentus!A:U,16,FALSE)&gt;0.1,"Oper.Eficiente","n/a"))</f>
        <v>Oper.Eficiente</v>
      </c>
      <c r="EV20" s="34">
        <f>VLOOKUP(BQ20,Fundamentus!A:U,14,FALSE)</f>
        <v>0.13420000000000001</v>
      </c>
      <c r="EW20" s="17" t="str">
        <f>IF(VLOOKUP(BQ20,Fundamentus!A:U,21,FALSE)&lt;0,"Negativo",IF(VLOOKUP(BQ20,Fundamentus!A:U,21,FALSE)&lt;0.05,"Fraco",IF(VLOOKUP(BQ20,Fundamentus!A:U,21,FALSE)&lt;0.1,"Bom",IF(VLOOKUP(BQ20,Fundamentus!A:U,21,FALSE)&gt;0.1,"Muito bom","n/a"))))</f>
        <v>Muito bom</v>
      </c>
      <c r="EY20" s="29" t="str">
        <f>IF(VLOOKUP(BQ20,Fundamentus!A:U,15,FALSE)&gt;1,"Bom",IF(VLOOKUP(BQ20,Fundamentus!A:U,15,FALSE)&lt;1,"Ruim","n/a"))</f>
        <v>Bom</v>
      </c>
      <c r="EZ20" s="17" t="str">
        <f>IF(VLOOKUP(BQ20,Fundamentus!A:U,20,FALSE)&lt;0.5,"Baixa",IF(VLOOKUP(BQ20,Fundamentus!A:U,20,FALSE)&lt;1,"Moderada",IF(VLOOKUP(BQ20,Fundamentus!A:U,20,FALSE)&lt;2,"Alerta",IF(VLOOKUP(BQ20,Fundamentus!A:U,20,FALSE)&gt;2,"Alta","n/a"))))</f>
        <v>Moderada</v>
      </c>
    </row>
    <row r="21" spans="1:157" s="2" customFormat="1" ht="11.25" hidden="1" x14ac:dyDescent="0.2">
      <c r="A21" s="4">
        <v>31.53</v>
      </c>
      <c r="B21" s="4">
        <v>32.67</v>
      </c>
      <c r="C21" s="4">
        <v>32.46</v>
      </c>
      <c r="D21" s="4">
        <v>32.770000000000003</v>
      </c>
      <c r="E21" s="4">
        <v>31.76</v>
      </c>
      <c r="F21" s="4">
        <v>31.09</v>
      </c>
      <c r="G21" s="4">
        <v>30.52</v>
      </c>
      <c r="H21" s="4">
        <v>31.01</v>
      </c>
      <c r="I21" s="4">
        <v>32.65</v>
      </c>
      <c r="J21" s="4">
        <v>33.5</v>
      </c>
      <c r="K21" s="4">
        <v>34.200000000000003</v>
      </c>
      <c r="L21" s="4">
        <v>33.29</v>
      </c>
      <c r="M21" s="4">
        <v>33.1</v>
      </c>
      <c r="N21" s="4">
        <v>33.5</v>
      </c>
      <c r="O21" s="4">
        <v>33.79</v>
      </c>
      <c r="P21" s="4">
        <v>31.36</v>
      </c>
      <c r="Q21" s="4">
        <v>31.45</v>
      </c>
      <c r="R21" s="4">
        <v>32.06</v>
      </c>
      <c r="S21" s="4">
        <v>30.7</v>
      </c>
      <c r="T21" s="4">
        <v>31.31</v>
      </c>
      <c r="U21" s="4">
        <v>31.17</v>
      </c>
      <c r="V21" s="4">
        <v>30.3</v>
      </c>
      <c r="W21" s="4">
        <v>30.46</v>
      </c>
      <c r="X21" s="4">
        <v>30.23</v>
      </c>
      <c r="Y21" s="4">
        <v>30.36</v>
      </c>
      <c r="Z21" s="4">
        <v>30.2</v>
      </c>
      <c r="AA21" s="4">
        <v>30.06</v>
      </c>
      <c r="AB21" s="4">
        <v>30.31</v>
      </c>
      <c r="AC21" s="4">
        <v>27.94</v>
      </c>
      <c r="AD21" s="4">
        <v>27.94</v>
      </c>
      <c r="AE21" s="4">
        <v>27.13</v>
      </c>
      <c r="AF21" s="4">
        <v>27.73</v>
      </c>
      <c r="AG21" s="4">
        <v>27.15</v>
      </c>
      <c r="AH21" s="4">
        <v>27.3</v>
      </c>
      <c r="AI21" s="4">
        <v>27.58</v>
      </c>
      <c r="AJ21" s="4">
        <v>26.18</v>
      </c>
      <c r="AK21" s="4">
        <v>26.56</v>
      </c>
      <c r="AL21" s="4">
        <v>27.29</v>
      </c>
      <c r="AM21" s="4">
        <v>27.57</v>
      </c>
      <c r="AN21" s="4">
        <v>28.35</v>
      </c>
      <c r="AO21" s="4">
        <v>27.7</v>
      </c>
      <c r="AP21" s="4">
        <v>28.19</v>
      </c>
      <c r="AQ21" s="4">
        <v>28.18</v>
      </c>
      <c r="AR21" s="4">
        <v>27.61</v>
      </c>
      <c r="AS21" s="4">
        <v>29.42</v>
      </c>
      <c r="AT21" s="4">
        <v>30.16</v>
      </c>
      <c r="AU21" s="4">
        <v>28.97</v>
      </c>
      <c r="AV21" s="4">
        <v>28.35</v>
      </c>
      <c r="AW21" s="4">
        <v>28.55</v>
      </c>
      <c r="AX21" s="4">
        <v>29.56</v>
      </c>
      <c r="AY21" s="12">
        <v>30.46</v>
      </c>
      <c r="AZ21" s="12">
        <v>30.79</v>
      </c>
      <c r="BA21" s="12">
        <v>29.62</v>
      </c>
      <c r="BB21" s="15">
        <v>29.15</v>
      </c>
      <c r="BC21" s="52">
        <v>28.83</v>
      </c>
      <c r="BD21" s="52">
        <v>30.66</v>
      </c>
      <c r="BE21" s="52">
        <v>32.1</v>
      </c>
      <c r="BF21" s="52">
        <v>30.5</v>
      </c>
      <c r="BG21" s="67">
        <v>30.25</v>
      </c>
      <c r="BH21" s="52">
        <v>29.26</v>
      </c>
      <c r="BI21" s="52">
        <v>29.55</v>
      </c>
      <c r="BJ21" s="52">
        <v>30.01</v>
      </c>
      <c r="BK21" s="52">
        <v>29.2</v>
      </c>
      <c r="BL21" s="52">
        <v>28.7</v>
      </c>
      <c r="BM21" s="52">
        <v>28.3</v>
      </c>
      <c r="BN21" s="52">
        <v>28.29</v>
      </c>
      <c r="BO21" s="52">
        <v>27.54</v>
      </c>
      <c r="BP21" s="52" cm="1">
        <f t="array" aca="1" ref="BP21" ca="1">_FV(ED21,"Preço")</f>
        <v>27.44</v>
      </c>
      <c r="BQ21" s="69" t="s">
        <v>18</v>
      </c>
      <c r="BR21" s="36" cm="1">
        <f t="array" aca="1" ref="BR21" ca="1">_FV(ED21,"Média de volume",TRUE)</f>
        <v>254260</v>
      </c>
      <c r="BS21" s="36">
        <v>314900</v>
      </c>
      <c r="BT21" s="36" cm="1">
        <f t="array" aca="1" ref="BT21" ca="1">_FV(ED21,"Volume")</f>
        <v>169800</v>
      </c>
      <c r="BU21" s="24" cm="1">
        <f t="array" aca="1" ref="BU21" ca="1">_FV(ED21,"Beta")</f>
        <v>0.74780000000000002</v>
      </c>
      <c r="BV21" s="71" cm="1">
        <f t="array" aca="1" ref="BV21" ca="1">_FV(ED21,"Variação (%)",TRUE)</f>
        <v>-3.993E-3</v>
      </c>
      <c r="BX21" s="17" cm="1">
        <f t="array" aca="1" ref="BX21" ca="1">_FV(ED21,"Baixo")</f>
        <v>27.28</v>
      </c>
      <c r="BY21" s="17" cm="1">
        <f t="array" aca="1" ref="BY21" ca="1">_FV(ED21,"Alto")</f>
        <v>27.7</v>
      </c>
      <c r="BZ21" s="24"/>
      <c r="CA21" s="63">
        <f ca="1">SQRT(22.5*(BP21/VLOOKUP(BQ21,Fundamentus!A:U,3,FALSE))*(BP21/VLOOKUP(BQ21,Fundamentus!A:U,4,FALSE)))</f>
        <v>22.351351428063243</v>
      </c>
      <c r="CC21" s="62">
        <f t="shared" ca="1" si="24"/>
        <v>-3.6310820624545341E-3</v>
      </c>
      <c r="CD21" s="8"/>
      <c r="CE21" s="61">
        <f t="shared" si="25"/>
        <v>26.18</v>
      </c>
      <c r="CF21" s="61">
        <f t="shared" si="26"/>
        <v>34.200000000000003</v>
      </c>
      <c r="CG21" s="61">
        <f t="shared" si="27"/>
        <v>29.946716417910441</v>
      </c>
      <c r="CH21" s="14"/>
      <c r="CI21" s="35">
        <f t="shared" si="1"/>
        <v>26.242655731923346</v>
      </c>
      <c r="CJ21" s="15">
        <f t="shared" si="28"/>
        <v>27.335000000000036</v>
      </c>
      <c r="CK21" s="35">
        <f t="shared" si="2"/>
        <v>28.427344268076727</v>
      </c>
      <c r="CM21" s="14"/>
      <c r="CN21" s="17">
        <f t="shared" si="3"/>
        <v>16.393333333333331</v>
      </c>
      <c r="CO21" s="17">
        <f t="shared" si="4"/>
        <v>21.286666666666665</v>
      </c>
      <c r="CP21" s="17">
        <f t="shared" si="5"/>
        <v>24.413333333333334</v>
      </c>
      <c r="CQ21" s="38">
        <f t="shared" si="29"/>
        <v>29.306666666666668</v>
      </c>
      <c r="CR21" s="17">
        <f t="shared" si="6"/>
        <v>32.433333333333337</v>
      </c>
      <c r="CS21" s="17">
        <f t="shared" si="7"/>
        <v>37.326666666666668</v>
      </c>
      <c r="CT21" s="17">
        <f t="shared" si="8"/>
        <v>40.45333333333334</v>
      </c>
      <c r="CU21" s="2" cm="1">
        <f t="array" aca="1" ref="CU21" ca="1">MAX(_xlfn._xlws.FILTER(CN21:CT21,CN21:CT21&lt;BP21))</f>
        <v>24.413333333333334</v>
      </c>
      <c r="CV21" s="2" cm="1">
        <f t="array" aca="1" ref="CV21" ca="1">MIN(_xlfn._xlws.FILTER($CN21:$CT21,$CN21:$CT21&gt;BP21))</f>
        <v>29.306666666666668</v>
      </c>
      <c r="CW21" s="16">
        <f t="shared" ca="1" si="63"/>
        <v>0.2004369197160023</v>
      </c>
      <c r="CX21" s="20">
        <f t="shared" ca="1" si="64"/>
        <v>-0.10021845985800115</v>
      </c>
      <c r="CY21" s="20">
        <f t="shared" ca="1" si="65"/>
        <v>-6.6812306572000768E-2</v>
      </c>
      <c r="CZ21" s="20">
        <f t="shared" ca="1" si="66"/>
        <v>-4.0087383943200459E-2</v>
      </c>
      <c r="DA21" s="20">
        <f t="shared" ca="1" si="67"/>
        <v>-2.2270768857333589E-2</v>
      </c>
      <c r="DB21" s="20">
        <f t="shared" ca="1" si="68"/>
        <v>-1.1790407042117782E-2</v>
      </c>
      <c r="DC21" s="20">
        <f t="shared" ca="1" si="69"/>
        <v>-6.07384605200007E-3</v>
      </c>
      <c r="DD21" s="20">
        <f t="shared" ca="1" si="70"/>
        <v>-3.0836449187077279E-3</v>
      </c>
      <c r="DE21" s="21">
        <f t="shared" ca="1" si="71"/>
        <v>3.0836449187077279E-3</v>
      </c>
      <c r="DF21" s="21">
        <f t="shared" ca="1" si="72"/>
        <v>6.07384605200007E-3</v>
      </c>
      <c r="DG21" s="21">
        <f t="shared" ca="1" si="73"/>
        <v>1.1790407042117782E-2</v>
      </c>
      <c r="DH21" s="21">
        <f t="shared" ca="1" si="74"/>
        <v>2.2270768857333589E-2</v>
      </c>
      <c r="DI21" s="21">
        <f t="shared" ca="1" si="75"/>
        <v>4.0087383943200459E-2</v>
      </c>
      <c r="DJ21" s="21">
        <f t="shared" ca="1" si="76"/>
        <v>6.6812306572000768E-2</v>
      </c>
      <c r="DK21" s="21">
        <f t="shared" ca="1" si="77"/>
        <v>0.10021845985800115</v>
      </c>
      <c r="DM21" s="16" cm="1">
        <f t="array" aca="1" ref="DM21" ca="1">MAX(_xlfn._xlws.FILTER(CX21:DK21,CX21:DK21&lt;BV21))</f>
        <v>-6.07384605200007E-3</v>
      </c>
      <c r="DN21" s="16" cm="1">
        <f t="array" aca="1" ref="DN21" ca="1">MIN(_xlfn._xlws.FILTER(CX21:DK21,CX21:DK21&gt;BV21))</f>
        <v>-3.0836449187077279E-3</v>
      </c>
      <c r="DO21" s="2" cm="1">
        <f t="array" aca="1" ref="DO21" ca="1">_FV(ED21,"Fechamento anterior",TRUE)</f>
        <v>27.55</v>
      </c>
      <c r="DP21" s="28">
        <f t="shared" ca="1" si="15"/>
        <v>0.69597511584091876</v>
      </c>
      <c r="DQ21" s="15">
        <f t="shared" ca="1" si="78"/>
        <v>27.3826655412674</v>
      </c>
      <c r="DR21" s="15">
        <f t="shared" ca="1" si="79"/>
        <v>27.465045582489601</v>
      </c>
      <c r="DS21" s="9"/>
      <c r="DT21" s="9"/>
      <c r="DU21" s="9"/>
      <c r="DV21" s="89">
        <v>5.7165609901177125E-3</v>
      </c>
      <c r="DW21" s="89">
        <f t="shared" ca="1" si="18"/>
        <v>2.9902011332923421E-3</v>
      </c>
      <c r="DX21" s="72">
        <f t="shared" ca="1" si="19"/>
        <v>9.6123541880107299E-2</v>
      </c>
      <c r="DY21" s="37"/>
      <c r="DZ21" s="35">
        <f t="shared" si="39"/>
        <v>0.54617213403834508</v>
      </c>
      <c r="EA21" s="56"/>
      <c r="EB21" s="56"/>
      <c r="ED21" s="2" t="e" vm="21">
        <v>#VALUE!</v>
      </c>
      <c r="EF21" s="10" cm="1">
        <f t="array" aca="1" ref="EF21" ca="1">_FV(ED21,"Ações em circulação",TRUE)</f>
        <v>135539000</v>
      </c>
      <c r="EG21" s="18">
        <f>VLOOKUP(BQ21,Fundamentus!A:U,5,FALSE)</f>
        <v>0.80700000000000005</v>
      </c>
      <c r="EH21" s="2">
        <f t="shared" ca="1" si="20"/>
        <v>4608661908.3023539</v>
      </c>
      <c r="EI21" s="17">
        <v>481047561.63568771</v>
      </c>
      <c r="EJ21" s="17">
        <f t="shared" ca="1" si="21"/>
        <v>479300838.46344477</v>
      </c>
      <c r="EL21" s="16">
        <f t="shared" ca="1" si="22"/>
        <v>-3.6310820624547713E-3</v>
      </c>
      <c r="EM21" s="32" t="str">
        <f>IF(VLOOKUP(BQ21,Fundamentus!A:U,3,FALSE)&lt;15,"Bom",IF(VLOOKUP(BQ21,Fundamentus!A:U,3,FALSE)&gt;15,"Ruim","n/a"))</f>
        <v>Bom</v>
      </c>
      <c r="EN21" s="28" t="str">
        <f>IF(VLOOKUP(BQ21,Fundamentus!A:U,4,FALSE)&lt;1,"Baixo",IF(VLOOKUP(BQ21,Fundamentus!A:U,4,FALSE)&lt;1.5,"Moderado",IF(VLOOKUP(BQ21,Fundamentus!A:U,4,FALSE)&gt;1.5,"Alto","n/a")))</f>
        <v>Alto</v>
      </c>
      <c r="EO21" s="17" t="str">
        <f>IF(VLOOKUP(BQ21,Fundamentus!A:U,8,FALSE)&lt;0,"Risco elevado",IF(VLOOKUP(BQ21,Fundamentus!A:U,8,FALSE)&lt;1,"Saudável",IF(VLOOKUP(BQ21,Fundamentus!A:U,8,FALSE)&lt;3,"Estável",IF(VLOOKUP(BQ21,Fundamentus!A:U,8,FALSE)&gt;3,"Alerta","n/a"))))</f>
        <v>Alerta</v>
      </c>
      <c r="EP21" s="28" t="str">
        <f t="shared" si="23"/>
        <v>Ruim</v>
      </c>
      <c r="EQ21" s="17" t="str">
        <f>IF(VLOOKUP(BQ21,Fundamentus!A:U,12,FALSE)&lt;2,"Subvalorizada",IF(VLOOKUP(BQ21,Fundamentus!A:U,12,FALSE)&lt;6,"Muita barata",IF(VLOOKUP(BQ21,Fundamentus!A:U,12,FALSE)&lt;6,"Barata",IF(VLOOKUP(BQ21,Fundamentus!A:U,12,FALSE)&lt;8,"Atrativa",IF(VLOOKUP(BQ21,Fundamentus!A:U,12,FALSE)&gt;8,"Supervalorizada","n/a")))))</f>
        <v>Muita barata</v>
      </c>
      <c r="ES21" s="17" t="str">
        <f>IF(VLOOKUP(BQ21,Fundamentus!A:U,17,FALSE)&lt;0.1,"Fraco retorno",IF(VLOOKUP(BQ21,Fundamentus!A:U,17,FALSE)&gt;0.1,"Bom retorno","n/a"))</f>
        <v>Bom retorno</v>
      </c>
      <c r="ET21" s="17" t="str">
        <f>IF(VLOOKUP(BQ21,Fundamentus!A:U,16,FALSE)&lt;0.1,"Ineficiente",IF(VLOOKUP(BQ21,Fundamentus!A:U,16,FALSE)&gt;0.1,"Eficiente","n/a"))</f>
        <v>Eficiente</v>
      </c>
      <c r="EU21" s="33" t="str">
        <f>IF(VLOOKUP(BQ21,Fundamentus!A:U,16,FALSE)&lt;0.1,"Oper. Ineficiente",IF(VLOOKUP(BQ21,Fundamentus!A:U,16,FALSE)&gt;0.1,"Oper.Eficiente","n/a"))</f>
        <v>Oper.Eficiente</v>
      </c>
      <c r="EV21" s="34">
        <f>VLOOKUP(BQ21,Fundamentus!A:U,14,FALSE)</f>
        <v>0.104</v>
      </c>
      <c r="EW21" s="17" t="str">
        <f>IF(VLOOKUP(BQ21,Fundamentus!A:U,21,FALSE)&lt;0,"Negativo",IF(VLOOKUP(BQ21,Fundamentus!A:U,21,FALSE)&lt;0.05,"Fraco",IF(VLOOKUP(BQ21,Fundamentus!A:U,21,FALSE)&lt;0.1,"Bom",IF(VLOOKUP(BQ21,Fundamentus!A:U,21,FALSE)&gt;0.1,"Muito bom","n/a"))))</f>
        <v>Muito bom</v>
      </c>
      <c r="EY21" s="29" t="str">
        <f>IF(VLOOKUP(BQ21,Fundamentus!A:U,15,FALSE)&gt;1,"Bom",IF(VLOOKUP(BQ21,Fundamentus!A:U,15,FALSE)&lt;1,"Ruim","n/a"))</f>
        <v>Bom</v>
      </c>
      <c r="EZ21" s="17" t="str">
        <f>IF(VLOOKUP(BQ21,Fundamentus!A:U,20,FALSE)&lt;0.5,"Baixa",IF(VLOOKUP(BQ21,Fundamentus!A:U,20,FALSE)&lt;1,"Moderada",IF(VLOOKUP(BQ21,Fundamentus!A:U,20,FALSE)&lt;2,"Alerta",IF(VLOOKUP(BQ21,Fundamentus!A:U,20,FALSE)&gt;2,"Alta","n/a"))))</f>
        <v>Alerta</v>
      </c>
    </row>
    <row r="22" spans="1:157" s="5" customFormat="1" ht="11.25" hidden="1" x14ac:dyDescent="0.2">
      <c r="A22" s="4">
        <v>9.6</v>
      </c>
      <c r="B22" s="4">
        <v>9.24</v>
      </c>
      <c r="C22" s="4">
        <v>9.58</v>
      </c>
      <c r="D22" s="4">
        <v>9.2799999999999994</v>
      </c>
      <c r="E22" s="4">
        <v>9.07</v>
      </c>
      <c r="F22" s="4">
        <v>9.25</v>
      </c>
      <c r="G22" s="4">
        <v>9.35</v>
      </c>
      <c r="H22" s="4">
        <v>9.2100000000000009</v>
      </c>
      <c r="I22" s="4">
        <v>9.33</v>
      </c>
      <c r="J22" s="4">
        <v>9.74</v>
      </c>
      <c r="K22" s="4">
        <v>10.23</v>
      </c>
      <c r="L22" s="4">
        <v>10.07</v>
      </c>
      <c r="M22" s="4">
        <v>10.119999999999999</v>
      </c>
      <c r="N22" s="4">
        <v>10.119999999999999</v>
      </c>
      <c r="O22" s="4">
        <v>10.27</v>
      </c>
      <c r="P22" s="4">
        <v>10.4</v>
      </c>
      <c r="Q22" s="4">
        <v>10.73</v>
      </c>
      <c r="R22" s="4">
        <v>10.43</v>
      </c>
      <c r="S22" s="4">
        <v>10.83</v>
      </c>
      <c r="T22" s="4">
        <v>10.86</v>
      </c>
      <c r="U22" s="4">
        <v>10.52</v>
      </c>
      <c r="V22" s="4">
        <v>10.19</v>
      </c>
      <c r="W22" s="4">
        <v>10.01</v>
      </c>
      <c r="X22" s="4">
        <v>10.02</v>
      </c>
      <c r="Y22" s="4">
        <v>9.8000000000000007</v>
      </c>
      <c r="Z22" s="4">
        <v>9.75</v>
      </c>
      <c r="AA22" s="4">
        <v>9.56</v>
      </c>
      <c r="AB22" s="4">
        <v>9.39</v>
      </c>
      <c r="AC22" s="4">
        <v>9.59</v>
      </c>
      <c r="AD22" s="4">
        <v>9.3800000000000008</v>
      </c>
      <c r="AE22" s="4">
        <v>9.7100000000000009</v>
      </c>
      <c r="AF22" s="4">
        <v>9.59</v>
      </c>
      <c r="AG22" s="4">
        <v>9.1999999999999993</v>
      </c>
      <c r="AH22" s="4">
        <v>9.06</v>
      </c>
      <c r="AI22" s="4">
        <v>9.17</v>
      </c>
      <c r="AJ22" s="4">
        <v>8.99</v>
      </c>
      <c r="AK22" s="4">
        <v>8.76</v>
      </c>
      <c r="AL22" s="4">
        <v>9.15</v>
      </c>
      <c r="AM22" s="4">
        <v>9.1999999999999993</v>
      </c>
      <c r="AN22" s="4">
        <v>9.6999999999999993</v>
      </c>
      <c r="AO22" s="4">
        <v>9.73</v>
      </c>
      <c r="AP22" s="4">
        <v>10.32</v>
      </c>
      <c r="AQ22" s="4">
        <v>10.220000000000001</v>
      </c>
      <c r="AR22" s="4">
        <v>9.8699999999999992</v>
      </c>
      <c r="AS22" s="4">
        <v>9.92</v>
      </c>
      <c r="AT22" s="4">
        <v>10.33</v>
      </c>
      <c r="AU22" s="4">
        <v>10.5</v>
      </c>
      <c r="AV22" s="4">
        <v>10.48</v>
      </c>
      <c r="AW22" s="4">
        <v>10.62</v>
      </c>
      <c r="AX22" s="4">
        <v>10.68</v>
      </c>
      <c r="AY22" s="12">
        <v>11.02</v>
      </c>
      <c r="AZ22" s="12">
        <v>11.28</v>
      </c>
      <c r="BA22" s="12">
        <v>11.53</v>
      </c>
      <c r="BB22" s="15">
        <v>11.86</v>
      </c>
      <c r="BC22" s="52">
        <v>12.42</v>
      </c>
      <c r="BD22" s="52">
        <v>12.4</v>
      </c>
      <c r="BE22" s="52">
        <v>12.67</v>
      </c>
      <c r="BF22" s="52">
        <v>12.48</v>
      </c>
      <c r="BG22" s="67">
        <v>12.39</v>
      </c>
      <c r="BH22" s="52">
        <v>12.41</v>
      </c>
      <c r="BI22" s="52">
        <v>12.24</v>
      </c>
      <c r="BJ22" s="52">
        <v>12.34</v>
      </c>
      <c r="BK22" s="52">
        <v>11.95</v>
      </c>
      <c r="BL22" s="52">
        <v>11.88</v>
      </c>
      <c r="BM22" s="52">
        <v>11.67</v>
      </c>
      <c r="BN22" s="52">
        <v>11.93</v>
      </c>
      <c r="BO22" s="52">
        <v>12.31</v>
      </c>
      <c r="BP22" s="52" cm="1">
        <f t="array" aca="1" ref="BP22" ca="1">_FV(ED22,"Preço")</f>
        <v>12.06</v>
      </c>
      <c r="BQ22" s="69" t="s">
        <v>19</v>
      </c>
      <c r="BR22" s="36" cm="1">
        <f t="array" aca="1" ref="BR22" ca="1">_FV(ED22,"Média de volume",TRUE)</f>
        <v>15887970</v>
      </c>
      <c r="BS22" s="36">
        <v>12045500</v>
      </c>
      <c r="BT22" s="36" cm="1">
        <f t="array" aca="1" ref="BT22" ca="1">_FV(ED22,"Volume")</f>
        <v>14493400</v>
      </c>
      <c r="BU22" s="24" cm="1">
        <f t="array" aca="1" ref="BU22" ca="1">_FV(ED22,"Beta")</f>
        <v>0.84309999999999996</v>
      </c>
      <c r="BV22" s="71" cm="1">
        <f t="array" aca="1" ref="BV22" ca="1">_FV(ED22,"Variação (%)",TRUE)</f>
        <v>-4.9499999999999995E-3</v>
      </c>
      <c r="BX22" s="17" cm="1">
        <f t="array" aca="1" ref="BX22" ca="1">_FV(ED22,"Baixo")</f>
        <v>11.99</v>
      </c>
      <c r="BY22" s="17" cm="1">
        <f t="array" aca="1" ref="BY22" ca="1">_FV(ED22,"Alto")</f>
        <v>12.2</v>
      </c>
      <c r="BZ22" s="24"/>
      <c r="CA22" s="63">
        <f ca="1">SQRT(22.5*(BP22/VLOOKUP(BQ22,Fundamentus!A:U,3,FALSE))*(BP22/VLOOKUP(BQ22,Fundamentus!A:U,4,FALSE)))</f>
        <v>14.189217280850604</v>
      </c>
      <c r="CC22" s="62">
        <f t="shared" ca="1" si="24"/>
        <v>-2.0308692120227456E-2</v>
      </c>
      <c r="CD22" s="8"/>
      <c r="CE22" s="61">
        <f t="shared" si="25"/>
        <v>8.76</v>
      </c>
      <c r="CF22" s="61">
        <f t="shared" si="26"/>
        <v>12.67</v>
      </c>
      <c r="CG22" s="61">
        <f t="shared" si="27"/>
        <v>10.3865671641791</v>
      </c>
      <c r="CH22" s="14"/>
      <c r="CI22" s="35">
        <f t="shared" si="1"/>
        <v>11.921933419410417</v>
      </c>
      <c r="CJ22" s="15">
        <f t="shared" si="28"/>
        <v>12.335000000000036</v>
      </c>
      <c r="CK22" s="35">
        <f t="shared" si="2"/>
        <v>12.748066580589656</v>
      </c>
      <c r="CM22" s="14"/>
      <c r="CN22" s="17">
        <f t="shared" si="3"/>
        <v>5.9133333333333358</v>
      </c>
      <c r="CO22" s="17">
        <f t="shared" si="4"/>
        <v>7.3366666666666678</v>
      </c>
      <c r="CP22" s="17">
        <f t="shared" si="5"/>
        <v>9.8233333333333359</v>
      </c>
      <c r="CQ22" s="38">
        <f t="shared" si="29"/>
        <v>11.246666666666668</v>
      </c>
      <c r="CR22" s="17">
        <f t="shared" si="6"/>
        <v>13.733333333333336</v>
      </c>
      <c r="CS22" s="17">
        <f t="shared" si="7"/>
        <v>15.156666666666668</v>
      </c>
      <c r="CT22" s="17">
        <f t="shared" si="8"/>
        <v>17.643333333333338</v>
      </c>
      <c r="CU22" s="2" cm="1">
        <f t="array" aca="1" ref="CU22" ca="1">MAX(_xlfn._xlws.FILTER(CN22:CT22,CN22:CT22&lt;BP22))</f>
        <v>11.246666666666668</v>
      </c>
      <c r="CV22" s="2" cm="1">
        <f t="array" aca="1" ref="CV22" ca="1">MIN(_xlfn._xlws.FILTER($CN22:$CT22,$CN22:$CT22&gt;BP22))</f>
        <v>13.733333333333336</v>
      </c>
      <c r="CW22" s="16">
        <f t="shared" ca="1" si="63"/>
        <v>0.22110254890337888</v>
      </c>
      <c r="CX22" s="20">
        <f t="shared" ca="1" si="64"/>
        <v>-0.11055127445168944</v>
      </c>
      <c r="CY22" s="20">
        <f t="shared" ca="1" si="65"/>
        <v>-7.3700849634459623E-2</v>
      </c>
      <c r="CZ22" s="20">
        <f t="shared" ca="1" si="66"/>
        <v>-4.4220509780675779E-2</v>
      </c>
      <c r="DA22" s="20">
        <f t="shared" ca="1" si="67"/>
        <v>-2.4566949878153208E-2</v>
      </c>
      <c r="DB22" s="20">
        <f t="shared" ca="1" si="68"/>
        <v>-1.3006032288434052E-2</v>
      </c>
      <c r="DC22" s="20">
        <f t="shared" ca="1" si="69"/>
        <v>-6.7000772394963295E-3</v>
      </c>
      <c r="DD22" s="20">
        <f t="shared" ca="1" si="70"/>
        <v>-3.4015776754365984E-3</v>
      </c>
      <c r="DE22" s="21">
        <f t="shared" ca="1" si="71"/>
        <v>3.4015776754365984E-3</v>
      </c>
      <c r="DF22" s="21">
        <f t="shared" ca="1" si="72"/>
        <v>6.7000772394963295E-3</v>
      </c>
      <c r="DG22" s="21">
        <f t="shared" ca="1" si="73"/>
        <v>1.3006032288434052E-2</v>
      </c>
      <c r="DH22" s="21">
        <f t="shared" ca="1" si="74"/>
        <v>2.4566949878153208E-2</v>
      </c>
      <c r="DI22" s="21">
        <f t="shared" ca="1" si="75"/>
        <v>4.4220509780675779E-2</v>
      </c>
      <c r="DJ22" s="21">
        <f t="shared" ca="1" si="76"/>
        <v>7.3700849634459623E-2</v>
      </c>
      <c r="DK22" s="21">
        <f t="shared" ca="1" si="77"/>
        <v>0.11055127445168944</v>
      </c>
      <c r="DM22" s="16" cm="1">
        <f t="array" aca="1" ref="DM22" ca="1">MAX(_xlfn._xlws.FILTER(CX22:DK22,CX22:DK22&lt;BV22))</f>
        <v>-6.7000772394963295E-3</v>
      </c>
      <c r="DN22" s="16" cm="1">
        <f t="array" aca="1" ref="DN22" ca="1">MIN(_xlfn._xlws.FILTER(CX22:DK22,CX22:DK22&gt;BV22))</f>
        <v>-3.4015776754365984E-3</v>
      </c>
      <c r="DO22" s="2" cm="1">
        <f t="array" aca="1" ref="DO22" ca="1">_FV(ED22,"Fechamento anterior",TRUE)</f>
        <v>12.12</v>
      </c>
      <c r="DP22" s="28">
        <f t="shared" ca="1" si="15"/>
        <v>0.53041759018399204</v>
      </c>
      <c r="DQ22" s="15">
        <f t="shared" ca="1" si="78"/>
        <v>12.038795063857304</v>
      </c>
      <c r="DR22" s="15">
        <f t="shared" ca="1" si="79"/>
        <v>12.078772878573707</v>
      </c>
      <c r="DS22" s="9"/>
      <c r="DT22" s="9"/>
      <c r="DU22" s="9"/>
      <c r="DV22" s="89">
        <v>6.3059550489377222E-3</v>
      </c>
      <c r="DW22" s="89">
        <f t="shared" ca="1" si="18"/>
        <v>3.2984995640597311E-3</v>
      </c>
      <c r="DX22" s="72">
        <f t="shared" ca="1" si="19"/>
        <v>-0.66575223686093243</v>
      </c>
      <c r="DY22" s="37"/>
      <c r="DZ22" s="35">
        <f t="shared" si="39"/>
        <v>0.20653329029480952</v>
      </c>
      <c r="EA22" s="56"/>
      <c r="EB22" s="56"/>
      <c r="ED22" s="5" t="e" vm="22">
        <v>#VALUE!</v>
      </c>
      <c r="EF22" s="10" cm="1">
        <f t="array" aca="1" ref="EF22" ca="1">_FV(ED22,"Ações em circulação",TRUE)</f>
        <v>2982811000</v>
      </c>
      <c r="EG22" s="18">
        <f>VLOOKUP(BQ22,Fundamentus!A:U,5,FALSE)</f>
        <v>1.532</v>
      </c>
      <c r="EH22" s="2">
        <f t="shared" ca="1" si="20"/>
        <v>23480875104.438641</v>
      </c>
      <c r="EI22" s="17">
        <v>3036698245.4614887</v>
      </c>
      <c r="EJ22" s="17">
        <f t="shared" ca="1" si="21"/>
        <v>2975026875.7323761</v>
      </c>
      <c r="EK22" s="2"/>
      <c r="EL22" s="16">
        <f t="shared" ca="1" si="22"/>
        <v>-2.0308692120227567E-2</v>
      </c>
      <c r="EM22" s="32" t="str">
        <f>IF(VLOOKUP(BQ22,Fundamentus!A:U,3,FALSE)&lt;15,"Bom",IF(VLOOKUP(BQ22,Fundamentus!A:U,3,FALSE)&gt;15,"Ruim","n/a"))</f>
        <v>Bom</v>
      </c>
      <c r="EN22" s="28" t="str">
        <f>IF(VLOOKUP(BQ22,Fundamentus!A:U,4,FALSE)&lt;1,"Baixo",IF(VLOOKUP(BQ22,Fundamentus!A:U,4,FALSE)&lt;1.5,"Moderado",IF(VLOOKUP(BQ22,Fundamentus!A:U,4,FALSE)&gt;1.5,"Alto","n/a")))</f>
        <v>Moderado</v>
      </c>
      <c r="EO22" s="17" t="str">
        <f>IF(VLOOKUP(BQ22,Fundamentus!A:U,8,FALSE)&lt;0,"Risco elevado",IF(VLOOKUP(BQ22,Fundamentus!A:U,8,FALSE)&lt;1,"Saudável",IF(VLOOKUP(BQ22,Fundamentus!A:U,8,FALSE)&lt;3,"Estável",IF(VLOOKUP(BQ22,Fundamentus!A:U,8,FALSE)&gt;3,"Alerta","n/a"))))</f>
        <v>Alerta</v>
      </c>
      <c r="EP22" s="28" t="str">
        <f t="shared" si="23"/>
        <v>Bom</v>
      </c>
      <c r="EQ22" s="17" t="str">
        <f>IF(VLOOKUP(BQ22,Fundamentus!A:U,12,FALSE)&lt;2,"Subvalorizada",IF(VLOOKUP(BQ22,Fundamentus!A:U,12,FALSE)&lt;6,"Muita barata",IF(VLOOKUP(BQ22,Fundamentus!A:U,12,FALSE)&lt;6,"Barata",IF(VLOOKUP(BQ22,Fundamentus!A:U,12,FALSE)&lt;8,"Atrativa",IF(VLOOKUP(BQ22,Fundamentus!A:U,12,FALSE)&gt;8,"Supervalorizada","n/a")))))</f>
        <v>Supervalorizada</v>
      </c>
      <c r="ER22" s="2"/>
      <c r="ES22" s="17" t="str">
        <f>IF(VLOOKUP(BQ22,Fundamentus!A:U,17,FALSE)&lt;0.1,"Fraco retorno",IF(VLOOKUP(BQ22,Fundamentus!A:U,17,FALSE)&gt;0.1,"Bom retorno","n/a"))</f>
        <v>Bom retorno</v>
      </c>
      <c r="ET22" s="17" t="str">
        <f>IF(VLOOKUP(BQ22,Fundamentus!A:U,16,FALSE)&lt;0.1,"Ineficiente",IF(VLOOKUP(BQ22,Fundamentus!A:U,16,FALSE)&gt;0.1,"Eficiente","n/a"))</f>
        <v>Ineficiente</v>
      </c>
      <c r="EU22" s="33" t="str">
        <f>IF(VLOOKUP(BQ22,Fundamentus!A:U,16,FALSE)&lt;0.1,"Oper. Ineficiente",IF(VLOOKUP(BQ22,Fundamentus!A:U,16,FALSE)&gt;0.1,"Oper.Eficiente","n/a"))</f>
        <v>Oper. Ineficiente</v>
      </c>
      <c r="EV22" s="34">
        <f>VLOOKUP(BQ22,Fundamentus!A:U,14,FALSE)</f>
        <v>0.12670000000000001</v>
      </c>
      <c r="EW22" s="17" t="str">
        <f>IF(VLOOKUP(BQ22,Fundamentus!A:U,21,FALSE)&lt;0,"Negativo",IF(VLOOKUP(BQ22,Fundamentus!A:U,21,FALSE)&lt;0.05,"Fraco",IF(VLOOKUP(BQ22,Fundamentus!A:U,21,FALSE)&lt;0.1,"Bom",IF(VLOOKUP(BQ22,Fundamentus!A:U,21,FALSE)&gt;0.1,"Muito bom","n/a"))))</f>
        <v>Fraco</v>
      </c>
      <c r="EY22" s="29" t="str">
        <f>IF(VLOOKUP(BQ22,Fundamentus!A:U,15,FALSE)&gt;1,"Bom",IF(VLOOKUP(BQ22,Fundamentus!A:U,15,FALSE)&lt;1,"Ruim","n/a"))</f>
        <v>Bom</v>
      </c>
      <c r="EZ22" s="17" t="str">
        <f>IF(VLOOKUP(BQ22,Fundamentus!A:U,20,FALSE)&lt;0.5,"Baixa",IF(VLOOKUP(BQ22,Fundamentus!A:U,20,FALSE)&lt;1,"Moderada",IF(VLOOKUP(BQ22,Fundamentus!A:U,20,FALSE)&lt;2,"Alerta",IF(VLOOKUP(BQ22,Fundamentus!A:U,20,FALSE)&gt;2,"Alta","n/a"))))</f>
        <v>Moderada</v>
      </c>
    </row>
    <row r="23" spans="1:157" s="2" customFormat="1" ht="11.25" hidden="1" x14ac:dyDescent="0.2">
      <c r="A23" s="4">
        <v>22.9</v>
      </c>
      <c r="B23" s="4">
        <v>22.09</v>
      </c>
      <c r="C23" s="4">
        <v>21.71</v>
      </c>
      <c r="D23" s="4">
        <v>20.91</v>
      </c>
      <c r="E23" s="4">
        <v>20.5</v>
      </c>
      <c r="F23" s="4">
        <v>20.49</v>
      </c>
      <c r="G23" s="4">
        <v>19.57</v>
      </c>
      <c r="H23" s="4">
        <v>19.440000000000001</v>
      </c>
      <c r="I23" s="4">
        <v>19.63</v>
      </c>
      <c r="J23" s="4">
        <v>19.25</v>
      </c>
      <c r="K23" s="4">
        <v>19.38</v>
      </c>
      <c r="L23" s="4">
        <v>19.309999999999999</v>
      </c>
      <c r="M23" s="4">
        <v>18.96</v>
      </c>
      <c r="N23" s="4">
        <v>17.600000000000001</v>
      </c>
      <c r="O23" s="4">
        <v>17.96</v>
      </c>
      <c r="P23" s="4">
        <v>17.7</v>
      </c>
      <c r="Q23" s="4">
        <v>18</v>
      </c>
      <c r="R23" s="4">
        <v>18.05</v>
      </c>
      <c r="S23" s="4">
        <v>18.02</v>
      </c>
      <c r="T23" s="4">
        <v>18</v>
      </c>
      <c r="U23" s="4">
        <v>17.71</v>
      </c>
      <c r="V23" s="4">
        <v>17.850000000000001</v>
      </c>
      <c r="W23" s="4">
        <v>17.96</v>
      </c>
      <c r="X23" s="4">
        <v>17.899999999999999</v>
      </c>
      <c r="Y23" s="4">
        <v>17.5</v>
      </c>
      <c r="Z23" s="4">
        <v>17.64</v>
      </c>
      <c r="AA23" s="4">
        <v>17.61</v>
      </c>
      <c r="AB23" s="4">
        <v>18.010000000000002</v>
      </c>
      <c r="AC23" s="4">
        <v>18.13</v>
      </c>
      <c r="AD23" s="4">
        <v>18.850000000000001</v>
      </c>
      <c r="AE23" s="4">
        <v>16.989999999999998</v>
      </c>
      <c r="AF23" s="4">
        <v>16.989999999999998</v>
      </c>
      <c r="AG23" s="4">
        <v>16.899999999999999</v>
      </c>
      <c r="AH23" s="4">
        <v>16.8</v>
      </c>
      <c r="AI23" s="4">
        <v>16.850000000000001</v>
      </c>
      <c r="AJ23" s="4">
        <v>17.600000000000001</v>
      </c>
      <c r="AK23" s="4">
        <v>17.079999999999998</v>
      </c>
      <c r="AL23" s="4">
        <v>17.100000000000001</v>
      </c>
      <c r="AM23" s="4">
        <v>17.38</v>
      </c>
      <c r="AN23" s="4">
        <v>17.61</v>
      </c>
      <c r="AO23" s="4">
        <v>17.8</v>
      </c>
      <c r="AP23" s="4">
        <v>17.649999999999999</v>
      </c>
      <c r="AQ23" s="4">
        <v>17.62</v>
      </c>
      <c r="AR23" s="4">
        <v>17.899999999999999</v>
      </c>
      <c r="AS23" s="4">
        <v>18.3</v>
      </c>
      <c r="AT23" s="4">
        <v>18.95</v>
      </c>
      <c r="AU23" s="4">
        <v>18.555</v>
      </c>
      <c r="AV23" s="4">
        <v>19.8</v>
      </c>
      <c r="AW23" s="4">
        <v>19.55</v>
      </c>
      <c r="AX23" s="4">
        <v>19.920000000000002</v>
      </c>
      <c r="AY23" s="12">
        <v>21.28</v>
      </c>
      <c r="AZ23" s="12">
        <v>21.64</v>
      </c>
      <c r="BA23" s="12">
        <v>22.58</v>
      </c>
      <c r="BB23" s="15">
        <v>20.12</v>
      </c>
      <c r="BC23" s="52">
        <v>20.7</v>
      </c>
      <c r="BD23" s="52">
        <v>20.95</v>
      </c>
      <c r="BE23" s="52">
        <v>20.95</v>
      </c>
      <c r="BF23" s="52">
        <v>21</v>
      </c>
      <c r="BG23" s="67">
        <v>21.1</v>
      </c>
      <c r="BH23" s="52">
        <v>20.72</v>
      </c>
      <c r="BI23" s="52">
        <v>21</v>
      </c>
      <c r="BJ23" s="52">
        <v>21.6</v>
      </c>
      <c r="BK23" s="52">
        <v>21.73</v>
      </c>
      <c r="BL23" s="52">
        <v>21.15</v>
      </c>
      <c r="BM23" s="52">
        <v>21.15</v>
      </c>
      <c r="BN23" s="52">
        <v>20.9</v>
      </c>
      <c r="BO23" s="52">
        <v>20.75</v>
      </c>
      <c r="BP23" s="52" cm="1">
        <f t="array" aca="1" ref="BP23" ca="1">_FV(ED23,"Preço")</f>
        <v>24</v>
      </c>
      <c r="BQ23" s="69" t="s">
        <v>20</v>
      </c>
      <c r="BR23" s="36" cm="1">
        <f t="array" aca="1" ref="BR23" ca="1">_FV(ED23,"Média de volume",TRUE)</f>
        <v>6620</v>
      </c>
      <c r="BS23" s="36">
        <v>2600</v>
      </c>
      <c r="BT23" s="36" cm="1">
        <f t="array" aca="1" ref="BT23" ca="1">_FV(ED23,"Volume")</f>
        <v>13500</v>
      </c>
      <c r="BU23" s="24" cm="1">
        <f t="array" aca="1" ref="BU23" ca="1">_FV(ED23,"Beta")</f>
        <v>0.64780000000000004</v>
      </c>
      <c r="BV23" s="71" cm="1">
        <f t="array" aca="1" ref="BV23" ca="1">_FV(ED23,"Variação (%)",TRUE)</f>
        <v>2.2147E-2</v>
      </c>
      <c r="BX23" s="17" cm="1">
        <f t="array" aca="1" ref="BX23" ca="1">_FV(ED23,"Baixo")</f>
        <v>23.48</v>
      </c>
      <c r="BY23" s="17" cm="1">
        <f t="array" aca="1" ref="BY23" ca="1">_FV(ED23,"Alto")</f>
        <v>24</v>
      </c>
      <c r="BZ23" s="24"/>
      <c r="CA23" s="63">
        <f ca="1">SQRT(22.5*(BP23/VLOOKUP(BQ23,Fundamentus!A:U,3,FALSE))*(BP23/VLOOKUP(BQ23,Fundamentus!A:U,4,FALSE)))</f>
        <v>33.927557187198836</v>
      </c>
      <c r="CC23" s="62">
        <f t="shared" ca="1" si="24"/>
        <v>0.15662650602409639</v>
      </c>
      <c r="CD23" s="8"/>
      <c r="CE23" s="61">
        <f t="shared" si="25"/>
        <v>16.8</v>
      </c>
      <c r="CF23" s="61">
        <f t="shared" si="26"/>
        <v>22.9</v>
      </c>
      <c r="CG23" s="61">
        <f t="shared" si="27"/>
        <v>19.183507462686563</v>
      </c>
      <c r="CH23" s="14"/>
      <c r="CI23" s="35">
        <f t="shared" si="1"/>
        <v>19.956916172924384</v>
      </c>
      <c r="CJ23" s="15">
        <f t="shared" si="28"/>
        <v>20.625</v>
      </c>
      <c r="CK23" s="35">
        <f t="shared" si="2"/>
        <v>21.293083827075616</v>
      </c>
      <c r="CM23" s="14"/>
      <c r="CN23" s="17">
        <f t="shared" si="3"/>
        <v>11.300000000000008</v>
      </c>
      <c r="CO23" s="17">
        <f t="shared" si="4"/>
        <v>14.050000000000004</v>
      </c>
      <c r="CP23" s="17">
        <f t="shared" si="5"/>
        <v>17.400000000000006</v>
      </c>
      <c r="CQ23" s="38">
        <f t="shared" si="29"/>
        <v>20.150000000000002</v>
      </c>
      <c r="CR23" s="17">
        <f t="shared" si="6"/>
        <v>23.500000000000004</v>
      </c>
      <c r="CS23" s="17">
        <f t="shared" si="7"/>
        <v>26.25</v>
      </c>
      <c r="CT23" s="17">
        <f t="shared" si="8"/>
        <v>29.6</v>
      </c>
      <c r="CU23" s="2" cm="1">
        <f t="array" aca="1" ref="CU23" ca="1">MAX(_xlfn._xlws.FILTER(CN23:CT23,CN23:CT23&lt;BP23))</f>
        <v>23.500000000000004</v>
      </c>
      <c r="CV23" s="2" cm="1">
        <f t="array" aca="1" ref="CV23" ca="1">MIN(_xlfn._xlws.FILTER($CN23:$CT23,$CN23:$CT23&gt;BP23))</f>
        <v>26.25</v>
      </c>
      <c r="CW23" s="16">
        <f t="shared" ca="1" si="63"/>
        <v>0.11702127659574457</v>
      </c>
      <c r="CX23" s="20">
        <f t="shared" ca="1" si="64"/>
        <v>-5.8510638297872286E-2</v>
      </c>
      <c r="CY23" s="20">
        <f t="shared" ca="1" si="65"/>
        <v>-3.9007092198581526E-2</v>
      </c>
      <c r="CZ23" s="20">
        <f t="shared" ca="1" si="66"/>
        <v>-2.3404255319148914E-2</v>
      </c>
      <c r="DA23" s="20">
        <f t="shared" ca="1" si="67"/>
        <v>-1.3002364066193841E-2</v>
      </c>
      <c r="DB23" s="20">
        <f t="shared" ca="1" si="68"/>
        <v>-6.8836045056320334E-3</v>
      </c>
      <c r="DC23" s="20">
        <f t="shared" ca="1" si="69"/>
        <v>-3.5460992907801387E-3</v>
      </c>
      <c r="DD23" s="20">
        <f t="shared" ca="1" si="70"/>
        <v>-1.8003273322422242E-3</v>
      </c>
      <c r="DE23" s="21">
        <f t="shared" ca="1" si="71"/>
        <v>1.8003273322422242E-3</v>
      </c>
      <c r="DF23" s="21">
        <f t="shared" ca="1" si="72"/>
        <v>3.5460992907801387E-3</v>
      </c>
      <c r="DG23" s="21">
        <f t="shared" ca="1" si="73"/>
        <v>6.8836045056320334E-3</v>
      </c>
      <c r="DH23" s="21">
        <f t="shared" ca="1" si="74"/>
        <v>1.3002364066193841E-2</v>
      </c>
      <c r="DI23" s="21">
        <f t="shared" ca="1" si="75"/>
        <v>2.3404255319148914E-2</v>
      </c>
      <c r="DJ23" s="21">
        <f t="shared" ca="1" si="76"/>
        <v>3.9007092198581526E-2</v>
      </c>
      <c r="DK23" s="21">
        <f t="shared" ca="1" si="77"/>
        <v>5.8510638297872286E-2</v>
      </c>
      <c r="DM23" s="16" cm="1">
        <f t="array" aca="1" ref="DM23" ca="1">MAX(_xlfn._xlws.FILTER(CX23:DK23,CX23:DK23&lt;BV23))</f>
        <v>1.3002364066193841E-2</v>
      </c>
      <c r="DN23" s="16" cm="1">
        <f t="array" aca="1" ref="DN23" ca="1">MIN(_xlfn._xlws.FILTER(CX23:DK23,CX23:DK23&gt;BV23))</f>
        <v>2.3404255319148914E-2</v>
      </c>
      <c r="DO23" s="2" cm="1">
        <f t="array" aca="1" ref="DO23" ca="1">_FV(ED23,"Fechamento anterior",TRUE)</f>
        <v>23.48</v>
      </c>
      <c r="DP23" s="28">
        <f t="shared" ca="1" si="15"/>
        <v>0.87908471426358914</v>
      </c>
      <c r="DQ23" s="15">
        <f t="shared" ca="1" si="78"/>
        <v>23.785295508274231</v>
      </c>
      <c r="DR23" s="15">
        <f t="shared" ca="1" si="79"/>
        <v>24.029531914893617</v>
      </c>
      <c r="DS23" s="9"/>
      <c r="DT23" s="9"/>
      <c r="DU23" s="9"/>
      <c r="DV23" s="89">
        <v>2.4802327531856082E-3</v>
      </c>
      <c r="DW23" s="89">
        <f t="shared" ca="1" si="18"/>
        <v>1.0401891252955073E-2</v>
      </c>
      <c r="DX23" s="72">
        <f t="shared" ca="1" si="19"/>
        <v>5.0517612659077358</v>
      </c>
      <c r="DY23" s="37"/>
      <c r="DZ23" s="35">
        <f t="shared" si="39"/>
        <v>0.33404191353780771</v>
      </c>
      <c r="EA23" s="56"/>
      <c r="EB23" s="56"/>
      <c r="ED23" s="2" t="e" vm="23">
        <v>#VALUE!</v>
      </c>
      <c r="EF23" s="10" cm="1">
        <f t="array" aca="1" ref="EF23" ca="1">_FV(ED23,"Ações em circulação",TRUE)</f>
        <v>72081910</v>
      </c>
      <c r="EG23" s="18">
        <f>VLOOKUP(BQ23,Fundamentus!A:U,5,FALSE)</f>
        <v>3.8490000000000002</v>
      </c>
      <c r="EH23" s="2">
        <f t="shared" ca="1" si="20"/>
        <v>449458519.095869</v>
      </c>
      <c r="EI23" s="17">
        <v>234089233.20810601</v>
      </c>
      <c r="EJ23" s="17">
        <f t="shared" ca="1" si="21"/>
        <v>270753811.90335149</v>
      </c>
      <c r="EL23" s="16">
        <f t="shared" ca="1" si="22"/>
        <v>0.15662650602409611</v>
      </c>
      <c r="EM23" s="32" t="str">
        <f>IF(VLOOKUP(BQ23,Fundamentus!A:U,3,FALSE)&lt;15,"Bom",IF(VLOOKUP(BQ23,Fundamentus!A:U,3,FALSE)&gt;15,"Ruim","n/a"))</f>
        <v>Bom</v>
      </c>
      <c r="EN23" s="28" t="str">
        <f>IF(VLOOKUP(BQ23,Fundamentus!A:U,4,FALSE)&lt;1,"Baixo",IF(VLOOKUP(BQ23,Fundamentus!A:U,4,FALSE)&lt;1.5,"Moderado",IF(VLOOKUP(BQ23,Fundamentus!A:U,4,FALSE)&gt;1.5,"Alto","n/a")))</f>
        <v>Moderado</v>
      </c>
      <c r="EO23" s="17" t="str">
        <f>IF(VLOOKUP(BQ23,Fundamentus!A:U,8,FALSE)&lt;0,"Risco elevado",IF(VLOOKUP(BQ23,Fundamentus!A:U,8,FALSE)&lt;1,"Saudável",IF(VLOOKUP(BQ23,Fundamentus!A:U,8,FALSE)&lt;3,"Estável",IF(VLOOKUP(BQ23,Fundamentus!A:U,8,FALSE)&gt;3,"Alerta","n/a"))))</f>
        <v>Estável</v>
      </c>
      <c r="EP23" s="28" t="str">
        <f t="shared" si="23"/>
        <v>Bom</v>
      </c>
      <c r="EQ23" s="17" t="str">
        <f>IF(VLOOKUP(BQ23,Fundamentus!A:U,12,FALSE)&lt;2,"Subvalorizada",IF(VLOOKUP(BQ23,Fundamentus!A:U,12,FALSE)&lt;6,"Muita barata",IF(VLOOKUP(BQ23,Fundamentus!A:U,12,FALSE)&lt;6,"Barata",IF(VLOOKUP(BQ23,Fundamentus!A:U,12,FALSE)&lt;8,"Atrativa",IF(VLOOKUP(BQ23,Fundamentus!A:U,12,FALSE)&gt;8,"Supervalorizada","n/a")))))</f>
        <v>Muita barata</v>
      </c>
      <c r="ES23" s="17" t="str">
        <f>IF(VLOOKUP(BQ23,Fundamentus!A:U,17,FALSE)&lt;0.1,"Fraco retorno",IF(VLOOKUP(BQ23,Fundamentus!A:U,17,FALSE)&gt;0.1,"Bom retorno","n/a"))</f>
        <v>Bom retorno</v>
      </c>
      <c r="ET23" s="17" t="str">
        <f>IF(VLOOKUP(BQ23,Fundamentus!A:U,16,FALSE)&lt;0.1,"Ineficiente",IF(VLOOKUP(BQ23,Fundamentus!A:U,16,FALSE)&gt;0.1,"Eficiente","n/a"))</f>
        <v>Eficiente</v>
      </c>
      <c r="EU23" s="33" t="str">
        <f>IF(VLOOKUP(BQ23,Fundamentus!A:U,16,FALSE)&lt;0.1,"Oper. Ineficiente",IF(VLOOKUP(BQ23,Fundamentus!A:U,16,FALSE)&gt;0.1,"Oper.Eficiente","n/a"))</f>
        <v>Oper.Eficiente</v>
      </c>
      <c r="EV23" s="34">
        <f>VLOOKUP(BQ23,Fundamentus!A:U,14,FALSE)</f>
        <v>0.60240000000000005</v>
      </c>
      <c r="EW23" s="17" t="str">
        <f>IF(VLOOKUP(BQ23,Fundamentus!A:U,21,FALSE)&lt;0,"Negativo",IF(VLOOKUP(BQ23,Fundamentus!A:U,21,FALSE)&lt;0.05,"Fraco",IF(VLOOKUP(BQ23,Fundamentus!A:U,21,FALSE)&lt;0.1,"Bom",IF(VLOOKUP(BQ23,Fundamentus!A:U,21,FALSE)&gt;0.1,"Muito bom","n/a"))))</f>
        <v>Fraco</v>
      </c>
      <c r="EY23" s="29" t="str">
        <f>IF(VLOOKUP(BQ23,Fundamentus!A:U,15,FALSE)&gt;1,"Bom",IF(VLOOKUP(BQ23,Fundamentus!A:U,15,FALSE)&lt;1,"Ruim","n/a"))</f>
        <v>Bom</v>
      </c>
      <c r="EZ23" s="17" t="str">
        <f>IF(VLOOKUP(BQ23,Fundamentus!A:U,20,FALSE)&lt;0.5,"Baixa",IF(VLOOKUP(BQ23,Fundamentus!A:U,20,FALSE)&lt;1,"Moderada",IF(VLOOKUP(BQ23,Fundamentus!A:U,20,FALSE)&lt;2,"Alerta",IF(VLOOKUP(BQ23,Fundamentus!A:U,20,FALSE)&gt;2,"Alta","n/a"))))</f>
        <v>Baixa</v>
      </c>
    </row>
    <row r="24" spans="1:157" s="2" customFormat="1" ht="11.25" hidden="1" x14ac:dyDescent="0.2">
      <c r="A24" s="4">
        <v>13.18</v>
      </c>
      <c r="B24" s="4">
        <v>12.55</v>
      </c>
      <c r="C24" s="4">
        <v>12.06</v>
      </c>
      <c r="D24" s="4">
        <v>11.58</v>
      </c>
      <c r="E24" s="4">
        <v>11.51</v>
      </c>
      <c r="F24" s="4">
        <v>11.01</v>
      </c>
      <c r="G24" s="4">
        <v>10.3</v>
      </c>
      <c r="H24" s="4">
        <v>10.19</v>
      </c>
      <c r="I24" s="4">
        <v>10.76</v>
      </c>
      <c r="J24" s="4">
        <v>11.41</v>
      </c>
      <c r="K24" s="4">
        <v>10.7</v>
      </c>
      <c r="L24" s="4">
        <v>10.71</v>
      </c>
      <c r="M24" s="4">
        <v>10.7</v>
      </c>
      <c r="N24" s="4">
        <v>10.56</v>
      </c>
      <c r="O24" s="4">
        <v>10.77</v>
      </c>
      <c r="P24" s="4">
        <v>11.96</v>
      </c>
      <c r="Q24" s="4">
        <v>14.39</v>
      </c>
      <c r="R24" s="4">
        <v>13.28</v>
      </c>
      <c r="S24" s="4">
        <v>13.17</v>
      </c>
      <c r="T24" s="4">
        <v>13.3</v>
      </c>
      <c r="U24" s="4">
        <v>12.81</v>
      </c>
      <c r="V24" s="4">
        <v>12.29</v>
      </c>
      <c r="W24" s="4">
        <v>12.4</v>
      </c>
      <c r="X24" s="4">
        <v>12.06</v>
      </c>
      <c r="Y24" s="4">
        <v>12.44</v>
      </c>
      <c r="Z24" s="4">
        <v>12.9</v>
      </c>
      <c r="AA24" s="4">
        <v>13.55</v>
      </c>
      <c r="AB24" s="4">
        <v>14.52</v>
      </c>
      <c r="AC24" s="4">
        <v>15.27</v>
      </c>
      <c r="AD24" s="4">
        <v>15</v>
      </c>
      <c r="AE24" s="4">
        <v>14.06</v>
      </c>
      <c r="AF24" s="4">
        <v>13.94</v>
      </c>
      <c r="AG24" s="4">
        <v>13.4</v>
      </c>
      <c r="AH24" s="4">
        <v>13.2</v>
      </c>
      <c r="AI24" s="4">
        <v>13.46</v>
      </c>
      <c r="AJ24" s="4">
        <v>13</v>
      </c>
      <c r="AK24" s="4">
        <v>12.99</v>
      </c>
      <c r="AL24" s="4">
        <v>13.58</v>
      </c>
      <c r="AM24" s="4">
        <v>14.25</v>
      </c>
      <c r="AN24" s="4">
        <v>16.02</v>
      </c>
      <c r="AO24" s="4">
        <v>16.2</v>
      </c>
      <c r="AP24" s="4">
        <v>16.440000000000001</v>
      </c>
      <c r="AQ24" s="4">
        <v>16.91</v>
      </c>
      <c r="AR24" s="4">
        <v>16.37</v>
      </c>
      <c r="AS24" s="4">
        <v>16.260000000000002</v>
      </c>
      <c r="AT24" s="4">
        <v>17.45</v>
      </c>
      <c r="AU24" s="4">
        <v>17.385000000000002</v>
      </c>
      <c r="AV24" s="4">
        <v>16.739999999999998</v>
      </c>
      <c r="AW24" s="4">
        <v>16.88</v>
      </c>
      <c r="AX24" s="4">
        <v>17.100000000000001</v>
      </c>
      <c r="AY24" s="12">
        <v>17.649999999999999</v>
      </c>
      <c r="AZ24" s="12">
        <v>17.170000000000002</v>
      </c>
      <c r="BA24" s="12">
        <v>16.95</v>
      </c>
      <c r="BB24" s="15">
        <v>16.34</v>
      </c>
      <c r="BC24" s="52">
        <v>16.93</v>
      </c>
      <c r="BD24" s="52">
        <v>16.46</v>
      </c>
      <c r="BE24" s="52">
        <v>16</v>
      </c>
      <c r="BF24" s="52">
        <v>15.89</v>
      </c>
      <c r="BG24" s="67">
        <v>15.11</v>
      </c>
      <c r="BH24" s="52">
        <v>15.01</v>
      </c>
      <c r="BI24" s="52">
        <v>14.62</v>
      </c>
      <c r="BJ24" s="52">
        <v>15.46</v>
      </c>
      <c r="BK24" s="52">
        <v>15.56</v>
      </c>
      <c r="BL24" s="52">
        <v>15.25</v>
      </c>
      <c r="BM24" s="52">
        <v>15</v>
      </c>
      <c r="BN24" s="52">
        <v>14.95</v>
      </c>
      <c r="BO24" s="52">
        <v>15.29</v>
      </c>
      <c r="BP24" s="52" cm="1">
        <f t="array" aca="1" ref="BP24" ca="1">_FV(ED24,"Preço")</f>
        <v>15.17</v>
      </c>
      <c r="BQ24" s="69" t="s">
        <v>21</v>
      </c>
      <c r="BR24" s="36" cm="1">
        <f t="array" aca="1" ref="BR24" ca="1">_FV(ED24,"Média de volume",TRUE)</f>
        <v>284040</v>
      </c>
      <c r="BS24" s="36">
        <v>257900</v>
      </c>
      <c r="BT24" s="36" cm="1">
        <f t="array" aca="1" ref="BT24" ca="1">_FV(ED24,"Volume")</f>
        <v>135400</v>
      </c>
      <c r="BU24" s="24" cm="1">
        <f t="array" aca="1" ref="BU24" ca="1">_FV(ED24,"Beta")</f>
        <v>0.99760000000000004</v>
      </c>
      <c r="BV24" s="71" cm="1">
        <f t="array" aca="1" ref="BV24" ca="1">_FV(ED24,"Variação (%)",TRUE)</f>
        <v>1.1332999999999999E-2</v>
      </c>
      <c r="BX24" s="17" cm="1">
        <f t="array" aca="1" ref="BX24" ca="1">_FV(ED24,"Baixo")</f>
        <v>15</v>
      </c>
      <c r="BY24" s="17" cm="1">
        <f t="array" aca="1" ref="BY24" ca="1">_FV(ED24,"Alto")</f>
        <v>15.17</v>
      </c>
      <c r="BZ24" s="24"/>
      <c r="CA24" s="63">
        <f ca="1">SQRT(22.5*(BP24/VLOOKUP(BQ24,Fundamentus!A:U,3,FALSE))*(BP24/VLOOKUP(BQ24,Fundamentus!A:U,4,FALSE)))</f>
        <v>6.132109053001952</v>
      </c>
      <c r="CC24" s="62">
        <f t="shared" ca="1" si="24"/>
        <v>-7.8482668410725463E-3</v>
      </c>
      <c r="CD24" s="8"/>
      <c r="CE24" s="61">
        <f t="shared" si="25"/>
        <v>10.19</v>
      </c>
      <c r="CF24" s="61">
        <f t="shared" si="26"/>
        <v>17.649999999999999</v>
      </c>
      <c r="CG24" s="61">
        <f t="shared" si="27"/>
        <v>14.068731343283583</v>
      </c>
      <c r="CH24" s="14"/>
      <c r="CI24" s="35">
        <f t="shared" si="1"/>
        <v>14.699818219368407</v>
      </c>
      <c r="CJ24" s="15">
        <f t="shared" si="28"/>
        <v>15.14</v>
      </c>
      <c r="CK24" s="35">
        <f t="shared" si="2"/>
        <v>15.580181780631595</v>
      </c>
      <c r="CM24" s="14"/>
      <c r="CN24" s="17">
        <f t="shared" si="3"/>
        <v>3.6433333333333326</v>
      </c>
      <c r="CO24" s="17">
        <f t="shared" si="4"/>
        <v>6.9166666666666661</v>
      </c>
      <c r="CP24" s="17">
        <f t="shared" si="5"/>
        <v>11.103333333333332</v>
      </c>
      <c r="CQ24" s="38">
        <f t="shared" si="29"/>
        <v>14.376666666666665</v>
      </c>
      <c r="CR24" s="17">
        <f t="shared" si="6"/>
        <v>18.563333333333333</v>
      </c>
      <c r="CS24" s="17">
        <f t="shared" si="7"/>
        <v>21.836666666666666</v>
      </c>
      <c r="CT24" s="17">
        <f t="shared" si="8"/>
        <v>26.02333333333333</v>
      </c>
      <c r="CU24" s="2" cm="1">
        <f t="array" aca="1" ref="CU24" ca="1">MAX(_xlfn._xlws.FILTER(CN24:CT24,CN24:CT24&lt;BP24))</f>
        <v>14.376666666666665</v>
      </c>
      <c r="CV24" s="2" cm="1">
        <f t="array" aca="1" ref="CV24" ca="1">MIN(_xlfn._xlws.FILTER($CN24:$CT24,$CN24:$CT24&gt;BP24))</f>
        <v>18.563333333333333</v>
      </c>
      <c r="CW24" s="16">
        <f t="shared" ca="1" si="63"/>
        <v>0.29121261303037338</v>
      </c>
      <c r="CX24" s="20">
        <f t="shared" ca="1" si="64"/>
        <v>-0.14560630651518669</v>
      </c>
      <c r="CY24" s="20">
        <f t="shared" ca="1" si="65"/>
        <v>-9.707087101012446E-2</v>
      </c>
      <c r="CZ24" s="20">
        <f t="shared" ca="1" si="66"/>
        <v>-5.8242522606074675E-2</v>
      </c>
      <c r="DA24" s="20">
        <f t="shared" ca="1" si="67"/>
        <v>-3.235695700337482E-2</v>
      </c>
      <c r="DB24" s="20">
        <f t="shared" ca="1" si="68"/>
        <v>-1.7130153707669023E-2</v>
      </c>
      <c r="DC24" s="20">
        <f t="shared" ca="1" si="69"/>
        <v>-8.8246246372840412E-3</v>
      </c>
      <c r="DD24" s="20">
        <f t="shared" ca="1" si="70"/>
        <v>-4.4801940466211287E-3</v>
      </c>
      <c r="DE24" s="21">
        <f t="shared" ca="1" si="71"/>
        <v>4.4801940466211287E-3</v>
      </c>
      <c r="DF24" s="21">
        <f t="shared" ca="1" si="72"/>
        <v>8.8246246372840412E-3</v>
      </c>
      <c r="DG24" s="21">
        <f t="shared" ca="1" si="73"/>
        <v>1.7130153707669023E-2</v>
      </c>
      <c r="DH24" s="21">
        <f t="shared" ca="1" si="74"/>
        <v>3.235695700337482E-2</v>
      </c>
      <c r="DI24" s="21">
        <f t="shared" ca="1" si="75"/>
        <v>5.8242522606074675E-2</v>
      </c>
      <c r="DJ24" s="21">
        <f t="shared" ca="1" si="76"/>
        <v>9.707087101012446E-2</v>
      </c>
      <c r="DK24" s="21">
        <f t="shared" ca="1" si="77"/>
        <v>0.14560630651518669</v>
      </c>
      <c r="DM24" s="16" cm="1">
        <f t="array" aca="1" ref="DM24" ca="1">MAX(_xlfn._xlws.FILTER(CX24:DK24,CX24:DK24&lt;BV24))</f>
        <v>8.8246246372840412E-3</v>
      </c>
      <c r="DN24" s="16" cm="1">
        <f t="array" aca="1" ref="DN24" ca="1">MIN(_xlfn._xlws.FILTER(CX24:DK24,CX24:DK24&gt;BV24))</f>
        <v>1.7130153707669023E-2</v>
      </c>
      <c r="DO24" s="2" cm="1">
        <f t="array" aca="1" ref="DO24" ca="1">_FV(ED24,"Fechamento anterior",TRUE)</f>
        <v>15</v>
      </c>
      <c r="DP24" s="28">
        <f t="shared" ca="1" si="15"/>
        <v>0.30205284633758012</v>
      </c>
      <c r="DQ24" s="15">
        <f t="shared" ca="1" si="78"/>
        <v>15.13236936955926</v>
      </c>
      <c r="DR24" s="15">
        <f t="shared" ca="1" si="79"/>
        <v>15.256952305615036</v>
      </c>
      <c r="DS24" s="9"/>
      <c r="DT24" s="9"/>
      <c r="DU24" s="9"/>
      <c r="DV24" s="89">
        <v>8.3055290703849816E-3</v>
      </c>
      <c r="DW24" s="89">
        <f t="shared" ca="1" si="18"/>
        <v>8.3055290703849816E-3</v>
      </c>
      <c r="DX24" s="72">
        <f t="shared" ca="1" si="19"/>
        <v>6.815366132817656E-2</v>
      </c>
      <c r="DY24" s="37"/>
      <c r="DZ24" s="35">
        <f t="shared" si="39"/>
        <v>0.22009089031579684</v>
      </c>
      <c r="EA24" s="56"/>
      <c r="EB24" s="56"/>
      <c r="ED24" s="2" t="e" vm="24">
        <v>#VALUE!</v>
      </c>
      <c r="EF24" s="10" cm="1">
        <f t="array" aca="1" ref="EF24" ca="1">_FV(ED24,"Ações em circulação",TRUE)</f>
        <v>56720760</v>
      </c>
      <c r="EG24" s="18">
        <f>VLOOKUP(BQ24,Fundamentus!A:U,5,FALSE)</f>
        <v>0.55900000000000005</v>
      </c>
      <c r="EH24" s="2">
        <f t="shared" ca="1" si="20"/>
        <v>1539273576.3864043</v>
      </c>
      <c r="EI24" s="17">
        <v>35838489.644436486</v>
      </c>
      <c r="EJ24" s="17">
        <f t="shared" ca="1" si="21"/>
        <v>35557219.614525937</v>
      </c>
      <c r="EL24" s="16">
        <f t="shared" ca="1" si="22"/>
        <v>-7.8482668410724266E-3</v>
      </c>
      <c r="EM24" s="32" t="str">
        <f>IF(VLOOKUP(BQ24,Fundamentus!A:U,3,FALSE)&lt;15,"Bom",IF(VLOOKUP(BQ24,Fundamentus!A:U,3,FALSE)&gt;15,"Ruim","n/a"))</f>
        <v>Ruim</v>
      </c>
      <c r="EN24" s="28" t="str">
        <f>IF(VLOOKUP(BQ24,Fundamentus!A:U,4,FALSE)&lt;1,"Baixo",IF(VLOOKUP(BQ24,Fundamentus!A:U,4,FALSE)&lt;1.5,"Moderado",IF(VLOOKUP(BQ24,Fundamentus!A:U,4,FALSE)&gt;1.5,"Alto","n/a")))</f>
        <v>Alto</v>
      </c>
      <c r="EO24" s="17" t="str">
        <f>IF(VLOOKUP(BQ24,Fundamentus!A:U,8,FALSE)&lt;0,"Risco elevado",IF(VLOOKUP(BQ24,Fundamentus!A:U,8,FALSE)&lt;1,"Saudável",IF(VLOOKUP(BQ24,Fundamentus!A:U,8,FALSE)&lt;3,"Estável",IF(VLOOKUP(BQ24,Fundamentus!A:U,8,FALSE)&gt;3,"Alerta","n/a"))))</f>
        <v>Estável</v>
      </c>
      <c r="EP24" s="28" t="str">
        <f t="shared" si="23"/>
        <v>Ruim</v>
      </c>
      <c r="EQ24" s="17" t="str">
        <f>IF(VLOOKUP(BQ24,Fundamentus!A:U,12,FALSE)&lt;2,"Subvalorizada",IF(VLOOKUP(BQ24,Fundamentus!A:U,12,FALSE)&lt;6,"Muita barata",IF(VLOOKUP(BQ24,Fundamentus!A:U,12,FALSE)&lt;6,"Barata",IF(VLOOKUP(BQ24,Fundamentus!A:U,12,FALSE)&lt;8,"Atrativa",IF(VLOOKUP(BQ24,Fundamentus!A:U,12,FALSE)&gt;8,"Supervalorizada","n/a")))))</f>
        <v>Atrativa</v>
      </c>
      <c r="ES24" s="17" t="str">
        <f>IF(VLOOKUP(BQ24,Fundamentus!A:U,17,FALSE)&lt;0.1,"Fraco retorno",IF(VLOOKUP(BQ24,Fundamentus!A:U,17,FALSE)&gt;0.1,"Bom retorno","n/a"))</f>
        <v>Fraco retorno</v>
      </c>
      <c r="ET24" s="17" t="str">
        <f>IF(VLOOKUP(BQ24,Fundamentus!A:U,16,FALSE)&lt;0.1,"Ineficiente",IF(VLOOKUP(BQ24,Fundamentus!A:U,16,FALSE)&gt;0.1,"Eficiente","n/a"))</f>
        <v>Ineficiente</v>
      </c>
      <c r="EU24" s="33" t="str">
        <f>IF(VLOOKUP(BQ24,Fundamentus!A:U,16,FALSE)&lt;0.1,"Oper. Ineficiente",IF(VLOOKUP(BQ24,Fundamentus!A:U,16,FALSE)&gt;0.1,"Oper.Eficiente","n/a"))</f>
        <v>Oper. Ineficiente</v>
      </c>
      <c r="EV24" s="34">
        <f>VLOOKUP(BQ24,Fundamentus!A:U,14,FALSE)</f>
        <v>2.3099999999999999E-2</v>
      </c>
      <c r="EW24" s="17" t="str">
        <f>IF(VLOOKUP(BQ24,Fundamentus!A:U,21,FALSE)&lt;0,"Negativo",IF(VLOOKUP(BQ24,Fundamentus!A:U,21,FALSE)&lt;0.05,"Fraco",IF(VLOOKUP(BQ24,Fundamentus!A:U,21,FALSE)&lt;0.1,"Bom",IF(VLOOKUP(BQ24,Fundamentus!A:U,21,FALSE)&gt;0.1,"Muito bom","n/a"))))</f>
        <v>Muito bom</v>
      </c>
      <c r="EY24" s="29" t="str">
        <f>IF(VLOOKUP(BQ24,Fundamentus!A:U,15,FALSE)&gt;1,"Bom",IF(VLOOKUP(BQ24,Fundamentus!A:U,15,FALSE)&lt;1,"Ruim","n/a"))</f>
        <v>Bom</v>
      </c>
      <c r="EZ24" s="17" t="str">
        <f>IF(VLOOKUP(BQ24,Fundamentus!A:U,20,FALSE)&lt;0.5,"Baixa",IF(VLOOKUP(BQ24,Fundamentus!A:U,20,FALSE)&lt;1,"Moderada",IF(VLOOKUP(BQ24,Fundamentus!A:U,20,FALSE)&lt;2,"Alerta",IF(VLOOKUP(BQ24,Fundamentus!A:U,20,FALSE)&gt;2,"Alta","n/a"))))</f>
        <v>Alerta</v>
      </c>
    </row>
    <row r="25" spans="1:157" s="2" customFormat="1" ht="11.25" hidden="1" x14ac:dyDescent="0.2">
      <c r="A25" s="4">
        <v>10.52</v>
      </c>
      <c r="B25" s="4">
        <v>10.28</v>
      </c>
      <c r="C25" s="4">
        <v>10.39</v>
      </c>
      <c r="D25" s="4">
        <v>10.35</v>
      </c>
      <c r="E25" s="4">
        <v>9.94</v>
      </c>
      <c r="F25" s="4">
        <v>10.18</v>
      </c>
      <c r="G25" s="4">
        <v>10.01</v>
      </c>
      <c r="H25" s="4">
        <v>10.51</v>
      </c>
      <c r="I25" s="4">
        <v>9.9</v>
      </c>
      <c r="J25" s="4">
        <v>10.37</v>
      </c>
      <c r="K25" s="4">
        <v>10.68</v>
      </c>
      <c r="L25" s="4">
        <v>10.55</v>
      </c>
      <c r="M25" s="4">
        <v>10.78</v>
      </c>
      <c r="N25" s="4">
        <v>10.68</v>
      </c>
      <c r="O25" s="4">
        <v>10.86</v>
      </c>
      <c r="P25" s="4">
        <v>11.61</v>
      </c>
      <c r="Q25" s="4">
        <v>12.01</v>
      </c>
      <c r="R25" s="4">
        <v>11.63</v>
      </c>
      <c r="S25" s="4">
        <v>11.84</v>
      </c>
      <c r="T25" s="4">
        <v>11.77</v>
      </c>
      <c r="U25" s="4">
        <v>11.57</v>
      </c>
      <c r="V25" s="4">
        <v>11.32</v>
      </c>
      <c r="W25" s="4">
        <v>11.16</v>
      </c>
      <c r="X25" s="4">
        <v>11.02</v>
      </c>
      <c r="Y25" s="4">
        <v>11.03</v>
      </c>
      <c r="Z25" s="4">
        <v>11.15</v>
      </c>
      <c r="AA25" s="4">
        <v>11.36</v>
      </c>
      <c r="AB25" s="4">
        <v>11.3</v>
      </c>
      <c r="AC25" s="4">
        <v>12.09</v>
      </c>
      <c r="AD25" s="4">
        <v>11.7</v>
      </c>
      <c r="AE25" s="4">
        <v>11.91</v>
      </c>
      <c r="AF25" s="4">
        <v>11.5</v>
      </c>
      <c r="AG25" s="4">
        <v>11.42</v>
      </c>
      <c r="AH25" s="4">
        <v>11.1</v>
      </c>
      <c r="AI25" s="4">
        <v>11.04</v>
      </c>
      <c r="AJ25" s="4">
        <v>10.84</v>
      </c>
      <c r="AK25" s="4">
        <v>10.47</v>
      </c>
      <c r="AL25" s="4">
        <v>10.46</v>
      </c>
      <c r="AM25" s="4">
        <v>10.5</v>
      </c>
      <c r="AN25" s="4">
        <v>10.96</v>
      </c>
      <c r="AO25" s="4">
        <v>10.97</v>
      </c>
      <c r="AP25" s="4">
        <v>11.38</v>
      </c>
      <c r="AQ25" s="4">
        <v>11.25</v>
      </c>
      <c r="AR25" s="4">
        <v>11.13</v>
      </c>
      <c r="AS25" s="4">
        <v>11.36</v>
      </c>
      <c r="AT25" s="4">
        <v>10.98</v>
      </c>
      <c r="AU25" s="4">
        <v>11.055</v>
      </c>
      <c r="AV25" s="4">
        <v>10.36</v>
      </c>
      <c r="AW25" s="4">
        <v>10</v>
      </c>
      <c r="AX25" s="4">
        <v>10.11</v>
      </c>
      <c r="AY25" s="12">
        <v>10.35</v>
      </c>
      <c r="AZ25" s="12">
        <v>10.93</v>
      </c>
      <c r="BA25" s="12">
        <v>10.95</v>
      </c>
      <c r="BB25" s="15">
        <v>10.41</v>
      </c>
      <c r="BC25" s="52">
        <v>10.53</v>
      </c>
      <c r="BD25" s="52">
        <v>10.7</v>
      </c>
      <c r="BE25" s="52">
        <v>10.84</v>
      </c>
      <c r="BF25" s="52">
        <v>10.48</v>
      </c>
      <c r="BG25" s="67">
        <v>10.57</v>
      </c>
      <c r="BH25" s="52">
        <v>10.75</v>
      </c>
      <c r="BI25" s="52">
        <v>10.48</v>
      </c>
      <c r="BJ25" s="52">
        <v>11.18</v>
      </c>
      <c r="BK25" s="52">
        <v>10.8</v>
      </c>
      <c r="BL25" s="52">
        <v>10.38</v>
      </c>
      <c r="BM25" s="52">
        <v>10.48</v>
      </c>
      <c r="BN25" s="52">
        <v>10.34</v>
      </c>
      <c r="BO25" s="52">
        <v>10.67</v>
      </c>
      <c r="BP25" s="52" cm="1">
        <f t="array" aca="1" ref="BP25" ca="1">_FV(ED25,"Preço")</f>
        <v>10.72</v>
      </c>
      <c r="BQ25" s="69" t="s">
        <v>22</v>
      </c>
      <c r="BR25" s="36" cm="1">
        <f t="array" aca="1" ref="BR25" ca="1">_FV(ED25,"Média de volume",TRUE)</f>
        <v>10984690</v>
      </c>
      <c r="BS25" s="36">
        <v>10422300</v>
      </c>
      <c r="BT25" s="36" cm="1">
        <f t="array" aca="1" ref="BT25" ca="1">_FV(ED25,"Volume")</f>
        <v>17602100</v>
      </c>
      <c r="BU25" s="24" cm="1">
        <f t="array" aca="1" ref="BU25" ca="1">_FV(ED25,"Beta")</f>
        <v>0.80830000000000002</v>
      </c>
      <c r="BV25" s="71" cm="1">
        <f t="array" aca="1" ref="BV25" ca="1">_FV(ED25,"Variação (%)",TRUE)</f>
        <v>-9.2420000000000002E-3</v>
      </c>
      <c r="BX25" s="17" cm="1">
        <f t="array" aca="1" ref="BX25" ca="1">_FV(ED25,"Baixo")</f>
        <v>10.53</v>
      </c>
      <c r="BY25" s="17" cm="1">
        <f t="array" aca="1" ref="BY25" ca="1">_FV(ED25,"Alto")</f>
        <v>10.78</v>
      </c>
      <c r="BZ25" s="24"/>
      <c r="CA25" s="63">
        <f ca="1">SQRT(22.5*(BP25/VLOOKUP(BQ25,Fundamentus!A:U,3,FALSE))*(BP25/VLOOKUP(BQ25,Fundamentus!A:U,4,FALSE)))</f>
        <v>23.541400359031268</v>
      </c>
      <c r="CC25" s="62">
        <f t="shared" ca="1" si="24"/>
        <v>4.6860356138707319E-3</v>
      </c>
      <c r="CD25" s="8"/>
      <c r="CE25" s="61">
        <f t="shared" si="25"/>
        <v>9.9</v>
      </c>
      <c r="CF25" s="61">
        <f t="shared" si="26"/>
        <v>12.09</v>
      </c>
      <c r="CG25" s="61">
        <f t="shared" si="27"/>
        <v>10.868582089552239</v>
      </c>
      <c r="CH25" s="14"/>
      <c r="CI25" s="35">
        <f t="shared" si="1"/>
        <v>10.299548862179025</v>
      </c>
      <c r="CJ25" s="15">
        <f t="shared" si="28"/>
        <v>10.649999999999977</v>
      </c>
      <c r="CK25" s="35">
        <f t="shared" si="2"/>
        <v>11.00045113782093</v>
      </c>
      <c r="CM25" s="14"/>
      <c r="CN25" s="17">
        <f t="shared" si="3"/>
        <v>7.4933333333333376</v>
      </c>
      <c r="CO25" s="17">
        <f t="shared" si="4"/>
        <v>8.696666666666669</v>
      </c>
      <c r="CP25" s="17">
        <f t="shared" si="5"/>
        <v>9.6833333333333371</v>
      </c>
      <c r="CQ25" s="38">
        <f t="shared" si="29"/>
        <v>10.886666666666668</v>
      </c>
      <c r="CR25" s="17">
        <f t="shared" si="6"/>
        <v>11.873333333333337</v>
      </c>
      <c r="CS25" s="17">
        <f t="shared" si="7"/>
        <v>13.076666666666668</v>
      </c>
      <c r="CT25" s="17">
        <f t="shared" si="8"/>
        <v>14.063333333333336</v>
      </c>
      <c r="CU25" s="2" cm="1">
        <f t="array" aca="1" ref="CU25" ca="1">MAX(_xlfn._xlws.FILTER(CN25:CT25,CN25:CT25&lt;BP25))</f>
        <v>9.6833333333333371</v>
      </c>
      <c r="CV25" s="2" cm="1">
        <f t="array" aca="1" ref="CV25" ca="1">MIN(_xlfn._xlws.FILTER($CN25:$CT25,$CN25:$CT25&gt;BP25))</f>
        <v>10.886666666666668</v>
      </c>
      <c r="CW25" s="16">
        <f t="shared" ca="1" si="63"/>
        <v>0.12426850258175537</v>
      </c>
      <c r="CX25" s="20">
        <f t="shared" ca="1" si="64"/>
        <v>-6.2134251290877685E-2</v>
      </c>
      <c r="CY25" s="20">
        <f t="shared" ca="1" si="65"/>
        <v>-4.1422834193918456E-2</v>
      </c>
      <c r="CZ25" s="20">
        <f t="shared" ca="1" si="66"/>
        <v>-2.4853700516351072E-2</v>
      </c>
      <c r="DA25" s="20">
        <f t="shared" ca="1" si="67"/>
        <v>-1.3807611397972819E-2</v>
      </c>
      <c r="DB25" s="20">
        <f t="shared" ca="1" si="68"/>
        <v>-7.3099119165738451E-3</v>
      </c>
      <c r="DC25" s="20">
        <f t="shared" ca="1" si="69"/>
        <v>-3.7657121994471325E-3</v>
      </c>
      <c r="DD25" s="20">
        <f t="shared" ca="1" si="70"/>
        <v>-1.9118231166423902E-3</v>
      </c>
      <c r="DE25" s="21">
        <f t="shared" ca="1" si="71"/>
        <v>1.9118231166423902E-3</v>
      </c>
      <c r="DF25" s="21">
        <f t="shared" ca="1" si="72"/>
        <v>3.7657121994471325E-3</v>
      </c>
      <c r="DG25" s="21">
        <f t="shared" ca="1" si="73"/>
        <v>7.3099119165738451E-3</v>
      </c>
      <c r="DH25" s="21">
        <f t="shared" ca="1" si="74"/>
        <v>1.3807611397972819E-2</v>
      </c>
      <c r="DI25" s="21">
        <f t="shared" ca="1" si="75"/>
        <v>2.4853700516351072E-2</v>
      </c>
      <c r="DJ25" s="21">
        <f t="shared" ca="1" si="76"/>
        <v>4.1422834193918456E-2</v>
      </c>
      <c r="DK25" s="21">
        <f t="shared" ca="1" si="77"/>
        <v>6.2134251290877685E-2</v>
      </c>
      <c r="DM25" s="16" cm="1">
        <f t="array" aca="1" ref="DM25" ca="1">MAX(_xlfn._xlws.FILTER(CX25:DK25,CX25:DK25&lt;BV25))</f>
        <v>-1.3807611397972819E-2</v>
      </c>
      <c r="DN25" s="16" cm="1">
        <f t="array" aca="1" ref="DN25" ca="1">MIN(_xlfn._xlws.FILTER(CX25:DK25,CX25:DK25&gt;BV25))</f>
        <v>-7.3099119165738451E-3</v>
      </c>
      <c r="DO25" s="2" cm="1">
        <f t="array" aca="1" ref="DO25" ca="1">_FV(ED25,"Fechamento anterior",TRUE)</f>
        <v>10.82</v>
      </c>
      <c r="DP25" s="28">
        <f t="shared" ca="1" si="15"/>
        <v>0.70262825075140911</v>
      </c>
      <c r="DQ25" s="15">
        <f t="shared" ca="1" si="78"/>
        <v>10.670601644673935</v>
      </c>
      <c r="DR25" s="15">
        <f t="shared" ca="1" si="79"/>
        <v>10.740906753062671</v>
      </c>
      <c r="DS25" s="9"/>
      <c r="DT25" s="9"/>
      <c r="DU25" s="9"/>
      <c r="DV25" s="89">
        <v>6.4976994813989736E-3</v>
      </c>
      <c r="DW25" s="89">
        <f t="shared" ca="1" si="18"/>
        <v>6.4976994813989736E-3</v>
      </c>
      <c r="DX25" s="72">
        <f t="shared" ca="1" si="19"/>
        <v>0.19974253881802712</v>
      </c>
      <c r="DY25" s="37"/>
      <c r="DZ25" s="35">
        <f t="shared" si="39"/>
        <v>0.17522556891047616</v>
      </c>
      <c r="EA25" s="56"/>
      <c r="EB25" s="56"/>
      <c r="ED25" s="2" t="e" vm="25">
        <v>#VALUE!</v>
      </c>
      <c r="EF25" s="10" cm="1">
        <f t="array" aca="1" ref="EF25" ca="1">_FV(ED25,"Ações em circulação",TRUE)</f>
        <v>2861782000</v>
      </c>
      <c r="EG25" s="18">
        <f>VLOOKUP(BQ25,Fundamentus!A:U,5,FALSE)</f>
        <v>0.746</v>
      </c>
      <c r="EH25" s="2">
        <f t="shared" ca="1" si="20"/>
        <v>41123730616.621986</v>
      </c>
      <c r="EI25" s="17">
        <v>7060756574.5978556</v>
      </c>
      <c r="EJ25" s="17">
        <f t="shared" ca="1" si="21"/>
        <v>7093843531.3672924</v>
      </c>
      <c r="EL25" s="16">
        <f t="shared" ca="1" si="22"/>
        <v>4.6860356138707093E-3</v>
      </c>
      <c r="EM25" s="32" t="str">
        <f>IF(VLOOKUP(BQ25,Fundamentus!A:U,3,FALSE)&lt;15,"Bom",IF(VLOOKUP(BQ25,Fundamentus!A:U,3,FALSE)&gt;15,"Ruim","n/a"))</f>
        <v>Bom</v>
      </c>
      <c r="EN25" s="28" t="str">
        <f>IF(VLOOKUP(BQ25,Fundamentus!A:U,4,FALSE)&lt;1,"Baixo",IF(VLOOKUP(BQ25,Fundamentus!A:U,4,FALSE)&lt;1.5,"Moderado",IF(VLOOKUP(BQ25,Fundamentus!A:U,4,FALSE)&gt;1.5,"Alto","n/a")))</f>
        <v>Moderado</v>
      </c>
      <c r="EO25" s="17" t="str">
        <f>IF(VLOOKUP(BQ25,Fundamentus!A:U,8,FALSE)&lt;0,"Risco elevado",IF(VLOOKUP(BQ25,Fundamentus!A:U,8,FALSE)&lt;1,"Saudável",IF(VLOOKUP(BQ25,Fundamentus!A:U,8,FALSE)&lt;3,"Estável",IF(VLOOKUP(BQ25,Fundamentus!A:U,8,FALSE)&gt;3,"Alerta","n/a"))))</f>
        <v>Alerta</v>
      </c>
      <c r="EP25" s="28" t="str">
        <f t="shared" si="23"/>
        <v>Ruim</v>
      </c>
      <c r="EQ25" s="17" t="str">
        <f>IF(VLOOKUP(BQ25,Fundamentus!A:U,12,FALSE)&lt;2,"Subvalorizada",IF(VLOOKUP(BQ25,Fundamentus!A:U,12,FALSE)&lt;6,"Muita barata",IF(VLOOKUP(BQ25,Fundamentus!A:U,12,FALSE)&lt;6,"Barata",IF(VLOOKUP(BQ25,Fundamentus!A:U,12,FALSE)&lt;8,"Atrativa",IF(VLOOKUP(BQ25,Fundamentus!A:U,12,FALSE)&gt;8,"Supervalorizada","n/a")))))</f>
        <v>Muita barata</v>
      </c>
      <c r="ES25" s="17" t="str">
        <f>IF(VLOOKUP(BQ25,Fundamentus!A:U,17,FALSE)&lt;0.1,"Fraco retorno",IF(VLOOKUP(BQ25,Fundamentus!A:U,17,FALSE)&gt;0.1,"Bom retorno","n/a"))</f>
        <v>Bom retorno</v>
      </c>
      <c r="ET25" s="17" t="str">
        <f>IF(VLOOKUP(BQ25,Fundamentus!A:U,16,FALSE)&lt;0.1,"Ineficiente",IF(VLOOKUP(BQ25,Fundamentus!A:U,16,FALSE)&gt;0.1,"Eficiente","n/a"))</f>
        <v>Eficiente</v>
      </c>
      <c r="EU25" s="33" t="str">
        <f>IF(VLOOKUP(BQ25,Fundamentus!A:U,16,FALSE)&lt;0.1,"Oper. Ineficiente",IF(VLOOKUP(BQ25,Fundamentus!A:U,16,FALSE)&gt;0.1,"Oper.Eficiente","n/a"))</f>
        <v>Oper.Eficiente</v>
      </c>
      <c r="EV25" s="34">
        <f>VLOOKUP(BQ25,Fundamentus!A:U,14,FALSE)</f>
        <v>0.17249999999999999</v>
      </c>
      <c r="EW25" s="17" t="str">
        <f>IF(VLOOKUP(BQ25,Fundamentus!A:U,21,FALSE)&lt;0,"Negativo",IF(VLOOKUP(BQ25,Fundamentus!A:U,21,FALSE)&lt;0.05,"Fraco",IF(VLOOKUP(BQ25,Fundamentus!A:U,21,FALSE)&lt;0.1,"Bom",IF(VLOOKUP(BQ25,Fundamentus!A:U,21,FALSE)&gt;0.1,"Muito bom","n/a"))))</f>
        <v>Bom</v>
      </c>
      <c r="EY25" s="29" t="str">
        <f>IF(VLOOKUP(BQ25,Fundamentus!A:U,15,FALSE)&gt;1,"Bom",IF(VLOOKUP(BQ25,Fundamentus!A:U,15,FALSE)&lt;1,"Ruim","n/a"))</f>
        <v>Bom</v>
      </c>
      <c r="EZ25" s="17" t="str">
        <f>IF(VLOOKUP(BQ25,Fundamentus!A:U,20,FALSE)&lt;0.5,"Baixa",IF(VLOOKUP(BQ25,Fundamentus!A:U,20,FALSE)&lt;1,"Moderada",IF(VLOOKUP(BQ25,Fundamentus!A:U,20,FALSE)&lt;2,"Alerta",IF(VLOOKUP(BQ25,Fundamentus!A:U,20,FALSE)&gt;2,"Alta","n/a"))))</f>
        <v>Moderada</v>
      </c>
    </row>
    <row r="26" spans="1:157" s="2" customFormat="1" ht="11.25" hidden="1" x14ac:dyDescent="0.2">
      <c r="A26" s="4">
        <v>9.6</v>
      </c>
      <c r="B26" s="4">
        <v>9.56</v>
      </c>
      <c r="C26" s="4">
        <v>9.5</v>
      </c>
      <c r="D26" s="4">
        <v>9.6999999999999993</v>
      </c>
      <c r="E26" s="4">
        <v>9.75</v>
      </c>
      <c r="F26" s="4">
        <v>9.49</v>
      </c>
      <c r="G26" s="4">
        <v>9.3800000000000008</v>
      </c>
      <c r="H26" s="4">
        <v>9.59</v>
      </c>
      <c r="I26" s="4">
        <v>9.74</v>
      </c>
      <c r="J26" s="4">
        <v>9.65</v>
      </c>
      <c r="K26" s="4">
        <v>9.8000000000000007</v>
      </c>
      <c r="L26" s="4">
        <v>9.7200000000000006</v>
      </c>
      <c r="M26" s="4">
        <v>9.77</v>
      </c>
      <c r="N26" s="4">
        <v>9.6199999999999992</v>
      </c>
      <c r="O26" s="4">
        <v>9.35</v>
      </c>
      <c r="P26" s="4">
        <v>9.41</v>
      </c>
      <c r="Q26" s="4">
        <v>9.6999999999999993</v>
      </c>
      <c r="R26" s="4">
        <v>9.86</v>
      </c>
      <c r="S26" s="4">
        <v>9.6199999999999992</v>
      </c>
      <c r="T26" s="4">
        <v>9.6</v>
      </c>
      <c r="U26" s="4">
        <v>9.5399999999999991</v>
      </c>
      <c r="V26" s="4">
        <v>9.35</v>
      </c>
      <c r="W26" s="4">
        <v>9.2200000000000006</v>
      </c>
      <c r="X26" s="4">
        <v>9.1999999999999993</v>
      </c>
      <c r="Y26" s="4">
        <v>9.02</v>
      </c>
      <c r="Z26" s="4">
        <v>8.9</v>
      </c>
      <c r="AA26" s="4">
        <v>8.9499999999999993</v>
      </c>
      <c r="AB26" s="4">
        <v>8.76</v>
      </c>
      <c r="AC26" s="4">
        <v>8.58</v>
      </c>
      <c r="AD26" s="4">
        <v>8.61</v>
      </c>
      <c r="AE26" s="4">
        <v>8.65</v>
      </c>
      <c r="AF26" s="4">
        <v>8.61</v>
      </c>
      <c r="AG26" s="4">
        <v>8.42</v>
      </c>
      <c r="AH26" s="4">
        <v>8.4499999999999993</v>
      </c>
      <c r="AI26" s="4">
        <v>8.6999999999999993</v>
      </c>
      <c r="AJ26" s="4">
        <v>8.65</v>
      </c>
      <c r="AK26" s="4">
        <v>8.43</v>
      </c>
      <c r="AL26" s="4">
        <v>8.4</v>
      </c>
      <c r="AM26" s="4">
        <v>8.4700000000000006</v>
      </c>
      <c r="AN26" s="4">
        <v>8.51</v>
      </c>
      <c r="AO26" s="4">
        <v>8.5299999999999994</v>
      </c>
      <c r="AP26" s="4">
        <v>8.44</v>
      </c>
      <c r="AQ26" s="4">
        <v>8.42</v>
      </c>
      <c r="AR26" s="4">
        <v>8.39</v>
      </c>
      <c r="AS26" s="4">
        <v>8.42</v>
      </c>
      <c r="AT26" s="4">
        <v>8.33</v>
      </c>
      <c r="AU26" s="4">
        <v>8.4550000000000001</v>
      </c>
      <c r="AV26" s="4">
        <v>8.9</v>
      </c>
      <c r="AW26" s="4">
        <v>8.75</v>
      </c>
      <c r="AX26" s="4">
        <v>8.5500000000000007</v>
      </c>
      <c r="AY26" s="12">
        <v>8.69</v>
      </c>
      <c r="AZ26" s="12">
        <v>8.75</v>
      </c>
      <c r="BA26" s="12">
        <v>8.9700000000000006</v>
      </c>
      <c r="BB26" s="15">
        <v>8.85</v>
      </c>
      <c r="BC26" s="52">
        <v>8.73</v>
      </c>
      <c r="BD26" s="52">
        <v>8.7899999999999991</v>
      </c>
      <c r="BE26" s="52">
        <v>8.73</v>
      </c>
      <c r="BF26" s="52">
        <v>8.68</v>
      </c>
      <c r="BG26" s="67">
        <v>8.65</v>
      </c>
      <c r="BH26" s="52">
        <v>8.65</v>
      </c>
      <c r="BI26" s="52">
        <v>8.4700000000000006</v>
      </c>
      <c r="BJ26" s="52">
        <v>8.59</v>
      </c>
      <c r="BK26" s="52">
        <v>8.52</v>
      </c>
      <c r="BL26" s="52">
        <v>8.42</v>
      </c>
      <c r="BM26" s="52">
        <v>8.39</v>
      </c>
      <c r="BN26" s="52">
        <v>8.48</v>
      </c>
      <c r="BO26" s="52">
        <v>8.5</v>
      </c>
      <c r="BP26" s="52" cm="1">
        <f t="array" aca="1" ref="BP26" ca="1">_FV(ED26,"Preço")</f>
        <v>8.5</v>
      </c>
      <c r="BQ26" s="69" t="s">
        <v>23</v>
      </c>
      <c r="BR26" s="36" cm="1">
        <f t="array" aca="1" ref="BR26" ca="1">_FV(ED26,"Média de volume",TRUE)</f>
        <v>10500</v>
      </c>
      <c r="BS26" s="36">
        <v>2400</v>
      </c>
      <c r="BT26" s="36" cm="1">
        <f t="array" aca="1" ref="BT26" ca="1">_FV(ED26,"Volume")</f>
        <v>5300</v>
      </c>
      <c r="BU26" s="24" cm="1">
        <f t="array" aca="1" ref="BU26" ca="1">_FV(ED26,"Beta")</f>
        <v>0.43580000000000002</v>
      </c>
      <c r="BV26" s="71" cm="1">
        <f t="array" aca="1" ref="BV26" ca="1">_FV(ED26,"Variação (%)",TRUE)</f>
        <v>-2.3470000000000001E-3</v>
      </c>
      <c r="BX26" s="17" cm="1">
        <f t="array" aca="1" ref="BX26" ca="1">_FV(ED26,"Baixo")</f>
        <v>8.4600000000000009</v>
      </c>
      <c r="BY26" s="17" cm="1">
        <f t="array" aca="1" ref="BY26" ca="1">_FV(ED26,"Alto")</f>
        <v>8.6199999999999992</v>
      </c>
      <c r="BZ26" s="24"/>
      <c r="CA26" s="63">
        <f ca="1">SQRT(22.5*(BP26/VLOOKUP(BQ26,Fundamentus!A:U,3,FALSE))*(BP26/VLOOKUP(BQ26,Fundamentus!A:U,4,FALSE)))</f>
        <v>14.169465849991093</v>
      </c>
      <c r="CC26" s="62">
        <f t="shared" ca="1" si="24"/>
        <v>0</v>
      </c>
      <c r="CD26" s="8"/>
      <c r="CE26" s="61">
        <f t="shared" si="25"/>
        <v>8.33</v>
      </c>
      <c r="CF26" s="61">
        <f t="shared" si="26"/>
        <v>9.86</v>
      </c>
      <c r="CG26" s="61">
        <f t="shared" si="27"/>
        <v>8.9533582089552226</v>
      </c>
      <c r="CH26" s="14"/>
      <c r="CI26" s="35">
        <f t="shared" si="1"/>
        <v>8.4316943541804452</v>
      </c>
      <c r="CJ26" s="15">
        <f t="shared" si="28"/>
        <v>8.5300000000000011</v>
      </c>
      <c r="CK26" s="35">
        <f t="shared" si="2"/>
        <v>8.6283056458195571</v>
      </c>
      <c r="CM26" s="14"/>
      <c r="CN26" s="17">
        <f t="shared" si="3"/>
        <v>6.4033333333333342</v>
      </c>
      <c r="CO26" s="17">
        <f t="shared" si="4"/>
        <v>7.3666666666666671</v>
      </c>
      <c r="CP26" s="17">
        <f t="shared" si="5"/>
        <v>7.9333333333333336</v>
      </c>
      <c r="CQ26" s="38">
        <f t="shared" si="29"/>
        <v>8.8966666666666665</v>
      </c>
      <c r="CR26" s="17">
        <f t="shared" si="6"/>
        <v>9.4633333333333329</v>
      </c>
      <c r="CS26" s="17">
        <f t="shared" si="7"/>
        <v>10.426666666666666</v>
      </c>
      <c r="CT26" s="17">
        <f t="shared" si="8"/>
        <v>10.993333333333332</v>
      </c>
      <c r="CU26" s="2" cm="1">
        <f t="array" aca="1" ref="CU26" ca="1">MAX(_xlfn._xlws.FILTER(CN26:CT26,CN26:CT26&lt;BP26))</f>
        <v>7.9333333333333336</v>
      </c>
      <c r="CV26" s="2" cm="1">
        <f t="array" aca="1" ref="CV26" ca="1">MIN(_xlfn._xlws.FILTER($CN26:$CT26,$CN26:$CT26&gt;BP26))</f>
        <v>8.8966666666666665</v>
      </c>
      <c r="CW26" s="16">
        <f t="shared" ca="1" si="63"/>
        <v>0.12142857142857144</v>
      </c>
      <c r="CX26" s="20">
        <f t="shared" ca="1" si="64"/>
        <v>-6.0714285714285721E-2</v>
      </c>
      <c r="CY26" s="20">
        <f t="shared" ca="1" si="65"/>
        <v>-4.0476190476190478E-2</v>
      </c>
      <c r="CZ26" s="20">
        <f t="shared" ca="1" si="66"/>
        <v>-2.4285714285714289E-2</v>
      </c>
      <c r="DA26" s="20">
        <f t="shared" ca="1" si="67"/>
        <v>-1.3492063492063493E-2</v>
      </c>
      <c r="DB26" s="20">
        <f t="shared" ca="1" si="68"/>
        <v>-7.1428571428571435E-3</v>
      </c>
      <c r="DC26" s="20">
        <f t="shared" ca="1" si="69"/>
        <v>-3.6796536796536799E-3</v>
      </c>
      <c r="DD26" s="20">
        <f t="shared" ca="1" si="70"/>
        <v>-1.8681318681318683E-3</v>
      </c>
      <c r="DE26" s="21">
        <f t="shared" ca="1" si="71"/>
        <v>1.8681318681318683E-3</v>
      </c>
      <c r="DF26" s="21">
        <f t="shared" ca="1" si="72"/>
        <v>3.6796536796536799E-3</v>
      </c>
      <c r="DG26" s="21">
        <f t="shared" ca="1" si="73"/>
        <v>7.1428571428571435E-3</v>
      </c>
      <c r="DH26" s="21">
        <f t="shared" ca="1" si="74"/>
        <v>1.3492063492063493E-2</v>
      </c>
      <c r="DI26" s="21">
        <f t="shared" ca="1" si="75"/>
        <v>2.4285714285714289E-2</v>
      </c>
      <c r="DJ26" s="21">
        <f t="shared" ca="1" si="76"/>
        <v>4.0476190476190478E-2</v>
      </c>
      <c r="DK26" s="21">
        <f t="shared" ca="1" si="77"/>
        <v>6.0714285714285721E-2</v>
      </c>
      <c r="DM26" s="16" cm="1">
        <f t="array" aca="1" ref="DM26" ca="1">MAX(_xlfn._xlws.FILTER(CX26:DK26,CX26:DK26&lt;BV26))</f>
        <v>-3.6796536796536799E-3</v>
      </c>
      <c r="DN26" s="16" cm="1">
        <f t="array" aca="1" ref="DN26" ca="1">MIN(_xlfn._xlws.FILTER(CX26:DK26,CX26:DK26&gt;BV26))</f>
        <v>-1.8681318681318683E-3</v>
      </c>
      <c r="DO26" s="2" cm="1">
        <f t="array" aca="1" ref="DO26" ca="1">_FV(ED26,"Fechamento anterior",TRUE)</f>
        <v>8.52</v>
      </c>
      <c r="DP26" s="28">
        <f t="shared" ca="1" si="15"/>
        <v>0.73542357083677468</v>
      </c>
      <c r="DQ26" s="15">
        <f t="shared" ca="1" si="78"/>
        <v>8.4886493506493501</v>
      </c>
      <c r="DR26" s="15">
        <f t="shared" ca="1" si="79"/>
        <v>8.5040835164835169</v>
      </c>
      <c r="DS26" s="9"/>
      <c r="DT26" s="9"/>
      <c r="DU26" s="9"/>
      <c r="DV26" s="89">
        <v>6.3492063492063492E-3</v>
      </c>
      <c r="DW26" s="89">
        <f t="shared" ca="1" si="18"/>
        <v>1.8115218115218115E-3</v>
      </c>
      <c r="DX26" s="72">
        <f t="shared" ca="1" si="19"/>
        <v>-0.30517067203919679</v>
      </c>
      <c r="DY26" s="37"/>
      <c r="DZ26" s="35">
        <f t="shared" si="39"/>
        <v>4.9152822909777807E-2</v>
      </c>
      <c r="EA26" s="56"/>
      <c r="EB26" s="56"/>
      <c r="ED26" s="2" t="e" vm="26">
        <v>#VALUE!</v>
      </c>
      <c r="EF26" s="10" cm="1">
        <f t="array" aca="1" ref="EF26" ca="1">_FV(ED26,"Ações em circulação",TRUE)</f>
        <v>315912900</v>
      </c>
      <c r="EG26" s="18">
        <f>VLOOKUP(BQ26,Fundamentus!A:U,5,FALSE)</f>
        <v>0</v>
      </c>
      <c r="EH26" s="2" t="e">
        <f t="shared" ca="1" si="20"/>
        <v>#DIV/0!</v>
      </c>
      <c r="EI26" s="17" t="e">
        <v>#DIV/0!</v>
      </c>
      <c r="EJ26" s="17" t="e">
        <f t="shared" ca="1" si="21"/>
        <v>#DIV/0!</v>
      </c>
      <c r="EL26" s="16" t="e">
        <f t="shared" ca="1" si="22"/>
        <v>#DIV/0!</v>
      </c>
      <c r="EM26" s="32" t="str">
        <f>IF(VLOOKUP(BQ26,Fundamentus!A:U,3,FALSE)&lt;15,"Bom",IF(VLOOKUP(BQ26,Fundamentus!A:U,3,FALSE)&gt;15,"Ruim","n/a"))</f>
        <v>Bom</v>
      </c>
      <c r="EN26" s="28" t="str">
        <f>IF(VLOOKUP(BQ26,Fundamentus!A:U,4,FALSE)&lt;1,"Baixo",IF(VLOOKUP(BQ26,Fundamentus!A:U,4,FALSE)&lt;1.5,"Moderado",IF(VLOOKUP(BQ26,Fundamentus!A:U,4,FALSE)&gt;1.5,"Alto","n/a")))</f>
        <v>Moderado</v>
      </c>
      <c r="EO26" s="17" t="str">
        <f>IF(VLOOKUP(BQ26,Fundamentus!A:U,8,FALSE)&lt;0,"Risco elevado",IF(VLOOKUP(BQ26,Fundamentus!A:U,8,FALSE)&lt;1,"Saudável",IF(VLOOKUP(BQ26,Fundamentus!A:U,8,FALSE)&lt;3,"Estável",IF(VLOOKUP(BQ26,Fundamentus!A:U,8,FALSE)&gt;3,"Alerta","n/a"))))</f>
        <v>Saudável</v>
      </c>
      <c r="EP26" s="28" t="str">
        <f t="shared" si="23"/>
        <v>Ruim</v>
      </c>
      <c r="EQ26" s="17" t="str">
        <f>IF(VLOOKUP(BQ26,Fundamentus!A:U,12,FALSE)&lt;2,"Subvalorizada",IF(VLOOKUP(BQ26,Fundamentus!A:U,12,FALSE)&lt;6,"Muita barata",IF(VLOOKUP(BQ26,Fundamentus!A:U,12,FALSE)&lt;6,"Barata",IF(VLOOKUP(BQ26,Fundamentus!A:U,12,FALSE)&lt;8,"Atrativa",IF(VLOOKUP(BQ26,Fundamentus!A:U,12,FALSE)&gt;8,"Supervalorizada","n/a")))))</f>
        <v>Subvalorizada</v>
      </c>
      <c r="ES26" s="17" t="str">
        <f>IF(VLOOKUP(BQ26,Fundamentus!A:U,17,FALSE)&lt;0.1,"Fraco retorno",IF(VLOOKUP(BQ26,Fundamentus!A:U,17,FALSE)&gt;0.1,"Bom retorno","n/a"))</f>
        <v>Bom retorno</v>
      </c>
      <c r="ET26" s="17" t="str">
        <f>IF(VLOOKUP(BQ26,Fundamentus!A:U,16,FALSE)&lt;0.1,"Ineficiente",IF(VLOOKUP(BQ26,Fundamentus!A:U,16,FALSE)&gt;0.1,"Eficiente","n/a"))</f>
        <v>Ineficiente</v>
      </c>
      <c r="EU26" s="33" t="str">
        <f>IF(VLOOKUP(BQ26,Fundamentus!A:U,16,FALSE)&lt;0.1,"Oper. Ineficiente",IF(VLOOKUP(BQ26,Fundamentus!A:U,16,FALSE)&gt;0.1,"Oper.Eficiente","n/a"))</f>
        <v>Oper. Ineficiente</v>
      </c>
      <c r="EV26" s="34">
        <f>VLOOKUP(BQ26,Fundamentus!A:U,14,FALSE)</f>
        <v>0</v>
      </c>
      <c r="EW26" s="17" t="str">
        <f>IF(VLOOKUP(BQ26,Fundamentus!A:U,21,FALSE)&lt;0,"Negativo",IF(VLOOKUP(BQ26,Fundamentus!A:U,21,FALSE)&lt;0.05,"Fraco",IF(VLOOKUP(BQ26,Fundamentus!A:U,21,FALSE)&lt;0.1,"Bom",IF(VLOOKUP(BQ26,Fundamentus!A:U,21,FALSE)&gt;0.1,"Muito bom","n/a"))))</f>
        <v>Muito bom</v>
      </c>
      <c r="EY26" s="29" t="str">
        <f>IF(VLOOKUP(BQ26,Fundamentus!A:U,15,FALSE)&gt;1,"Bom",IF(VLOOKUP(BQ26,Fundamentus!A:U,15,FALSE)&lt;1,"Ruim","n/a"))</f>
        <v>Ruim</v>
      </c>
      <c r="EZ26" s="17" t="str">
        <f>IF(VLOOKUP(BQ26,Fundamentus!A:U,20,FALSE)&lt;0.5,"Baixa",IF(VLOOKUP(BQ26,Fundamentus!A:U,20,FALSE)&lt;1,"Moderada",IF(VLOOKUP(BQ26,Fundamentus!A:U,20,FALSE)&lt;2,"Alerta",IF(VLOOKUP(BQ26,Fundamentus!A:U,20,FALSE)&gt;2,"Alta","n/a"))))</f>
        <v>Baixa</v>
      </c>
    </row>
    <row r="27" spans="1:157" s="5" customFormat="1" ht="11.25" hidden="1" x14ac:dyDescent="0.2">
      <c r="A27" s="4">
        <v>5.4</v>
      </c>
      <c r="B27" s="4">
        <v>5.2</v>
      </c>
      <c r="C27" s="4">
        <v>5.43</v>
      </c>
      <c r="D27" s="4">
        <v>5.38</v>
      </c>
      <c r="E27" s="4">
        <v>5.09</v>
      </c>
      <c r="F27" s="4">
        <v>4.84</v>
      </c>
      <c r="G27" s="4">
        <v>4.75</v>
      </c>
      <c r="H27" s="4">
        <v>4.8899999999999997</v>
      </c>
      <c r="I27" s="4">
        <v>4.9400000000000004</v>
      </c>
      <c r="J27" s="4">
        <v>5.05</v>
      </c>
      <c r="K27" s="4">
        <v>5.17</v>
      </c>
      <c r="L27" s="4">
        <v>5.12</v>
      </c>
      <c r="M27" s="4">
        <v>4.96</v>
      </c>
      <c r="N27" s="4">
        <v>5.3</v>
      </c>
      <c r="O27" s="4">
        <v>5.5</v>
      </c>
      <c r="P27" s="4">
        <v>5.3</v>
      </c>
      <c r="Q27" s="4">
        <v>5.38</v>
      </c>
      <c r="R27" s="4">
        <v>5.77</v>
      </c>
      <c r="S27" s="4">
        <v>6.04</v>
      </c>
      <c r="T27" s="4">
        <v>6.13</v>
      </c>
      <c r="U27" s="4">
        <v>5.94</v>
      </c>
      <c r="V27" s="4">
        <v>6.21</v>
      </c>
      <c r="W27" s="4">
        <v>6.15</v>
      </c>
      <c r="X27" s="4">
        <v>6.1</v>
      </c>
      <c r="Y27" s="4">
        <v>6.56</v>
      </c>
      <c r="Z27" s="4">
        <v>6.59</v>
      </c>
      <c r="AA27" s="4">
        <v>6.38</v>
      </c>
      <c r="AB27" s="4">
        <v>6.67</v>
      </c>
      <c r="AC27" s="4">
        <v>7.06</v>
      </c>
      <c r="AD27" s="4">
        <v>7.28</v>
      </c>
      <c r="AE27" s="4">
        <v>6.38</v>
      </c>
      <c r="AF27" s="4">
        <v>6.28</v>
      </c>
      <c r="AG27" s="4">
        <v>6.24</v>
      </c>
      <c r="AH27" s="4">
        <v>5.4</v>
      </c>
      <c r="AI27" s="4">
        <v>5.62</v>
      </c>
      <c r="AJ27" s="4">
        <v>5.67</v>
      </c>
      <c r="AK27" s="4">
        <v>5.55</v>
      </c>
      <c r="AL27" s="4">
        <v>5.96</v>
      </c>
      <c r="AM27" s="4">
        <v>6.29</v>
      </c>
      <c r="AN27" s="4">
        <v>6.38</v>
      </c>
      <c r="AO27" s="4">
        <v>6.07</v>
      </c>
      <c r="AP27" s="4">
        <v>6.4</v>
      </c>
      <c r="AQ27" s="4">
        <v>6.12</v>
      </c>
      <c r="AR27" s="4">
        <v>5.75</v>
      </c>
      <c r="AS27" s="4">
        <v>5.7</v>
      </c>
      <c r="AT27" s="4">
        <v>5.67</v>
      </c>
      <c r="AU27" s="4">
        <v>5.5500000000000007</v>
      </c>
      <c r="AV27" s="4">
        <v>5.22</v>
      </c>
      <c r="AW27" s="4">
        <v>4.74</v>
      </c>
      <c r="AX27" s="4">
        <v>4.68</v>
      </c>
      <c r="AY27" s="12">
        <v>5.09</v>
      </c>
      <c r="AZ27" s="12">
        <v>5.29</v>
      </c>
      <c r="BA27" s="12">
        <v>5.46</v>
      </c>
      <c r="BB27" s="15">
        <v>5.34</v>
      </c>
      <c r="BC27" s="52">
        <v>5.68</v>
      </c>
      <c r="BD27" s="52">
        <v>5.56</v>
      </c>
      <c r="BE27" s="52">
        <v>5.84</v>
      </c>
      <c r="BF27" s="52">
        <v>6.03</v>
      </c>
      <c r="BG27" s="67">
        <v>6.2</v>
      </c>
      <c r="BH27" s="52">
        <v>6.25</v>
      </c>
      <c r="BI27" s="52">
        <v>6.46</v>
      </c>
      <c r="BJ27" s="52">
        <v>6.53</v>
      </c>
      <c r="BK27" s="52">
        <v>6.44</v>
      </c>
      <c r="BL27" s="52">
        <v>6.44</v>
      </c>
      <c r="BM27" s="52">
        <v>6.71</v>
      </c>
      <c r="BN27" s="52">
        <v>7.01</v>
      </c>
      <c r="BO27" s="52">
        <v>7.08</v>
      </c>
      <c r="BP27" s="52" cm="1">
        <f t="array" aca="1" ref="BP27" ca="1">_FV(ED27,"Preço")</f>
        <v>7.1</v>
      </c>
      <c r="BQ27" s="69" t="s">
        <v>24</v>
      </c>
      <c r="BR27" s="36" cm="1">
        <f t="array" aca="1" ref="BR27" ca="1">_FV(ED27,"Média de volume",TRUE)</f>
        <v>10709580</v>
      </c>
      <c r="BS27" s="36">
        <v>260400</v>
      </c>
      <c r="BT27" s="36" cm="1">
        <f t="array" aca="1" ref="BT27" ca="1">_FV(ED27,"Volume")</f>
        <v>46400</v>
      </c>
      <c r="BU27" s="24" cm="1">
        <f t="array" aca="1" ref="BU27" ca="1">_FV(ED27,"Beta")</f>
        <v>0.80249999999999999</v>
      </c>
      <c r="BV27" s="71" cm="1">
        <f t="array" aca="1" ref="BV27" ca="1">_FV(ED27,"Variação (%)",TRUE)</f>
        <v>2.8249999999999998E-3</v>
      </c>
      <c r="BX27" s="17" cm="1">
        <f t="array" aca="1" ref="BX27" ca="1">_FV(ED27,"Baixo")</f>
        <v>7.03</v>
      </c>
      <c r="BY27" s="17" cm="1">
        <f t="array" aca="1" ref="BY27" ca="1">_FV(ED27,"Alto")</f>
        <v>7.2</v>
      </c>
      <c r="BZ27" s="24"/>
      <c r="CA27" s="63">
        <f ca="1">SQRT(22.5*(BP27/VLOOKUP(BQ27,Fundamentus!A:U,3,FALSE))*(BP27/VLOOKUP(BQ27,Fundamentus!A:U,4,FALSE)))</f>
        <v>9.4356105476487979</v>
      </c>
      <c r="CC27" s="62">
        <f t="shared" ca="1" si="24"/>
        <v>2.8248587570620866E-3</v>
      </c>
      <c r="CD27" s="8"/>
      <c r="CE27" s="61">
        <f t="shared" si="25"/>
        <v>4.68</v>
      </c>
      <c r="CF27" s="61">
        <f t="shared" si="26"/>
        <v>7.28</v>
      </c>
      <c r="CG27" s="61">
        <f t="shared" si="27"/>
        <v>5.8158208955223856</v>
      </c>
      <c r="CH27" s="14"/>
      <c r="CI27" s="35">
        <f t="shared" si="1"/>
        <v>6.8214413555098314</v>
      </c>
      <c r="CJ27" s="15">
        <f t="shared" si="28"/>
        <v>7.3650000000000091</v>
      </c>
      <c r="CK27" s="35">
        <f t="shared" si="2"/>
        <v>7.9085586444901868</v>
      </c>
      <c r="CM27" s="14"/>
      <c r="CN27" s="17">
        <f t="shared" si="3"/>
        <v>2.8133333333333326</v>
      </c>
      <c r="CO27" s="17">
        <f t="shared" si="4"/>
        <v>3.7466666666666661</v>
      </c>
      <c r="CP27" s="17">
        <f t="shared" si="5"/>
        <v>5.4133333333333331</v>
      </c>
      <c r="CQ27" s="38">
        <f t="shared" si="29"/>
        <v>6.3466666666666667</v>
      </c>
      <c r="CR27" s="17">
        <f t="shared" si="6"/>
        <v>8.0133333333333336</v>
      </c>
      <c r="CS27" s="17">
        <f t="shared" si="7"/>
        <v>8.9466666666666672</v>
      </c>
      <c r="CT27" s="17">
        <f t="shared" si="8"/>
        <v>10.613333333333333</v>
      </c>
      <c r="CU27" s="2" cm="1">
        <f t="array" aca="1" ref="CU27" ca="1">MAX(_xlfn._xlws.FILTER(CN27:CT27,CN27:CT27&lt;BP27))</f>
        <v>6.3466666666666667</v>
      </c>
      <c r="CV27" s="2" cm="1">
        <f t="array" aca="1" ref="CV27" ca="1">MIN(_xlfn._xlws.FILTER($CN27:$CT27,$CN27:$CT27&gt;BP27))</f>
        <v>8.0133333333333336</v>
      </c>
      <c r="CW27" s="16">
        <f t="shared" ca="1" si="63"/>
        <v>0.26260504201680668</v>
      </c>
      <c r="CX27" s="20">
        <f t="shared" ca="1" si="64"/>
        <v>-0.13130252100840334</v>
      </c>
      <c r="CY27" s="20">
        <f t="shared" ca="1" si="65"/>
        <v>-8.7535014005602221E-2</v>
      </c>
      <c r="CZ27" s="20">
        <f t="shared" ca="1" si="66"/>
        <v>-5.2521008403361338E-2</v>
      </c>
      <c r="DA27" s="20">
        <f t="shared" ca="1" si="67"/>
        <v>-2.9178338001867407E-2</v>
      </c>
      <c r="DB27" s="20">
        <f t="shared" ca="1" si="68"/>
        <v>-1.5447355412753334E-2</v>
      </c>
      <c r="DC27" s="20">
        <f t="shared" ca="1" si="69"/>
        <v>-7.9577285459638391E-3</v>
      </c>
      <c r="DD27" s="20">
        <f t="shared" ca="1" si="70"/>
        <v>-4.0400775694893337E-3</v>
      </c>
      <c r="DE27" s="21">
        <f t="shared" ca="1" si="71"/>
        <v>4.0400775694893337E-3</v>
      </c>
      <c r="DF27" s="21">
        <f t="shared" ca="1" si="72"/>
        <v>7.9577285459638391E-3</v>
      </c>
      <c r="DG27" s="21">
        <f t="shared" ca="1" si="73"/>
        <v>1.5447355412753334E-2</v>
      </c>
      <c r="DH27" s="21">
        <f t="shared" ca="1" si="74"/>
        <v>2.9178338001867407E-2</v>
      </c>
      <c r="DI27" s="21">
        <f t="shared" ca="1" si="75"/>
        <v>5.2521008403361338E-2</v>
      </c>
      <c r="DJ27" s="21">
        <f t="shared" ca="1" si="76"/>
        <v>8.7535014005602221E-2</v>
      </c>
      <c r="DK27" s="21">
        <f t="shared" ca="1" si="77"/>
        <v>0.13130252100840334</v>
      </c>
      <c r="DM27" s="16" cm="1">
        <f t="array" aca="1" ref="DM27" ca="1">MAX(_xlfn._xlws.FILTER(CX27:DK27,CX27:DK27&lt;BV27))</f>
        <v>-4.0400775694893337E-3</v>
      </c>
      <c r="DN27" s="16" cm="1">
        <f t="array" aca="1" ref="DN27" ca="1">MIN(_xlfn._xlws.FILTER(CX27:DK27,CX27:DK27&gt;BV27))</f>
        <v>4.0400775694893337E-3</v>
      </c>
      <c r="DO27" s="2" cm="1">
        <f t="array" aca="1" ref="DO27" ca="1">_FV(ED27,"Fechamento anterior",TRUE)</f>
        <v>7.08</v>
      </c>
      <c r="DP27" s="28">
        <f t="shared" ca="1" si="15"/>
        <v>0.84960451977400508</v>
      </c>
      <c r="DQ27" s="15">
        <f t="shared" ca="1" si="78"/>
        <v>7.0513962508080157</v>
      </c>
      <c r="DR27" s="15">
        <f t="shared" ca="1" si="79"/>
        <v>7.1086037491919845</v>
      </c>
      <c r="DS27" s="9"/>
      <c r="DT27" s="9"/>
      <c r="DU27" s="9"/>
      <c r="DV27" s="89">
        <v>1.3730982589114073E-2</v>
      </c>
      <c r="DW27" s="89">
        <f t="shared" ca="1" si="18"/>
        <v>8.0801551389786674E-3</v>
      </c>
      <c r="DX27" s="72">
        <f t="shared" ca="1" si="19"/>
        <v>-0.4875278917669722</v>
      </c>
      <c r="DY27" s="37"/>
      <c r="DZ27" s="35">
        <f t="shared" si="39"/>
        <v>0.27177932224508894</v>
      </c>
      <c r="EA27" s="56"/>
      <c r="EB27" s="56"/>
      <c r="ED27" s="5" t="e" vm="27">
        <v>#VALUE!</v>
      </c>
      <c r="EF27" s="10" cm="1">
        <f t="array" aca="1" ref="EF27" ca="1">_FV(ED27,"Ações em circulação",TRUE)</f>
        <v>1136271000</v>
      </c>
      <c r="EG27" s="18">
        <f>VLOOKUP(BQ27,Fundamentus!A:U,5,FALSE)</f>
        <v>0.877</v>
      </c>
      <c r="EH27" s="2">
        <f t="shared" ca="1" si="20"/>
        <v>9199001254.2759399</v>
      </c>
      <c r="EI27" s="17">
        <v>1222772707.0057013</v>
      </c>
      <c r="EJ27" s="17">
        <f t="shared" ca="1" si="21"/>
        <v>1226226867.1949828</v>
      </c>
      <c r="EK27" s="2"/>
      <c r="EL27" s="16">
        <f t="shared" ca="1" si="22"/>
        <v>2.8248587570620654E-3</v>
      </c>
      <c r="EM27" s="32" t="str">
        <f>IF(VLOOKUP(BQ27,Fundamentus!A:U,3,FALSE)&lt;15,"Bom",IF(VLOOKUP(BQ27,Fundamentus!A:U,3,FALSE)&gt;15,"Ruim","n/a"))</f>
        <v>Bom</v>
      </c>
      <c r="EN27" s="28" t="str">
        <f>IF(VLOOKUP(BQ27,Fundamentus!A:U,4,FALSE)&lt;1,"Baixo",IF(VLOOKUP(BQ27,Fundamentus!A:U,4,FALSE)&lt;1.5,"Moderado",IF(VLOOKUP(BQ27,Fundamentus!A:U,4,FALSE)&gt;1.5,"Alto","n/a")))</f>
        <v>Alto</v>
      </c>
      <c r="EO27" s="17" t="str">
        <f>IF(VLOOKUP(BQ27,Fundamentus!A:U,8,FALSE)&lt;0,"Risco elevado",IF(VLOOKUP(BQ27,Fundamentus!A:U,8,FALSE)&lt;1,"Saudável",IF(VLOOKUP(BQ27,Fundamentus!A:U,8,FALSE)&lt;3,"Estável",IF(VLOOKUP(BQ27,Fundamentus!A:U,8,FALSE)&gt;3,"Alerta","n/a"))))</f>
        <v>Alerta</v>
      </c>
      <c r="EP27" s="28" t="str">
        <f t="shared" si="23"/>
        <v>Ruim</v>
      </c>
      <c r="EQ27" s="17" t="str">
        <f>IF(VLOOKUP(BQ27,Fundamentus!A:U,12,FALSE)&lt;2,"Subvalorizada",IF(VLOOKUP(BQ27,Fundamentus!A:U,12,FALSE)&lt;6,"Muita barata",IF(VLOOKUP(BQ27,Fundamentus!A:U,12,FALSE)&lt;6,"Barata",IF(VLOOKUP(BQ27,Fundamentus!A:U,12,FALSE)&lt;8,"Atrativa",IF(VLOOKUP(BQ27,Fundamentus!A:U,12,FALSE)&gt;8,"Supervalorizada","n/a")))))</f>
        <v>Muita barata</v>
      </c>
      <c r="ER27" s="2"/>
      <c r="ES27" s="17" t="str">
        <f>IF(VLOOKUP(BQ27,Fundamentus!A:U,17,FALSE)&lt;0.1,"Fraco retorno",IF(VLOOKUP(BQ27,Fundamentus!A:U,17,FALSE)&gt;0.1,"Bom retorno","n/a"))</f>
        <v>Bom retorno</v>
      </c>
      <c r="ET27" s="17" t="str">
        <f>IF(VLOOKUP(BQ27,Fundamentus!A:U,16,FALSE)&lt;0.1,"Ineficiente",IF(VLOOKUP(BQ27,Fundamentus!A:U,16,FALSE)&gt;0.1,"Eficiente","n/a"))</f>
        <v>Eficiente</v>
      </c>
      <c r="EU27" s="33" t="str">
        <f>IF(VLOOKUP(BQ27,Fundamentus!A:U,16,FALSE)&lt;0.1,"Oper. Ineficiente",IF(VLOOKUP(BQ27,Fundamentus!A:U,16,FALSE)&gt;0.1,"Oper.Eficiente","n/a"))</f>
        <v>Oper.Eficiente</v>
      </c>
      <c r="EV27" s="34">
        <f>VLOOKUP(BQ27,Fundamentus!A:U,14,FALSE)</f>
        <v>0.1333</v>
      </c>
      <c r="EW27" s="17" t="str">
        <f>IF(VLOOKUP(BQ27,Fundamentus!A:U,21,FALSE)&lt;0,"Negativo",IF(VLOOKUP(BQ27,Fundamentus!A:U,21,FALSE)&lt;0.05,"Fraco",IF(VLOOKUP(BQ27,Fundamentus!A:U,21,FALSE)&lt;0.1,"Bom",IF(VLOOKUP(BQ27,Fundamentus!A:U,21,FALSE)&gt;0.1,"Muito bom","n/a"))))</f>
        <v>Muito bom</v>
      </c>
      <c r="EY27" s="29" t="str">
        <f>IF(VLOOKUP(BQ27,Fundamentus!A:U,15,FALSE)&gt;1,"Bom",IF(VLOOKUP(BQ27,Fundamentus!A:U,15,FALSE)&lt;1,"Ruim","n/a"))</f>
        <v>Bom</v>
      </c>
      <c r="EZ27" s="17" t="str">
        <f>IF(VLOOKUP(BQ27,Fundamentus!A:U,20,FALSE)&lt;0.5,"Baixa",IF(VLOOKUP(BQ27,Fundamentus!A:U,20,FALSE)&lt;1,"Moderada",IF(VLOOKUP(BQ27,Fundamentus!A:U,20,FALSE)&lt;2,"Alerta",IF(VLOOKUP(BQ27,Fundamentus!A:U,20,FALSE)&gt;2,"Alta","n/a"))))</f>
        <v>Moderada</v>
      </c>
    </row>
    <row r="28" spans="1:157" s="2" customFormat="1" ht="11.25" hidden="1" x14ac:dyDescent="0.2">
      <c r="A28" s="4">
        <v>12.3</v>
      </c>
      <c r="B28" s="4">
        <v>11.86</v>
      </c>
      <c r="C28" s="4">
        <v>13.07</v>
      </c>
      <c r="D28" s="4">
        <v>13.05</v>
      </c>
      <c r="E28" s="4">
        <v>13</v>
      </c>
      <c r="F28" s="4">
        <v>13</v>
      </c>
      <c r="G28" s="4">
        <v>13.28</v>
      </c>
      <c r="H28" s="4">
        <v>13.01</v>
      </c>
      <c r="I28" s="4">
        <v>13.6</v>
      </c>
      <c r="J28" s="4">
        <v>14.05</v>
      </c>
      <c r="K28" s="4">
        <v>14.76</v>
      </c>
      <c r="L28" s="4">
        <v>14.74</v>
      </c>
      <c r="M28" s="4">
        <v>14.37</v>
      </c>
      <c r="N28" s="4">
        <v>14.57</v>
      </c>
      <c r="O28" s="4">
        <v>15.65</v>
      </c>
      <c r="P28" s="4">
        <v>15.75</v>
      </c>
      <c r="Q28" s="4">
        <v>16.3</v>
      </c>
      <c r="R28" s="4">
        <v>15.94</v>
      </c>
      <c r="S28" s="4">
        <v>15.05</v>
      </c>
      <c r="T28" s="4">
        <v>14.97</v>
      </c>
      <c r="U28" s="4">
        <v>13.96</v>
      </c>
      <c r="V28" s="4">
        <v>13.73</v>
      </c>
      <c r="W28" s="4">
        <v>14.5</v>
      </c>
      <c r="X28" s="4">
        <v>14.31</v>
      </c>
      <c r="Y28" s="4">
        <v>14.7</v>
      </c>
      <c r="Z28" s="4">
        <v>15.19</v>
      </c>
      <c r="AA28" s="4">
        <v>14.67</v>
      </c>
      <c r="AB28" s="4">
        <v>14.57</v>
      </c>
      <c r="AC28" s="4">
        <v>14.25</v>
      </c>
      <c r="AD28" s="4">
        <v>14.31</v>
      </c>
      <c r="AE28" s="4">
        <v>14.5</v>
      </c>
      <c r="AF28" s="4">
        <v>15.1</v>
      </c>
      <c r="AG28" s="4">
        <v>14.62</v>
      </c>
      <c r="AH28" s="4">
        <v>13.5</v>
      </c>
      <c r="AI28" s="4">
        <v>13.2</v>
      </c>
      <c r="AJ28" s="4">
        <v>13.18</v>
      </c>
      <c r="AK28" s="4">
        <v>13.3</v>
      </c>
      <c r="AL28" s="4">
        <v>13.3</v>
      </c>
      <c r="AM28" s="4">
        <v>13.15</v>
      </c>
      <c r="AN28" s="4">
        <v>13.54</v>
      </c>
      <c r="AO28" s="4">
        <v>13.66</v>
      </c>
      <c r="AP28" s="4">
        <v>14.67</v>
      </c>
      <c r="AQ28" s="4">
        <v>14.36</v>
      </c>
      <c r="AR28" s="4">
        <v>14.5</v>
      </c>
      <c r="AS28" s="4">
        <v>14.45</v>
      </c>
      <c r="AT28" s="4">
        <v>15</v>
      </c>
      <c r="AU28" s="4">
        <v>16.829999999999998</v>
      </c>
      <c r="AV28" s="4">
        <v>17.13</v>
      </c>
      <c r="AW28" s="4">
        <v>17.39</v>
      </c>
      <c r="AX28" s="4">
        <v>16.86</v>
      </c>
      <c r="AY28" s="12">
        <v>17.3</v>
      </c>
      <c r="AZ28" s="12">
        <v>17.649999999999999</v>
      </c>
      <c r="BA28" s="12">
        <v>18.91</v>
      </c>
      <c r="BB28" s="15">
        <v>19.079999999999998</v>
      </c>
      <c r="BC28" s="52">
        <v>19.37</v>
      </c>
      <c r="BD28" s="52">
        <v>19.149999999999999</v>
      </c>
      <c r="BE28" s="52">
        <v>19.059999999999999</v>
      </c>
      <c r="BF28" s="52">
        <v>20.059999999999999</v>
      </c>
      <c r="BG28" s="67">
        <v>19.100000000000001</v>
      </c>
      <c r="BH28" s="52">
        <v>19.45</v>
      </c>
      <c r="BI28" s="52">
        <v>19.690000000000001</v>
      </c>
      <c r="BJ28" s="52">
        <v>22.08</v>
      </c>
      <c r="BK28" s="52">
        <v>21.89</v>
      </c>
      <c r="BL28" s="52">
        <v>21.6</v>
      </c>
      <c r="BM28" s="52">
        <v>20.36</v>
      </c>
      <c r="BN28" s="52">
        <v>20.23</v>
      </c>
      <c r="BO28" s="52">
        <v>20.399999999999999</v>
      </c>
      <c r="BP28" s="52" cm="1">
        <f t="array" aca="1" ref="BP28" ca="1">_FV(ED28,"Preço")</f>
        <v>21.45</v>
      </c>
      <c r="BQ28" s="69" t="s">
        <v>25</v>
      </c>
      <c r="BR28" s="36" cm="1">
        <f t="array" aca="1" ref="BR28" ca="1">_FV(ED28,"Média de volume",TRUE)</f>
        <v>303910</v>
      </c>
      <c r="BS28" s="36">
        <v>320300</v>
      </c>
      <c r="BT28" s="36" cm="1">
        <f t="array" aca="1" ref="BT28" ca="1">_FV(ED28,"Volume")</f>
        <v>952600</v>
      </c>
      <c r="BU28" s="24" cm="1">
        <f t="array" aca="1" ref="BU28" ca="1">_FV(ED28,"Beta")</f>
        <v>1.216</v>
      </c>
      <c r="BV28" s="71" cm="1">
        <f t="array" aca="1" ref="BV28" ca="1">_FV(ED28,"Variação (%)",TRUE)</f>
        <v>9.0493000000000004E-2</v>
      </c>
      <c r="BX28" s="17" cm="1">
        <f t="array" aca="1" ref="BX28" ca="1">_FV(ED28,"Baixo")</f>
        <v>19.82</v>
      </c>
      <c r="BY28" s="17" cm="1">
        <f t="array" aca="1" ref="BY28" ca="1">_FV(ED28,"Alto")</f>
        <v>21.8</v>
      </c>
      <c r="BZ28" s="24"/>
      <c r="CA28" s="63">
        <f ca="1">SQRT(22.5*(BP28/VLOOKUP(BQ28,Fundamentus!A:U,3,FALSE))*(BP28/VLOOKUP(BQ28,Fundamentus!A:U,4,FALSE)))</f>
        <v>21.81067732009463</v>
      </c>
      <c r="CC28" s="62">
        <f t="shared" ca="1" si="24"/>
        <v>5.1470588235294157E-2</v>
      </c>
      <c r="CD28" s="8"/>
      <c r="CE28" s="61">
        <f t="shared" si="25"/>
        <v>11.86</v>
      </c>
      <c r="CF28" s="61">
        <f t="shared" si="26"/>
        <v>22.08</v>
      </c>
      <c r="CG28" s="61">
        <f t="shared" si="27"/>
        <v>15.733283582089554</v>
      </c>
      <c r="CH28" s="14"/>
      <c r="CI28" s="35">
        <f t="shared" si="1"/>
        <v>18.311997505348049</v>
      </c>
      <c r="CJ28" s="15">
        <f t="shared" si="28"/>
        <v>19.715000000000146</v>
      </c>
      <c r="CK28" s="35">
        <f t="shared" si="2"/>
        <v>21.118002494652242</v>
      </c>
      <c r="CM28" s="14"/>
      <c r="CN28" s="17">
        <f t="shared" si="3"/>
        <v>3.9266666666666694</v>
      </c>
      <c r="CO28" s="17">
        <f t="shared" si="4"/>
        <v>7.8933333333333344</v>
      </c>
      <c r="CP28" s="17">
        <f t="shared" si="5"/>
        <v>14.146666666666668</v>
      </c>
      <c r="CQ28" s="38">
        <f t="shared" si="29"/>
        <v>18.113333333333333</v>
      </c>
      <c r="CR28" s="17">
        <f t="shared" si="6"/>
        <v>24.366666666666667</v>
      </c>
      <c r="CS28" s="17">
        <f t="shared" si="7"/>
        <v>28.333333333333332</v>
      </c>
      <c r="CT28" s="17">
        <f t="shared" si="8"/>
        <v>34.586666666666666</v>
      </c>
      <c r="CU28" s="2" cm="1">
        <f t="array" aca="1" ref="CU28" ca="1">MAX(_xlfn._xlws.FILTER(CN28:CT28,CN28:CT28&lt;BP28))</f>
        <v>18.113333333333333</v>
      </c>
      <c r="CV28" s="2" cm="1">
        <f t="array" aca="1" ref="CV28" ca="1">MIN(_xlfn._xlws.FILTER($CN28:$CT28,$CN28:$CT28&gt;BP28))</f>
        <v>24.366666666666667</v>
      </c>
      <c r="CW28" s="16">
        <f t="shared" ca="1" si="63"/>
        <v>0.34523371365476629</v>
      </c>
      <c r="CX28" s="20">
        <f t="shared" ca="1" si="64"/>
        <v>-0.17261685682738315</v>
      </c>
      <c r="CY28" s="20">
        <f t="shared" ca="1" si="65"/>
        <v>-0.11507790455158877</v>
      </c>
      <c r="CZ28" s="20">
        <f t="shared" ca="1" si="66"/>
        <v>-6.9046742730953264E-2</v>
      </c>
      <c r="DA28" s="20">
        <f t="shared" ca="1" si="67"/>
        <v>-3.8359301517196256E-2</v>
      </c>
      <c r="DB28" s="20">
        <f t="shared" ca="1" si="68"/>
        <v>-2.0307865509103899E-2</v>
      </c>
      <c r="DC28" s="20">
        <f t="shared" ca="1" si="69"/>
        <v>-1.046162768650807E-2</v>
      </c>
      <c r="DD28" s="20">
        <f t="shared" ca="1" si="70"/>
        <v>-5.3112879023810202E-3</v>
      </c>
      <c r="DE28" s="21">
        <f t="shared" ca="1" si="71"/>
        <v>5.3112879023810202E-3</v>
      </c>
      <c r="DF28" s="21">
        <f t="shared" ca="1" si="72"/>
        <v>1.046162768650807E-2</v>
      </c>
      <c r="DG28" s="21">
        <f t="shared" ca="1" si="73"/>
        <v>2.0307865509103899E-2</v>
      </c>
      <c r="DH28" s="21">
        <f t="shared" ca="1" si="74"/>
        <v>3.8359301517196256E-2</v>
      </c>
      <c r="DI28" s="21">
        <f t="shared" ca="1" si="75"/>
        <v>6.9046742730953264E-2</v>
      </c>
      <c r="DJ28" s="21">
        <f t="shared" ca="1" si="76"/>
        <v>0.11507790455158877</v>
      </c>
      <c r="DK28" s="21">
        <f t="shared" ca="1" si="77"/>
        <v>0.17261685682738315</v>
      </c>
      <c r="DM28" s="16" cm="1">
        <f t="array" aca="1" ref="DM28" ca="1">MAX(_xlfn._xlws.FILTER(CX28:DK28,CX28:DK28&lt;BV28))</f>
        <v>6.9046742730953264E-2</v>
      </c>
      <c r="DN28" s="16" cm="1">
        <f t="array" aca="1" ref="DN28" ca="1">MIN(_xlfn._xlws.FILTER(CX28:DK28,CX28:DK28&gt;BV28))</f>
        <v>0.11507790455158877</v>
      </c>
      <c r="DO28" s="2" cm="1">
        <f t="array" aca="1" ref="DO28" ca="1">_FV(ED28,"Fechamento anterior",TRUE)</f>
        <v>19.670000000000002</v>
      </c>
      <c r="DP28" s="28">
        <f t="shared" ca="1" si="15"/>
        <v>0.4659103350268739</v>
      </c>
      <c r="DQ28" s="15">
        <f t="shared" ca="1" si="78"/>
        <v>21.028149429517853</v>
      </c>
      <c r="DR28" s="15">
        <f t="shared" ca="1" si="79"/>
        <v>21.933582382529753</v>
      </c>
      <c r="DS28" s="9"/>
      <c r="DT28" s="9"/>
      <c r="DU28" s="9"/>
      <c r="DV28" s="89">
        <v>5.1503397841270501E-3</v>
      </c>
      <c r="DW28" s="89">
        <f t="shared" ca="1" si="18"/>
        <v>4.6031161820635505E-2</v>
      </c>
      <c r="DX28" s="72">
        <f t="shared" ca="1" si="19"/>
        <v>1.2366335816317158</v>
      </c>
      <c r="DY28" s="37"/>
      <c r="DZ28" s="35">
        <f t="shared" si="39"/>
        <v>0.70150124732604779</v>
      </c>
      <c r="EA28" s="56"/>
      <c r="EB28" s="56"/>
      <c r="ED28" s="2" t="e" vm="28">
        <v>#VALUE!</v>
      </c>
      <c r="EF28" s="10" cm="1">
        <f t="array" aca="1" ref="EF28" ca="1">_FV(ED28,"Ações em circulação",TRUE)</f>
        <v>85608390</v>
      </c>
      <c r="EG28" s="18">
        <f>VLOOKUP(BQ28,Fundamentus!A:U,5,FALSE)</f>
        <v>1.179</v>
      </c>
      <c r="EH28" s="2">
        <f t="shared" ca="1" si="20"/>
        <v>1557506332.0610685</v>
      </c>
      <c r="EI28" s="17">
        <v>125166872.50381678</v>
      </c>
      <c r="EJ28" s="17">
        <f t="shared" ca="1" si="21"/>
        <v>131609285.05916031</v>
      </c>
      <c r="EL28" s="16">
        <f t="shared" ca="1" si="22"/>
        <v>5.1470588235294157E-2</v>
      </c>
      <c r="EM28" s="32" t="str">
        <f>IF(VLOOKUP(BQ28,Fundamentus!A:U,3,FALSE)&lt;15,"Bom",IF(VLOOKUP(BQ28,Fundamentus!A:U,3,FALSE)&gt;15,"Ruim","n/a"))</f>
        <v>Bom</v>
      </c>
      <c r="EN28" s="28" t="str">
        <f>IF(VLOOKUP(BQ28,Fundamentus!A:U,4,FALSE)&lt;1,"Baixo",IF(VLOOKUP(BQ28,Fundamentus!A:U,4,FALSE)&lt;1.5,"Moderado",IF(VLOOKUP(BQ28,Fundamentus!A:U,4,FALSE)&gt;1.5,"Alto","n/a")))</f>
        <v>Alto</v>
      </c>
      <c r="EO28" s="17" t="str">
        <f>IF(VLOOKUP(BQ28,Fundamentus!A:U,8,FALSE)&lt;0,"Risco elevado",IF(VLOOKUP(BQ28,Fundamentus!A:U,8,FALSE)&lt;1,"Saudável",IF(VLOOKUP(BQ28,Fundamentus!A:U,8,FALSE)&lt;3,"Estável",IF(VLOOKUP(BQ28,Fundamentus!A:U,8,FALSE)&gt;3,"Alerta","n/a"))))</f>
        <v>Estável</v>
      </c>
      <c r="EP28" s="28" t="str">
        <f t="shared" si="23"/>
        <v>Bom</v>
      </c>
      <c r="EQ28" s="17" t="str">
        <f>IF(VLOOKUP(BQ28,Fundamentus!A:U,12,FALSE)&lt;2,"Subvalorizada",IF(VLOOKUP(BQ28,Fundamentus!A:U,12,FALSE)&lt;6,"Muita barata",IF(VLOOKUP(BQ28,Fundamentus!A:U,12,FALSE)&lt;6,"Barata",IF(VLOOKUP(BQ28,Fundamentus!A:U,12,FALSE)&lt;8,"Atrativa",IF(VLOOKUP(BQ28,Fundamentus!A:U,12,FALSE)&gt;8,"Supervalorizada","n/a")))))</f>
        <v>Atrativa</v>
      </c>
      <c r="ES28" s="17" t="str">
        <f>IF(VLOOKUP(BQ28,Fundamentus!A:U,17,FALSE)&lt;0.1,"Fraco retorno",IF(VLOOKUP(BQ28,Fundamentus!A:U,17,FALSE)&gt;0.1,"Bom retorno","n/a"))</f>
        <v>Bom retorno</v>
      </c>
      <c r="ET28" s="17" t="str">
        <f>IF(VLOOKUP(BQ28,Fundamentus!A:U,16,FALSE)&lt;0.1,"Ineficiente",IF(VLOOKUP(BQ28,Fundamentus!A:U,16,FALSE)&gt;0.1,"Eficiente","n/a"))</f>
        <v>Eficiente</v>
      </c>
      <c r="EU28" s="33" t="str">
        <f>IF(VLOOKUP(BQ28,Fundamentus!A:U,16,FALSE)&lt;0.1,"Oper. Ineficiente",IF(VLOOKUP(BQ28,Fundamentus!A:U,16,FALSE)&gt;0.1,"Oper.Eficiente","n/a"))</f>
        <v>Oper.Eficiente</v>
      </c>
      <c r="EV28" s="34">
        <f>VLOOKUP(BQ28,Fundamentus!A:U,14,FALSE)</f>
        <v>8.4500000000000006E-2</v>
      </c>
      <c r="EW28" s="17" t="str">
        <f>IF(VLOOKUP(BQ28,Fundamentus!A:U,21,FALSE)&lt;0,"Negativo",IF(VLOOKUP(BQ28,Fundamentus!A:U,21,FALSE)&lt;0.05,"Fraco",IF(VLOOKUP(BQ28,Fundamentus!A:U,21,FALSE)&lt;0.1,"Bom",IF(VLOOKUP(BQ28,Fundamentus!A:U,21,FALSE)&gt;0.1,"Muito bom","n/a"))))</f>
        <v>Muito bom</v>
      </c>
      <c r="EY28" s="29" t="str">
        <f>IF(VLOOKUP(BQ28,Fundamentus!A:U,15,FALSE)&gt;1,"Bom",IF(VLOOKUP(BQ28,Fundamentus!A:U,15,FALSE)&lt;1,"Ruim","n/a"))</f>
        <v>Bom</v>
      </c>
      <c r="EZ28" s="17" t="str">
        <f>IF(VLOOKUP(BQ28,Fundamentus!A:U,20,FALSE)&lt;0.5,"Baixa",IF(VLOOKUP(BQ28,Fundamentus!A:U,20,FALSE)&lt;1,"Moderada",IF(VLOOKUP(BQ28,Fundamentus!A:U,20,FALSE)&lt;2,"Alerta",IF(VLOOKUP(BQ28,Fundamentus!A:U,20,FALSE)&gt;2,"Alta","n/a"))))</f>
        <v>Baixa</v>
      </c>
    </row>
    <row r="29" spans="1:157" s="2" customFormat="1" ht="11.25" hidden="1" x14ac:dyDescent="0.2">
      <c r="A29" s="4">
        <v>48.25</v>
      </c>
      <c r="B29" s="4">
        <v>44.8</v>
      </c>
      <c r="C29" s="4">
        <v>45</v>
      </c>
      <c r="D29" s="4">
        <v>43.86</v>
      </c>
      <c r="E29" s="4">
        <v>45.6</v>
      </c>
      <c r="F29" s="4">
        <v>44.3</v>
      </c>
      <c r="G29" s="4">
        <v>40.369999999999997</v>
      </c>
      <c r="H29" s="4">
        <v>41</v>
      </c>
      <c r="I29" s="4">
        <v>44.5</v>
      </c>
      <c r="J29" s="4">
        <v>44.62</v>
      </c>
      <c r="K29" s="4">
        <v>44.8</v>
      </c>
      <c r="L29" s="4">
        <v>43.33</v>
      </c>
      <c r="M29" s="4">
        <v>43.09</v>
      </c>
      <c r="N29" s="4">
        <v>43.5</v>
      </c>
      <c r="O29" s="4">
        <v>42.39</v>
      </c>
      <c r="P29" s="4">
        <v>42</v>
      </c>
      <c r="Q29" s="4">
        <v>44.36</v>
      </c>
      <c r="R29" s="4">
        <v>44.88</v>
      </c>
      <c r="S29" s="4">
        <v>42.93</v>
      </c>
      <c r="T29" s="4">
        <v>40.69</v>
      </c>
      <c r="U29" s="4">
        <v>40.15</v>
      </c>
      <c r="V29" s="4">
        <v>39.36</v>
      </c>
      <c r="W29" s="4">
        <v>37.32</v>
      </c>
      <c r="X29" s="4">
        <v>36</v>
      </c>
      <c r="Y29" s="4">
        <v>36.6</v>
      </c>
      <c r="Z29" s="4">
        <v>35.01</v>
      </c>
      <c r="AA29" s="4">
        <v>36</v>
      </c>
      <c r="AB29" s="4">
        <v>33</v>
      </c>
      <c r="AC29" s="4">
        <v>33.549999999999997</v>
      </c>
      <c r="AD29" s="4">
        <v>34.18</v>
      </c>
      <c r="AE29" s="4">
        <v>37</v>
      </c>
      <c r="AF29" s="4">
        <v>35.68</v>
      </c>
      <c r="AG29" s="4">
        <v>33.28</v>
      </c>
      <c r="AH29" s="4">
        <v>36.880000000000003</v>
      </c>
      <c r="AI29" s="4">
        <v>38.19</v>
      </c>
      <c r="AJ29" s="4">
        <v>38.99</v>
      </c>
      <c r="AK29" s="4">
        <v>38.19</v>
      </c>
      <c r="AL29" s="4">
        <v>37.03</v>
      </c>
      <c r="AM29" s="4">
        <v>37.9</v>
      </c>
      <c r="AN29" s="4">
        <v>41.79</v>
      </c>
      <c r="AO29" s="4">
        <v>41.89</v>
      </c>
      <c r="AP29" s="4">
        <v>41.95</v>
      </c>
      <c r="AQ29" s="4">
        <v>42.73</v>
      </c>
      <c r="AR29" s="4">
        <v>43.8</v>
      </c>
      <c r="AS29" s="4">
        <v>43.78</v>
      </c>
      <c r="AT29" s="4">
        <v>43.42</v>
      </c>
      <c r="AU29" s="4">
        <v>40.994999999999997</v>
      </c>
      <c r="AV29" s="4">
        <v>43.39</v>
      </c>
      <c r="AW29" s="4">
        <v>43.47</v>
      </c>
      <c r="AX29" s="4">
        <v>39.659999999999997</v>
      </c>
      <c r="AY29" s="12">
        <v>39.22</v>
      </c>
      <c r="AZ29" s="12">
        <v>40.97</v>
      </c>
      <c r="BA29" s="12">
        <v>43.8</v>
      </c>
      <c r="BB29" s="15">
        <v>41.32</v>
      </c>
      <c r="BC29" s="52">
        <v>42.19</v>
      </c>
      <c r="BD29" s="52">
        <v>41.6</v>
      </c>
      <c r="BE29" s="52">
        <v>43.96</v>
      </c>
      <c r="BF29" s="52">
        <v>40.89</v>
      </c>
      <c r="BG29" s="67">
        <v>42.15</v>
      </c>
      <c r="BH29" s="52">
        <v>43.2</v>
      </c>
      <c r="BI29" s="52">
        <v>42.23</v>
      </c>
      <c r="BJ29" s="52">
        <v>43.87</v>
      </c>
      <c r="BK29" s="52">
        <v>43.16</v>
      </c>
      <c r="BL29" s="52">
        <v>43.67</v>
      </c>
      <c r="BM29" s="52">
        <v>42.49</v>
      </c>
      <c r="BN29" s="52">
        <v>43.98</v>
      </c>
      <c r="BO29" s="52">
        <v>42.23</v>
      </c>
      <c r="BP29" s="52" cm="1">
        <f t="array" aca="1" ref="BP29" ca="1">_FV(ED29,"Preço")</f>
        <v>39.72</v>
      </c>
      <c r="BQ29" s="69" t="s">
        <v>26</v>
      </c>
      <c r="BR29" s="36" cm="1">
        <f t="array" aca="1" ref="BR29" ca="1">_FV(ED29,"Média de volume",TRUE)</f>
        <v>29720</v>
      </c>
      <c r="BS29" s="36">
        <v>19100</v>
      </c>
      <c r="BT29" s="36" cm="1">
        <f t="array" aca="1" ref="BT29" ca="1">_FV(ED29,"Volume")</f>
        <v>800</v>
      </c>
      <c r="BU29" s="24" cm="1">
        <f t="array" aca="1" ref="BU29" ca="1">_FV(ED29,"Beta")</f>
        <v>0.43830000000000002</v>
      </c>
      <c r="BV29" s="71" cm="1">
        <f t="array" aca="1" ref="BV29" ca="1">_FV(ED29,"Variação (%)",TRUE)</f>
        <v>-4.5110000000000003E-3</v>
      </c>
      <c r="BX29" s="17" cm="1">
        <f t="array" aca="1" ref="BX29" ca="1">_FV(ED29,"Baixo")</f>
        <v>39.71</v>
      </c>
      <c r="BY29" s="17" cm="1">
        <f t="array" aca="1" ref="BY29" ca="1">_FV(ED29,"Alto")</f>
        <v>40.21</v>
      </c>
      <c r="BZ29" s="24"/>
      <c r="CA29" s="63">
        <f ca="1">SQRT(22.5*(BP29/VLOOKUP(BQ29,Fundamentus!A:U,3,FALSE))*(BP29/VLOOKUP(BQ29,Fundamentus!A:U,4,FALSE)))</f>
        <v>65.292219520867022</v>
      </c>
      <c r="CC29" s="62">
        <f t="shared" ca="1" si="24"/>
        <v>-5.9436419606914474E-2</v>
      </c>
      <c r="CD29" s="8"/>
      <c r="CE29" s="61">
        <f t="shared" si="25"/>
        <v>33</v>
      </c>
      <c r="CF29" s="61">
        <f t="shared" si="26"/>
        <v>48.25</v>
      </c>
      <c r="CG29" s="61">
        <f t="shared" si="27"/>
        <v>41.140074626865669</v>
      </c>
      <c r="CH29" s="14"/>
      <c r="CI29" s="35">
        <f t="shared" si="1"/>
        <v>41.048820371357195</v>
      </c>
      <c r="CJ29" s="15">
        <f t="shared" si="28"/>
        <v>42.384999999999991</v>
      </c>
      <c r="CK29" s="35">
        <f t="shared" si="2"/>
        <v>43.721179628642787</v>
      </c>
      <c r="CM29" s="14"/>
      <c r="CN29" s="17">
        <f t="shared" si="3"/>
        <v>18.819999999999993</v>
      </c>
      <c r="CO29" s="17">
        <f t="shared" si="4"/>
        <v>25.909999999999997</v>
      </c>
      <c r="CP29" s="17">
        <f t="shared" si="5"/>
        <v>34.069999999999993</v>
      </c>
      <c r="CQ29" s="38">
        <f t="shared" si="29"/>
        <v>41.16</v>
      </c>
      <c r="CR29" s="17">
        <f t="shared" si="6"/>
        <v>49.319999999999993</v>
      </c>
      <c r="CS29" s="17">
        <f t="shared" si="7"/>
        <v>56.41</v>
      </c>
      <c r="CT29" s="17">
        <f t="shared" si="8"/>
        <v>64.569999999999993</v>
      </c>
      <c r="CU29" s="2" cm="1">
        <f t="array" aca="1" ref="CU29" ca="1">MAX(_xlfn._xlws.FILTER(CN29:CT29,CN29:CT29&lt;BP29))</f>
        <v>34.069999999999993</v>
      </c>
      <c r="CV29" s="2" cm="1">
        <f t="array" aca="1" ref="CV29" ca="1">MIN(_xlfn._xlws.FILTER($CN29:$CT29,$CN29:$CT29&gt;BP29))</f>
        <v>41.16</v>
      </c>
      <c r="CW29" s="16">
        <f t="shared" ca="1" si="63"/>
        <v>0.20810096859407112</v>
      </c>
      <c r="CX29" s="20">
        <f t="shared" ca="1" si="64"/>
        <v>-0.10405048429703556</v>
      </c>
      <c r="CY29" s="20">
        <f t="shared" ca="1" si="65"/>
        <v>-6.9366989531357046E-2</v>
      </c>
      <c r="CZ29" s="20">
        <f t="shared" ca="1" si="66"/>
        <v>-4.1620193718814223E-2</v>
      </c>
      <c r="DA29" s="20">
        <f t="shared" ca="1" si="67"/>
        <v>-2.3122329843785681E-2</v>
      </c>
      <c r="DB29" s="20">
        <f t="shared" ca="1" si="68"/>
        <v>-1.2241233446710065E-2</v>
      </c>
      <c r="DC29" s="20">
        <f t="shared" ca="1" si="69"/>
        <v>-6.3060899573960947E-3</v>
      </c>
      <c r="DD29" s="20">
        <f t="shared" ca="1" si="70"/>
        <v>-3.2015533629857094E-3</v>
      </c>
      <c r="DE29" s="21">
        <f t="shared" ca="1" si="71"/>
        <v>3.2015533629857094E-3</v>
      </c>
      <c r="DF29" s="21">
        <f t="shared" ca="1" si="72"/>
        <v>6.3060899573960947E-3</v>
      </c>
      <c r="DG29" s="21">
        <f t="shared" ca="1" si="73"/>
        <v>1.2241233446710065E-2</v>
      </c>
      <c r="DH29" s="21">
        <f t="shared" ca="1" si="74"/>
        <v>2.3122329843785681E-2</v>
      </c>
      <c r="DI29" s="21">
        <f t="shared" ca="1" si="75"/>
        <v>4.1620193718814223E-2</v>
      </c>
      <c r="DJ29" s="21">
        <f t="shared" ca="1" si="76"/>
        <v>6.9366989531357046E-2</v>
      </c>
      <c r="DK29" s="21">
        <f t="shared" ca="1" si="77"/>
        <v>0.10405048429703556</v>
      </c>
      <c r="DM29" s="16" cm="1">
        <f t="array" aca="1" ref="DM29" ca="1">MAX(_xlfn._xlws.FILTER(CX29:DK29,CX29:DK29&lt;BV29))</f>
        <v>-6.3060899573960947E-3</v>
      </c>
      <c r="DN29" s="16" cm="1">
        <f t="array" aca="1" ref="DN29" ca="1">MIN(_xlfn._xlws.FILTER(CX29:DK29,CX29:DK29&gt;BV29))</f>
        <v>-3.2015533629857094E-3</v>
      </c>
      <c r="DO29" s="2" cm="1">
        <f t="array" aca="1" ref="DO29" ca="1">_FV(ED29,"Fechamento anterior",TRUE)</f>
        <v>39.9</v>
      </c>
      <c r="DP29" s="28">
        <f t="shared" ca="1" si="15"/>
        <v>0.57812549709959082</v>
      </c>
      <c r="DQ29" s="15">
        <f t="shared" ca="1" si="78"/>
        <v>39.648387010699892</v>
      </c>
      <c r="DR29" s="15">
        <f t="shared" ca="1" si="79"/>
        <v>39.772258020816871</v>
      </c>
      <c r="DS29" s="9"/>
      <c r="DT29" s="9"/>
      <c r="DU29" s="9"/>
      <c r="DV29" s="89">
        <v>1.0366051182377715E-2</v>
      </c>
      <c r="DW29" s="89">
        <f t="shared" ca="1" si="18"/>
        <v>3.1045365944103853E-3</v>
      </c>
      <c r="DX29" s="72">
        <f t="shared" ca="1" si="19"/>
        <v>-1.9944923144105444</v>
      </c>
      <c r="DY29" s="37"/>
      <c r="DZ29" s="35">
        <f t="shared" si="39"/>
        <v>0.6680898143213978</v>
      </c>
      <c r="EA29" s="56"/>
      <c r="EB29" s="56"/>
      <c r="ED29" s="2" t="e" vm="29">
        <v>#VALUE!</v>
      </c>
      <c r="EF29" s="10" cm="1">
        <f t="array" aca="1" ref="EF29" ca="1">_FV(ED29,"Ações em circulação",TRUE)</f>
        <v>9137260</v>
      </c>
      <c r="EG29" s="18">
        <f>VLOOKUP(BQ29,Fundamentus!A:U,5,FALSE)</f>
        <v>0.72599999999999998</v>
      </c>
      <c r="EH29" s="2">
        <f t="shared" ca="1" si="20"/>
        <v>499906290.90909094</v>
      </c>
      <c r="EI29" s="17">
        <v>37523655.895151511</v>
      </c>
      <c r="EJ29" s="17">
        <f t="shared" ca="1" si="21"/>
        <v>35293384.138181821</v>
      </c>
      <c r="EL29" s="16">
        <f t="shared" ca="1" si="22"/>
        <v>-5.943641960691437E-2</v>
      </c>
      <c r="EM29" s="32" t="str">
        <f>IF(VLOOKUP(BQ29,Fundamentus!A:U,3,FALSE)&lt;15,"Bom",IF(VLOOKUP(BQ29,Fundamentus!A:U,3,FALSE)&gt;15,"Ruim","n/a"))</f>
        <v>Bom</v>
      </c>
      <c r="EN29" s="28" t="str">
        <f>IF(VLOOKUP(BQ29,Fundamentus!A:U,4,FALSE)&lt;1,"Baixo",IF(VLOOKUP(BQ29,Fundamentus!A:U,4,FALSE)&lt;1.5,"Moderado",IF(VLOOKUP(BQ29,Fundamentus!A:U,4,FALSE)&gt;1.5,"Alto","n/a")))</f>
        <v>Baixo</v>
      </c>
      <c r="EO29" s="17" t="str">
        <f>IF(VLOOKUP(BQ29,Fundamentus!A:U,8,FALSE)&lt;0,"Risco elevado",IF(VLOOKUP(BQ29,Fundamentus!A:U,8,FALSE)&lt;1,"Saudável",IF(VLOOKUP(BQ29,Fundamentus!A:U,8,FALSE)&lt;3,"Estável",IF(VLOOKUP(BQ29,Fundamentus!A:U,8,FALSE)&gt;3,"Alerta","n/a"))))</f>
        <v>Estável</v>
      </c>
      <c r="EP29" s="28" t="str">
        <f t="shared" si="23"/>
        <v>Ruim</v>
      </c>
      <c r="EQ29" s="17" t="str">
        <f>IF(VLOOKUP(BQ29,Fundamentus!A:U,12,FALSE)&lt;2,"Subvalorizada",IF(VLOOKUP(BQ29,Fundamentus!A:U,12,FALSE)&lt;6,"Muita barata",IF(VLOOKUP(BQ29,Fundamentus!A:U,12,FALSE)&lt;6,"Barata",IF(VLOOKUP(BQ29,Fundamentus!A:U,12,FALSE)&lt;8,"Atrativa",IF(VLOOKUP(BQ29,Fundamentus!A:U,12,FALSE)&gt;8,"Supervalorizada","n/a")))))</f>
        <v>Muita barata</v>
      </c>
      <c r="ES29" s="17" t="str">
        <f>IF(VLOOKUP(BQ29,Fundamentus!A:U,17,FALSE)&lt;0.1,"Fraco retorno",IF(VLOOKUP(BQ29,Fundamentus!A:U,17,FALSE)&gt;0.1,"Bom retorno","n/a"))</f>
        <v>Fraco retorno</v>
      </c>
      <c r="ET29" s="17" t="str">
        <f>IF(VLOOKUP(BQ29,Fundamentus!A:U,16,FALSE)&lt;0.1,"Ineficiente",IF(VLOOKUP(BQ29,Fundamentus!A:U,16,FALSE)&gt;0.1,"Eficiente","n/a"))</f>
        <v>Eficiente</v>
      </c>
      <c r="EU29" s="33" t="str">
        <f>IF(VLOOKUP(BQ29,Fundamentus!A:U,16,FALSE)&lt;0.1,"Oper. Ineficiente",IF(VLOOKUP(BQ29,Fundamentus!A:U,16,FALSE)&gt;0.1,"Oper.Eficiente","n/a"))</f>
        <v>Oper.Eficiente</v>
      </c>
      <c r="EV29" s="34">
        <f>VLOOKUP(BQ29,Fundamentus!A:U,14,FALSE)</f>
        <v>7.0599999999999996E-2</v>
      </c>
      <c r="EW29" s="17" t="str">
        <f>IF(VLOOKUP(BQ29,Fundamentus!A:U,21,FALSE)&lt;0,"Negativo",IF(VLOOKUP(BQ29,Fundamentus!A:U,21,FALSE)&lt;0.05,"Fraco",IF(VLOOKUP(BQ29,Fundamentus!A:U,21,FALSE)&lt;0.1,"Bom",IF(VLOOKUP(BQ29,Fundamentus!A:U,21,FALSE)&gt;0.1,"Muito bom","n/a"))))</f>
        <v>Fraco</v>
      </c>
      <c r="EY29" s="29" t="str">
        <f>IF(VLOOKUP(BQ29,Fundamentus!A:U,15,FALSE)&gt;1,"Bom",IF(VLOOKUP(BQ29,Fundamentus!A:U,15,FALSE)&lt;1,"Ruim","n/a"))</f>
        <v>Bom</v>
      </c>
      <c r="EZ29" s="17" t="str">
        <f>IF(VLOOKUP(BQ29,Fundamentus!A:U,20,FALSE)&lt;0.5,"Baixa",IF(VLOOKUP(BQ29,Fundamentus!A:U,20,FALSE)&lt;1,"Moderada",IF(VLOOKUP(BQ29,Fundamentus!A:U,20,FALSE)&lt;2,"Alerta",IF(VLOOKUP(BQ29,Fundamentus!A:U,20,FALSE)&gt;2,"Alta","n/a"))))</f>
        <v>Baixa</v>
      </c>
    </row>
    <row r="30" spans="1:157" s="2" customFormat="1" ht="11.25" hidden="1" x14ac:dyDescent="0.2">
      <c r="A30" s="4">
        <v>10.6</v>
      </c>
      <c r="B30" s="4">
        <v>10.1</v>
      </c>
      <c r="C30" s="4">
        <v>10.02</v>
      </c>
      <c r="D30" s="4">
        <v>10.220000000000001</v>
      </c>
      <c r="E30" s="4">
        <v>10.75</v>
      </c>
      <c r="F30" s="4">
        <v>10.55</v>
      </c>
      <c r="G30" s="4">
        <v>10.45</v>
      </c>
      <c r="H30" s="4">
        <v>10.64</v>
      </c>
      <c r="I30" s="4">
        <v>10.52</v>
      </c>
      <c r="J30" s="4">
        <v>10.53</v>
      </c>
      <c r="K30" s="4">
        <v>11.26</v>
      </c>
      <c r="L30" s="4">
        <v>11.15</v>
      </c>
      <c r="M30" s="4">
        <v>11.32</v>
      </c>
      <c r="N30" s="4">
        <v>11.33</v>
      </c>
      <c r="O30" s="4">
        <v>11.95</v>
      </c>
      <c r="P30" s="4">
        <v>12.3</v>
      </c>
      <c r="Q30" s="4">
        <v>12.3</v>
      </c>
      <c r="R30" s="4">
        <v>12.68</v>
      </c>
      <c r="S30" s="4">
        <v>12.4</v>
      </c>
      <c r="T30" s="4">
        <v>12.23</v>
      </c>
      <c r="U30" s="4">
        <v>11.85</v>
      </c>
      <c r="V30" s="4">
        <v>12.56</v>
      </c>
      <c r="W30" s="4">
        <v>12.49</v>
      </c>
      <c r="X30" s="4">
        <v>12.2</v>
      </c>
      <c r="Y30" s="4">
        <v>11.96</v>
      </c>
      <c r="Z30" s="4">
        <v>12.2</v>
      </c>
      <c r="AA30" s="4">
        <v>11.93</v>
      </c>
      <c r="AB30" s="4">
        <v>11.55</v>
      </c>
      <c r="AC30" s="4">
        <v>11.59</v>
      </c>
      <c r="AD30" s="4">
        <v>11.25</v>
      </c>
      <c r="AE30" s="4">
        <v>10.61</v>
      </c>
      <c r="AF30" s="4">
        <v>9.91</v>
      </c>
      <c r="AG30" s="4">
        <v>10.43</v>
      </c>
      <c r="AH30" s="4">
        <v>10.64</v>
      </c>
      <c r="AI30" s="4">
        <v>10.66</v>
      </c>
      <c r="AJ30" s="4">
        <v>10.49</v>
      </c>
      <c r="AK30" s="4">
        <v>10.74</v>
      </c>
      <c r="AL30" s="4">
        <v>11.22</v>
      </c>
      <c r="AM30" s="4">
        <v>11.2</v>
      </c>
      <c r="AN30" s="4">
        <v>11.4</v>
      </c>
      <c r="AO30" s="4">
        <v>10.48</v>
      </c>
      <c r="AP30" s="4">
        <v>10.84</v>
      </c>
      <c r="AQ30" s="4">
        <v>10.69</v>
      </c>
      <c r="AR30" s="4">
        <v>10.3</v>
      </c>
      <c r="AS30" s="4">
        <v>10.25</v>
      </c>
      <c r="AT30" s="4">
        <v>10.3</v>
      </c>
      <c r="AU30" s="4">
        <v>10.09</v>
      </c>
      <c r="AV30" s="4">
        <v>10.45</v>
      </c>
      <c r="AW30" s="4">
        <v>9.76</v>
      </c>
      <c r="AX30" s="4">
        <v>9.5</v>
      </c>
      <c r="AY30" s="12">
        <v>9.6300000000000008</v>
      </c>
      <c r="AZ30" s="12">
        <v>9.5</v>
      </c>
      <c r="BA30" s="12">
        <v>9.5</v>
      </c>
      <c r="BB30" s="15">
        <v>9.84</v>
      </c>
      <c r="BC30" s="52">
        <v>10.1</v>
      </c>
      <c r="BD30" s="52">
        <v>9.7100000000000009</v>
      </c>
      <c r="BE30" s="52">
        <v>9.75</v>
      </c>
      <c r="BF30" s="52">
        <v>9.6</v>
      </c>
      <c r="BG30" s="67">
        <v>9.7200000000000006</v>
      </c>
      <c r="BH30" s="52">
        <v>9.58</v>
      </c>
      <c r="BI30" s="52">
        <v>10.06</v>
      </c>
      <c r="BJ30" s="52">
        <v>10.17</v>
      </c>
      <c r="BK30" s="52">
        <v>9.91</v>
      </c>
      <c r="BL30" s="52">
        <v>9.5500000000000007</v>
      </c>
      <c r="BM30" s="52">
        <v>9.42</v>
      </c>
      <c r="BN30" s="52">
        <v>9.2799999999999994</v>
      </c>
      <c r="BO30" s="52">
        <v>9.39</v>
      </c>
      <c r="BP30" s="52" cm="1">
        <f t="array" aca="1" ref="BP30" ca="1">_FV(ED30,"Preço")</f>
        <v>9.25</v>
      </c>
      <c r="BQ30" s="69" t="s">
        <v>27</v>
      </c>
      <c r="BR30" s="36" cm="1">
        <f t="array" aca="1" ref="BR30" ca="1">_FV(ED30,"Média de volume",TRUE)</f>
        <v>87500</v>
      </c>
      <c r="BS30" s="36">
        <v>46300</v>
      </c>
      <c r="BT30" s="36" cm="1">
        <f t="array" aca="1" ref="BT30" ca="1">_FV(ED30,"Volume")</f>
        <v>30800</v>
      </c>
      <c r="BU30" s="24" cm="1">
        <f t="array" aca="1" ref="BU30" ca="1">_FV(ED30,"Beta")</f>
        <v>0.14099999999999999</v>
      </c>
      <c r="BV30" s="71" cm="1">
        <f t="array" aca="1" ref="BV30" ca="1">_FV(ED30,"Variação (%)",TRUE)</f>
        <v>-1.5956999999999999E-2</v>
      </c>
      <c r="BX30" s="17" cm="1">
        <f t="array" aca="1" ref="BX30" ca="1">_FV(ED30,"Baixo")</f>
        <v>9.16</v>
      </c>
      <c r="BY30" s="17" cm="1">
        <f t="array" aca="1" ref="BY30" ca="1">_FV(ED30,"Alto")</f>
        <v>9.5</v>
      </c>
      <c r="BZ30" s="24"/>
      <c r="CA30" s="63">
        <f ca="1">SQRT(22.5*(BP30/VLOOKUP(BQ30,Fundamentus!A:U,3,FALSE))*(BP30/VLOOKUP(BQ30,Fundamentus!A:U,4,FALSE)))</f>
        <v>16.311117366730084</v>
      </c>
      <c r="CC30" s="62">
        <f t="shared" ca="1" si="24"/>
        <v>-1.490947816826417E-2</v>
      </c>
      <c r="CD30" s="8"/>
      <c r="CE30" s="61">
        <f t="shared" si="25"/>
        <v>9.2799999999999994</v>
      </c>
      <c r="CF30" s="61">
        <f t="shared" si="26"/>
        <v>12.68</v>
      </c>
      <c r="CG30" s="61">
        <f t="shared" si="27"/>
        <v>10.709701492537315</v>
      </c>
      <c r="CH30" s="14"/>
      <c r="CI30" s="35">
        <f t="shared" si="1"/>
        <v>8.8195691788584512</v>
      </c>
      <c r="CJ30" s="15">
        <f t="shared" si="28"/>
        <v>9.2549999999999955</v>
      </c>
      <c r="CK30" s="35">
        <f t="shared" si="2"/>
        <v>9.6904308211415398</v>
      </c>
      <c r="CM30" s="14"/>
      <c r="CN30" s="17">
        <f t="shared" si="3"/>
        <v>4.8200000000000021</v>
      </c>
      <c r="CO30" s="17">
        <f t="shared" si="4"/>
        <v>7.0500000000000007</v>
      </c>
      <c r="CP30" s="17">
        <f t="shared" si="5"/>
        <v>8.2200000000000024</v>
      </c>
      <c r="CQ30" s="38">
        <f t="shared" si="29"/>
        <v>10.450000000000001</v>
      </c>
      <c r="CR30" s="17">
        <f t="shared" si="6"/>
        <v>11.620000000000003</v>
      </c>
      <c r="CS30" s="17">
        <f t="shared" si="7"/>
        <v>13.850000000000001</v>
      </c>
      <c r="CT30" s="17">
        <f t="shared" si="8"/>
        <v>15.020000000000003</v>
      </c>
      <c r="CU30" s="2" cm="1">
        <f t="array" aca="1" ref="CU30" ca="1">MAX(_xlfn._xlws.FILTER(CN30:CT30,CN30:CT30&lt;BP30))</f>
        <v>8.2200000000000024</v>
      </c>
      <c r="CV30" s="2" cm="1">
        <f t="array" aca="1" ref="CV30" ca="1">MIN(_xlfn._xlws.FILTER($CN30:$CT30,$CN30:$CT30&gt;BP30))</f>
        <v>10.450000000000001</v>
      </c>
      <c r="CW30" s="16">
        <f t="shared" ca="1" si="63"/>
        <v>0.27128953771289521</v>
      </c>
      <c r="CX30" s="20">
        <f t="shared" ca="1" si="64"/>
        <v>-0.13564476885644761</v>
      </c>
      <c r="CY30" s="20">
        <f t="shared" ca="1" si="65"/>
        <v>-9.0429845904298409E-2</v>
      </c>
      <c r="CZ30" s="20">
        <f t="shared" ca="1" si="66"/>
        <v>-5.4257907542579045E-2</v>
      </c>
      <c r="DA30" s="20">
        <f t="shared" ca="1" si="67"/>
        <v>-3.014328196809947E-2</v>
      </c>
      <c r="DB30" s="20">
        <f t="shared" ca="1" si="68"/>
        <v>-1.5958208100758542E-2</v>
      </c>
      <c r="DC30" s="20">
        <f t="shared" ca="1" si="69"/>
        <v>-8.2208950822089451E-3</v>
      </c>
      <c r="DD30" s="20">
        <f t="shared" ca="1" si="70"/>
        <v>-4.1736851955830037E-3</v>
      </c>
      <c r="DE30" s="21">
        <f t="shared" ca="1" si="71"/>
        <v>4.1736851955830037E-3</v>
      </c>
      <c r="DF30" s="21">
        <f t="shared" ca="1" si="72"/>
        <v>8.2208950822089451E-3</v>
      </c>
      <c r="DG30" s="21">
        <f t="shared" ca="1" si="73"/>
        <v>1.5958208100758542E-2</v>
      </c>
      <c r="DH30" s="21">
        <f t="shared" ca="1" si="74"/>
        <v>3.014328196809947E-2</v>
      </c>
      <c r="DI30" s="21">
        <f t="shared" ca="1" si="75"/>
        <v>5.4257907542579045E-2</v>
      </c>
      <c r="DJ30" s="21">
        <f t="shared" ca="1" si="76"/>
        <v>9.0429845904298409E-2</v>
      </c>
      <c r="DK30" s="21">
        <f t="shared" ca="1" si="77"/>
        <v>0.13564476885644761</v>
      </c>
      <c r="DM30" s="16" cm="1">
        <f t="array" aca="1" ref="DM30" ca="1">MAX(_xlfn._xlws.FILTER(CX30:DK30,CX30:DK30&lt;BV30))</f>
        <v>-1.5958208100758542E-2</v>
      </c>
      <c r="DN30" s="16" cm="1">
        <f t="array" aca="1" ref="DN30" ca="1">MIN(_xlfn._xlws.FILTER(CX30:DK30,CX30:DK30&gt;BV30))</f>
        <v>-8.2208950822089451E-3</v>
      </c>
      <c r="DO30" s="2" cm="1">
        <f t="array" aca="1" ref="DO30" ca="1">_FV(ED30,"Fechamento anterior",TRUE)</f>
        <v>9.4</v>
      </c>
      <c r="DP30" s="28">
        <f t="shared" ca="1" si="15"/>
        <v>9.8392328958506176E-5</v>
      </c>
      <c r="DQ30" s="15">
        <f t="shared" ca="1" si="78"/>
        <v>9.2499928438528709</v>
      </c>
      <c r="DR30" s="15">
        <f t="shared" ca="1" si="79"/>
        <v>9.3227235862272355</v>
      </c>
      <c r="DS30" s="9"/>
      <c r="DT30" s="9"/>
      <c r="DU30" s="9"/>
      <c r="DV30" s="89">
        <v>8.3473703911660074E-3</v>
      </c>
      <c r="DW30" s="89">
        <f t="shared" ca="1" si="18"/>
        <v>7.7373130185495968E-3</v>
      </c>
      <c r="DX30" s="72">
        <f t="shared" ca="1" si="19"/>
        <v>-1.1482880304355203E-2</v>
      </c>
      <c r="DY30" s="37"/>
      <c r="DZ30" s="35">
        <f t="shared" si="39"/>
        <v>0.21771541057077259</v>
      </c>
      <c r="EA30" s="56"/>
      <c r="EB30" s="56"/>
      <c r="ED30" s="2" t="e" vm="30">
        <v>#VALUE!</v>
      </c>
      <c r="EF30" s="10" cm="1">
        <f t="array" aca="1" ref="EF30" ca="1">_FV(ED30,"Ações em circulação",TRUE)</f>
        <v>42275080</v>
      </c>
      <c r="EG30" s="18">
        <f>VLOOKUP(BQ30,Fundamentus!A:U,5,FALSE)</f>
        <v>0.94299999999999995</v>
      </c>
      <c r="EH30" s="2">
        <f t="shared" ca="1" si="20"/>
        <v>414681325.55673385</v>
      </c>
      <c r="EI30" s="17">
        <v>74046438.930095449</v>
      </c>
      <c r="EJ30" s="17">
        <f t="shared" ca="1" si="21"/>
        <v>72942445.165429488</v>
      </c>
      <c r="EL30" s="16">
        <f t="shared" ca="1" si="22"/>
        <v>-1.4909478168264156E-2</v>
      </c>
      <c r="EM30" s="32" t="str">
        <f>IF(VLOOKUP(BQ30,Fundamentus!A:U,3,FALSE)&lt;15,"Bom",IF(VLOOKUP(BQ30,Fundamentus!A:U,3,FALSE)&gt;15,"Ruim","n/a"))</f>
        <v>Bom</v>
      </c>
      <c r="EN30" s="28" t="str">
        <f>IF(VLOOKUP(BQ30,Fundamentus!A:U,4,FALSE)&lt;1,"Baixo",IF(VLOOKUP(BQ30,Fundamentus!A:U,4,FALSE)&lt;1.5,"Moderado",IF(VLOOKUP(BQ30,Fundamentus!A:U,4,FALSE)&gt;1.5,"Alto","n/a")))</f>
        <v>Moderado</v>
      </c>
      <c r="EO30" s="17" t="str">
        <f>IF(VLOOKUP(BQ30,Fundamentus!A:U,8,FALSE)&lt;0,"Risco elevado",IF(VLOOKUP(BQ30,Fundamentus!A:U,8,FALSE)&lt;1,"Saudável",IF(VLOOKUP(BQ30,Fundamentus!A:U,8,FALSE)&lt;3,"Estável",IF(VLOOKUP(BQ30,Fundamentus!A:U,8,FALSE)&gt;3,"Alerta","n/a"))))</f>
        <v>Alerta</v>
      </c>
      <c r="EP30" s="28" t="str">
        <f t="shared" si="23"/>
        <v>Ruim</v>
      </c>
      <c r="EQ30" s="17" t="str">
        <f>IF(VLOOKUP(BQ30,Fundamentus!A:U,12,FALSE)&lt;2,"Subvalorizada",IF(VLOOKUP(BQ30,Fundamentus!A:U,12,FALSE)&lt;6,"Muita barata",IF(VLOOKUP(BQ30,Fundamentus!A:U,12,FALSE)&lt;6,"Barata",IF(VLOOKUP(BQ30,Fundamentus!A:U,12,FALSE)&lt;8,"Atrativa",IF(VLOOKUP(BQ30,Fundamentus!A:U,12,FALSE)&gt;8,"Supervalorizada","n/a")))))</f>
        <v>Muita barata</v>
      </c>
      <c r="ES30" s="17" t="str">
        <f>IF(VLOOKUP(BQ30,Fundamentus!A:U,17,FALSE)&lt;0.1,"Fraco retorno",IF(VLOOKUP(BQ30,Fundamentus!A:U,17,FALSE)&gt;0.1,"Bom retorno","n/a"))</f>
        <v>Bom retorno</v>
      </c>
      <c r="ET30" s="17" t="str">
        <f>IF(VLOOKUP(BQ30,Fundamentus!A:U,16,FALSE)&lt;0.1,"Ineficiente",IF(VLOOKUP(BQ30,Fundamentus!A:U,16,FALSE)&gt;0.1,"Eficiente","n/a"))</f>
        <v>Eficiente</v>
      </c>
      <c r="EU30" s="33" t="str">
        <f>IF(VLOOKUP(BQ30,Fundamentus!A:U,16,FALSE)&lt;0.1,"Oper. Ineficiente",IF(VLOOKUP(BQ30,Fundamentus!A:U,16,FALSE)&gt;0.1,"Oper.Eficiente","n/a"))</f>
        <v>Oper.Eficiente</v>
      </c>
      <c r="EV30" s="34">
        <f>VLOOKUP(BQ30,Fundamentus!A:U,14,FALSE)</f>
        <v>0.1759</v>
      </c>
      <c r="EW30" s="17" t="str">
        <f>IF(VLOOKUP(BQ30,Fundamentus!A:U,21,FALSE)&lt;0,"Negativo",IF(VLOOKUP(BQ30,Fundamentus!A:U,21,FALSE)&lt;0.05,"Fraco",IF(VLOOKUP(BQ30,Fundamentus!A:U,21,FALSE)&lt;0.1,"Bom",IF(VLOOKUP(BQ30,Fundamentus!A:U,21,FALSE)&gt;0.1,"Muito bom","n/a"))))</f>
        <v>Muito bom</v>
      </c>
      <c r="EY30" s="29" t="str">
        <f>IF(VLOOKUP(BQ30,Fundamentus!A:U,15,FALSE)&gt;1,"Bom",IF(VLOOKUP(BQ30,Fundamentus!A:U,15,FALSE)&lt;1,"Ruim","n/a"))</f>
        <v>Bom</v>
      </c>
      <c r="EZ30" s="17" t="str">
        <f>IF(VLOOKUP(BQ30,Fundamentus!A:U,20,FALSE)&lt;0.5,"Baixa",IF(VLOOKUP(BQ30,Fundamentus!A:U,20,FALSE)&lt;1,"Moderada",IF(VLOOKUP(BQ30,Fundamentus!A:U,20,FALSE)&lt;2,"Alerta",IF(VLOOKUP(BQ30,Fundamentus!A:U,20,FALSE)&gt;2,"Alta","n/a"))))</f>
        <v>Baixa</v>
      </c>
    </row>
    <row r="31" spans="1:157" s="2" customFormat="1" ht="11.25" hidden="1" x14ac:dyDescent="0.2">
      <c r="A31" s="4">
        <v>19.52</v>
      </c>
      <c r="B31" s="4">
        <v>19.399999999999999</v>
      </c>
      <c r="C31" s="4">
        <v>19.38</v>
      </c>
      <c r="D31" s="4">
        <v>19.37</v>
      </c>
      <c r="E31" s="4">
        <v>18.59</v>
      </c>
      <c r="F31" s="4">
        <v>17.600000000000001</v>
      </c>
      <c r="G31" s="4">
        <v>17.55</v>
      </c>
      <c r="H31" s="4">
        <v>17.440000000000001</v>
      </c>
      <c r="I31" s="4">
        <v>17.95</v>
      </c>
      <c r="J31" s="4">
        <v>18.48</v>
      </c>
      <c r="K31" s="4">
        <v>18.489999999999998</v>
      </c>
      <c r="L31" s="4">
        <v>18.29</v>
      </c>
      <c r="M31" s="4">
        <v>17.829999999999998</v>
      </c>
      <c r="N31" s="4">
        <v>17.28</v>
      </c>
      <c r="O31" s="4">
        <v>17.38</v>
      </c>
      <c r="P31" s="4">
        <v>17.54</v>
      </c>
      <c r="Q31" s="4">
        <v>17.600000000000001</v>
      </c>
      <c r="R31" s="4">
        <v>17.899999999999999</v>
      </c>
      <c r="S31" s="4">
        <v>17.899999999999999</v>
      </c>
      <c r="T31" s="4">
        <v>17.89</v>
      </c>
      <c r="U31" s="4">
        <v>17.75</v>
      </c>
      <c r="V31" s="4">
        <v>18.89</v>
      </c>
      <c r="W31" s="4">
        <v>18.329999999999998</v>
      </c>
      <c r="X31" s="4">
        <v>18.04</v>
      </c>
      <c r="Y31" s="4">
        <v>17.62</v>
      </c>
      <c r="Z31" s="4">
        <v>17.98</v>
      </c>
      <c r="AA31" s="4">
        <v>18.100000000000001</v>
      </c>
      <c r="AB31" s="4">
        <v>18.079999999999998</v>
      </c>
      <c r="AC31" s="4">
        <v>16.66</v>
      </c>
      <c r="AD31" s="4">
        <v>16.670000000000002</v>
      </c>
      <c r="AE31" s="4">
        <v>16.91</v>
      </c>
      <c r="AF31" s="4">
        <v>16.55</v>
      </c>
      <c r="AG31" s="4">
        <v>16.64</v>
      </c>
      <c r="AH31" s="4">
        <v>16</v>
      </c>
      <c r="AI31" s="4">
        <v>15.9</v>
      </c>
      <c r="AJ31" s="4">
        <v>15.36</v>
      </c>
      <c r="AK31" s="4">
        <v>14.95</v>
      </c>
      <c r="AL31" s="4">
        <v>15.7</v>
      </c>
      <c r="AM31" s="4">
        <v>15.2</v>
      </c>
      <c r="AN31" s="4">
        <v>15.39</v>
      </c>
      <c r="AO31" s="4">
        <v>15.49</v>
      </c>
      <c r="AP31" s="4">
        <v>15.64</v>
      </c>
      <c r="AQ31" s="4">
        <v>15.86</v>
      </c>
      <c r="AR31" s="4">
        <v>15.55</v>
      </c>
      <c r="AS31" s="4">
        <v>15.5</v>
      </c>
      <c r="AT31" s="4">
        <v>15.98</v>
      </c>
      <c r="AU31" s="4">
        <v>16.605</v>
      </c>
      <c r="AV31" s="4">
        <v>17</v>
      </c>
      <c r="AW31" s="4">
        <v>15.98</v>
      </c>
      <c r="AX31" s="4">
        <v>16.52</v>
      </c>
      <c r="AY31" s="12">
        <v>16.399999999999999</v>
      </c>
      <c r="AZ31" s="12">
        <v>16.670000000000002</v>
      </c>
      <c r="BA31" s="12">
        <v>15.32</v>
      </c>
      <c r="BB31" s="15">
        <v>15.28</v>
      </c>
      <c r="BC31" s="52">
        <v>15.81</v>
      </c>
      <c r="BD31" s="52">
        <v>15.14</v>
      </c>
      <c r="BE31" s="52">
        <v>14.69</v>
      </c>
      <c r="BF31" s="52">
        <v>14.74</v>
      </c>
      <c r="BG31" s="67">
        <v>14.5</v>
      </c>
      <c r="BH31" s="52">
        <v>14.49</v>
      </c>
      <c r="BI31" s="52">
        <v>14.59</v>
      </c>
      <c r="BJ31" s="52">
        <v>15.4</v>
      </c>
      <c r="BK31" s="52">
        <v>15.4</v>
      </c>
      <c r="BL31" s="52">
        <v>14.99</v>
      </c>
      <c r="BM31" s="52">
        <v>15.05</v>
      </c>
      <c r="BN31" s="52">
        <v>14.49</v>
      </c>
      <c r="BO31" s="52">
        <v>14.8</v>
      </c>
      <c r="BP31" s="52" cm="1">
        <f t="array" aca="1" ref="BP31" ca="1">_FV(ED31,"Preço")</f>
        <v>14.61</v>
      </c>
      <c r="BQ31" s="69" t="s">
        <v>28</v>
      </c>
      <c r="BR31" s="36" cm="1">
        <f t="array" aca="1" ref="BR31" ca="1">_FV(ED31,"Média de volume",TRUE)</f>
        <v>3821570</v>
      </c>
      <c r="BS31" s="36">
        <v>32600</v>
      </c>
      <c r="BT31" s="36" cm="1">
        <f t="array" aca="1" ref="BT31" ca="1">_FV(ED31,"Volume")</f>
        <v>32800</v>
      </c>
      <c r="BU31" s="24" cm="1">
        <f t="array" aca="1" ref="BU31" ca="1">_FV(ED31,"Beta")</f>
        <v>0.9214</v>
      </c>
      <c r="BV31" s="71" cm="1">
        <f t="array" aca="1" ref="BV31" ca="1">_FV(ED31,"Variação (%)",TRUE)</f>
        <v>-1.8145000000000001E-2</v>
      </c>
      <c r="BX31" s="17" cm="1">
        <f t="array" aca="1" ref="BX31" ca="1">_FV(ED31,"Baixo")</f>
        <v>14.56</v>
      </c>
      <c r="BY31" s="17" cm="1">
        <f t="array" aca="1" ref="BY31" ca="1">_FV(ED31,"Alto")</f>
        <v>14.76</v>
      </c>
      <c r="BZ31" s="24"/>
      <c r="CA31" s="63">
        <f ca="1">SQRT(22.5*(BP31/VLOOKUP(BQ31,Fundamentus!A:U,3,FALSE))*(BP31/VLOOKUP(BQ31,Fundamentus!A:U,4,FALSE)))</f>
        <v>36.358735946174384</v>
      </c>
      <c r="CC31" s="62">
        <f t="shared" ca="1" si="24"/>
        <v>-1.2837837837837924E-2</v>
      </c>
      <c r="CD31" s="8"/>
      <c r="CE31" s="61">
        <f t="shared" si="25"/>
        <v>14.49</v>
      </c>
      <c r="CF31" s="61">
        <f t="shared" si="26"/>
        <v>19.52</v>
      </c>
      <c r="CG31" s="61">
        <f t="shared" si="27"/>
        <v>16.686343283582087</v>
      </c>
      <c r="CH31" s="14"/>
      <c r="CI31" s="35">
        <f t="shared" si="1"/>
        <v>13.951254645112032</v>
      </c>
      <c r="CJ31" s="15">
        <f t="shared" si="28"/>
        <v>14.550000000000068</v>
      </c>
      <c r="CK31" s="35">
        <f t="shared" si="2"/>
        <v>15.148745354888105</v>
      </c>
      <c r="CM31" s="14"/>
      <c r="CN31" s="17">
        <f t="shared" si="3"/>
        <v>7.99</v>
      </c>
      <c r="CO31" s="17">
        <f t="shared" si="4"/>
        <v>11.24</v>
      </c>
      <c r="CP31" s="17">
        <f t="shared" si="5"/>
        <v>13.02</v>
      </c>
      <c r="CQ31" s="38">
        <f t="shared" si="29"/>
        <v>16.27</v>
      </c>
      <c r="CR31" s="17">
        <f t="shared" si="6"/>
        <v>18.049999999999997</v>
      </c>
      <c r="CS31" s="17">
        <f t="shared" si="7"/>
        <v>21.299999999999997</v>
      </c>
      <c r="CT31" s="17">
        <f t="shared" si="8"/>
        <v>23.08</v>
      </c>
      <c r="CU31" s="2" cm="1">
        <f t="array" aca="1" ref="CU31" ca="1">MAX(_xlfn._xlws.FILTER(CN31:CT31,CN31:CT31&lt;BP31))</f>
        <v>13.02</v>
      </c>
      <c r="CV31" s="2" cm="1">
        <f t="array" aca="1" ref="CV31" ca="1">MIN(_xlfn._xlws.FILTER($CN31:$CT31,$CN31:$CT31&gt;BP31))</f>
        <v>16.27</v>
      </c>
      <c r="CW31" s="16">
        <f t="shared" ca="1" si="63"/>
        <v>0.24961597542242697</v>
      </c>
      <c r="CX31" s="20">
        <f t="shared" ca="1" si="64"/>
        <v>-0.12480798771121349</v>
      </c>
      <c r="CY31" s="20">
        <f t="shared" ca="1" si="65"/>
        <v>-8.3205325140808986E-2</v>
      </c>
      <c r="CZ31" s="20">
        <f t="shared" ca="1" si="66"/>
        <v>-4.9923195084485394E-2</v>
      </c>
      <c r="DA31" s="20">
        <f t="shared" ca="1" si="67"/>
        <v>-2.7735108380269664E-2</v>
      </c>
      <c r="DB31" s="20">
        <f t="shared" ca="1" si="68"/>
        <v>-1.4683292671907469E-2</v>
      </c>
      <c r="DC31" s="20">
        <f t="shared" ca="1" si="69"/>
        <v>-7.5641204673462716E-3</v>
      </c>
      <c r="DD31" s="20">
        <f t="shared" ca="1" si="70"/>
        <v>-3.8402457757296458E-3</v>
      </c>
      <c r="DE31" s="21">
        <f t="shared" ca="1" si="71"/>
        <v>3.8402457757296458E-3</v>
      </c>
      <c r="DF31" s="21">
        <f t="shared" ca="1" si="72"/>
        <v>7.5641204673462716E-3</v>
      </c>
      <c r="DG31" s="21">
        <f t="shared" ca="1" si="73"/>
        <v>1.4683292671907469E-2</v>
      </c>
      <c r="DH31" s="21">
        <f t="shared" ca="1" si="74"/>
        <v>2.7735108380269664E-2</v>
      </c>
      <c r="DI31" s="21">
        <f t="shared" ca="1" si="75"/>
        <v>4.9923195084485394E-2</v>
      </c>
      <c r="DJ31" s="21">
        <f t="shared" ca="1" si="76"/>
        <v>8.3205325140808986E-2</v>
      </c>
      <c r="DK31" s="21">
        <f t="shared" ca="1" si="77"/>
        <v>0.12480798771121349</v>
      </c>
      <c r="DM31" s="16" cm="1">
        <f t="array" aca="1" ref="DM31" ca="1">MAX(_xlfn._xlws.FILTER(CX31:DK31,CX31:DK31&lt;BV31))</f>
        <v>-2.7735108380269664E-2</v>
      </c>
      <c r="DN31" s="16" cm="1">
        <f t="array" aca="1" ref="DN31" ca="1">MIN(_xlfn._xlws.FILTER(CX31:DK31,CX31:DK31&gt;BV31))</f>
        <v>-1.4683292671907469E-2</v>
      </c>
      <c r="DO31" s="2" cm="1">
        <f t="array" aca="1" ref="DO31" ca="1">_FV(ED31,"Fechamento anterior",TRUE)</f>
        <v>14.88</v>
      </c>
      <c r="DP31" s="28">
        <f t="shared" ca="1" si="15"/>
        <v>0.73475961538460588</v>
      </c>
      <c r="DQ31" s="15">
        <f t="shared" ca="1" si="78"/>
        <v>14.467301587301588</v>
      </c>
      <c r="DR31" s="15">
        <f t="shared" ca="1" si="79"/>
        <v>14.661512605042018</v>
      </c>
      <c r="DS31" s="9"/>
      <c r="DT31" s="9"/>
      <c r="DU31" s="9"/>
      <c r="DV31" s="89">
        <v>1.3051815708362195E-2</v>
      </c>
      <c r="DW31" s="89">
        <f t="shared" ca="1" si="18"/>
        <v>1.3051815708362195E-2</v>
      </c>
      <c r="DX31" s="72">
        <f t="shared" ca="1" si="19"/>
        <v>0.10020954569434788</v>
      </c>
      <c r="DY31" s="37"/>
      <c r="DZ31" s="35">
        <f t="shared" si="39"/>
        <v>0.29937267744401796</v>
      </c>
      <c r="EA31" s="56"/>
      <c r="EB31" s="56"/>
      <c r="ED31" s="2" t="e" vm="31">
        <v>#VALUE!</v>
      </c>
      <c r="EF31" s="10" cm="1">
        <f t="array" aca="1" ref="EF31" ca="1">_FV(ED31,"Ações em circulação",TRUE)</f>
        <v>393096600</v>
      </c>
      <c r="EG31" s="18">
        <f>VLOOKUP(BQ31,Fundamentus!A:U,5,FALSE)</f>
        <v>0</v>
      </c>
      <c r="EH31" s="2" t="e">
        <f t="shared" ca="1" si="20"/>
        <v>#DIV/0!</v>
      </c>
      <c r="EI31" s="17" t="e">
        <v>#DIV/0!</v>
      </c>
      <c r="EJ31" s="17" t="e">
        <f t="shared" ca="1" si="21"/>
        <v>#DIV/0!</v>
      </c>
      <c r="EL31" s="16" t="e">
        <f t="shared" ca="1" si="22"/>
        <v>#DIV/0!</v>
      </c>
      <c r="EM31" s="32" t="str">
        <f>IF(VLOOKUP(BQ31,Fundamentus!A:U,3,FALSE)&lt;15,"Bom",IF(VLOOKUP(BQ31,Fundamentus!A:U,3,FALSE)&gt;15,"Ruim","n/a"))</f>
        <v>Bom</v>
      </c>
      <c r="EN31" s="28" t="str">
        <f>IF(VLOOKUP(BQ31,Fundamentus!A:U,4,FALSE)&lt;1,"Baixo",IF(VLOOKUP(BQ31,Fundamentus!A:U,4,FALSE)&lt;1.5,"Moderado",IF(VLOOKUP(BQ31,Fundamentus!A:U,4,FALSE)&gt;1.5,"Alto","n/a")))</f>
        <v>Baixo</v>
      </c>
      <c r="EO31" s="17" t="str">
        <f>IF(VLOOKUP(BQ31,Fundamentus!A:U,8,FALSE)&lt;0,"Risco elevado",IF(VLOOKUP(BQ31,Fundamentus!A:U,8,FALSE)&lt;1,"Saudável",IF(VLOOKUP(BQ31,Fundamentus!A:U,8,FALSE)&lt;3,"Estável",IF(VLOOKUP(BQ31,Fundamentus!A:U,8,FALSE)&gt;3,"Alerta","n/a"))))</f>
        <v>Alerta</v>
      </c>
      <c r="EP31" s="28" t="str">
        <f t="shared" si="23"/>
        <v>Ruim</v>
      </c>
      <c r="EQ31" s="17" t="str">
        <f>IF(VLOOKUP(BQ31,Fundamentus!A:U,12,FALSE)&lt;2,"Subvalorizada",IF(VLOOKUP(BQ31,Fundamentus!A:U,12,FALSE)&lt;6,"Muita barata",IF(VLOOKUP(BQ31,Fundamentus!A:U,12,FALSE)&lt;6,"Barata",IF(VLOOKUP(BQ31,Fundamentus!A:U,12,FALSE)&lt;8,"Atrativa",IF(VLOOKUP(BQ31,Fundamentus!A:U,12,FALSE)&gt;8,"Supervalorizada","n/a")))))</f>
        <v>Subvalorizada</v>
      </c>
      <c r="ES31" s="17" t="str">
        <f>IF(VLOOKUP(BQ31,Fundamentus!A:U,17,FALSE)&lt;0.1,"Fraco retorno",IF(VLOOKUP(BQ31,Fundamentus!A:U,17,FALSE)&gt;0.1,"Bom retorno","n/a"))</f>
        <v>Bom retorno</v>
      </c>
      <c r="ET31" s="17" t="str">
        <f>IF(VLOOKUP(BQ31,Fundamentus!A:U,16,FALSE)&lt;0.1,"Ineficiente",IF(VLOOKUP(BQ31,Fundamentus!A:U,16,FALSE)&gt;0.1,"Eficiente","n/a"))</f>
        <v>Ineficiente</v>
      </c>
      <c r="EU31" s="33" t="str">
        <f>IF(VLOOKUP(BQ31,Fundamentus!A:U,16,FALSE)&lt;0.1,"Oper. Ineficiente",IF(VLOOKUP(BQ31,Fundamentus!A:U,16,FALSE)&gt;0.1,"Oper.Eficiente","n/a"))</f>
        <v>Oper. Ineficiente</v>
      </c>
      <c r="EV31" s="34">
        <f>VLOOKUP(BQ31,Fundamentus!A:U,14,FALSE)</f>
        <v>0</v>
      </c>
      <c r="EW31" s="17" t="str">
        <f>IF(VLOOKUP(BQ31,Fundamentus!A:U,21,FALSE)&lt;0,"Negativo",IF(VLOOKUP(BQ31,Fundamentus!A:U,21,FALSE)&lt;0.05,"Fraco",IF(VLOOKUP(BQ31,Fundamentus!A:U,21,FALSE)&lt;0.1,"Bom",IF(VLOOKUP(BQ31,Fundamentus!A:U,21,FALSE)&gt;0.1,"Muito bom","n/a"))))</f>
        <v>Fraco</v>
      </c>
      <c r="EY31" s="29" t="str">
        <f>IF(VLOOKUP(BQ31,Fundamentus!A:U,15,FALSE)&gt;1,"Bom",IF(VLOOKUP(BQ31,Fundamentus!A:U,15,FALSE)&lt;1,"Ruim","n/a"))</f>
        <v>Bom</v>
      </c>
      <c r="EZ31" s="17" t="str">
        <f>IF(VLOOKUP(BQ31,Fundamentus!A:U,20,FALSE)&lt;0.5,"Baixa",IF(VLOOKUP(BQ31,Fundamentus!A:U,20,FALSE)&lt;1,"Moderada",IF(VLOOKUP(BQ31,Fundamentus!A:U,20,FALSE)&lt;2,"Alerta",IF(VLOOKUP(BQ31,Fundamentus!A:U,20,FALSE)&gt;2,"Alta","n/a"))))</f>
        <v>Baixa</v>
      </c>
    </row>
    <row r="32" spans="1:157" s="2" customFormat="1" ht="11.25" hidden="1" x14ac:dyDescent="0.2">
      <c r="A32" s="4">
        <v>1.4</v>
      </c>
      <c r="B32" s="4">
        <v>1.3</v>
      </c>
      <c r="C32" s="4">
        <v>1.21</v>
      </c>
      <c r="D32" s="4">
        <v>1.29</v>
      </c>
      <c r="E32" s="4">
        <v>1.21</v>
      </c>
      <c r="F32" s="4">
        <v>1.2</v>
      </c>
      <c r="G32" s="4">
        <v>1.17</v>
      </c>
      <c r="H32" s="4">
        <v>1.19</v>
      </c>
      <c r="I32" s="4">
        <v>1.1399999999999999</v>
      </c>
      <c r="J32" s="4">
        <v>1.1499999999999999</v>
      </c>
      <c r="K32" s="4">
        <v>1.19</v>
      </c>
      <c r="L32" s="4">
        <v>1.1599999999999999</v>
      </c>
      <c r="M32" s="4">
        <v>1.17</v>
      </c>
      <c r="N32" s="4">
        <v>1.1599999999999999</v>
      </c>
      <c r="O32" s="4">
        <v>1.2</v>
      </c>
      <c r="P32" s="4">
        <v>1.1499999999999999</v>
      </c>
      <c r="Q32" s="4">
        <v>1.17</v>
      </c>
      <c r="R32" s="4">
        <v>1.19</v>
      </c>
      <c r="S32" s="4">
        <v>1.18</v>
      </c>
      <c r="T32" s="4">
        <v>1.19</v>
      </c>
      <c r="U32" s="4">
        <v>1.1599999999999999</v>
      </c>
      <c r="V32" s="4">
        <v>1.18</v>
      </c>
      <c r="W32" s="4">
        <v>1.18</v>
      </c>
      <c r="X32" s="4">
        <v>1.17</v>
      </c>
      <c r="Y32" s="4">
        <v>1.28</v>
      </c>
      <c r="Z32" s="4">
        <v>1.28</v>
      </c>
      <c r="AA32" s="4">
        <v>1.3</v>
      </c>
      <c r="AB32" s="4">
        <v>1.29</v>
      </c>
      <c r="AC32" s="4">
        <v>1.34</v>
      </c>
      <c r="AD32" s="4">
        <v>1.32</v>
      </c>
      <c r="AE32" s="4">
        <v>1.25</v>
      </c>
      <c r="AF32" s="4">
        <v>1.32</v>
      </c>
      <c r="AG32" s="4">
        <v>1.29</v>
      </c>
      <c r="AH32" s="4">
        <v>1.2</v>
      </c>
      <c r="AI32" s="4">
        <v>1.1499999999999999</v>
      </c>
      <c r="AJ32" s="4">
        <v>1.1499999999999999</v>
      </c>
      <c r="AK32" s="4">
        <v>1.1399999999999999</v>
      </c>
      <c r="AL32" s="4">
        <v>1.21</v>
      </c>
      <c r="AM32" s="4">
        <v>1.19</v>
      </c>
      <c r="AN32" s="4">
        <v>1.2</v>
      </c>
      <c r="AO32" s="4">
        <v>1.19</v>
      </c>
      <c r="AP32" s="4">
        <v>1.2</v>
      </c>
      <c r="AQ32" s="4">
        <v>1.1499999999999999</v>
      </c>
      <c r="AR32" s="4">
        <v>1.17</v>
      </c>
      <c r="AS32" s="4">
        <v>1.18</v>
      </c>
      <c r="AT32" s="4">
        <v>1.2</v>
      </c>
      <c r="AU32" s="4">
        <v>1.21</v>
      </c>
      <c r="AV32" s="4">
        <v>1.27</v>
      </c>
      <c r="AW32" s="4">
        <v>1.23</v>
      </c>
      <c r="AX32" s="4">
        <v>1.23</v>
      </c>
      <c r="AY32" s="12">
        <v>1.17</v>
      </c>
      <c r="AZ32" s="12">
        <v>1.22</v>
      </c>
      <c r="BA32" s="12">
        <v>1.22</v>
      </c>
      <c r="BB32" s="15">
        <v>1.23</v>
      </c>
      <c r="BC32" s="52">
        <v>1.24</v>
      </c>
      <c r="BD32" s="52">
        <v>1.23</v>
      </c>
      <c r="BE32" s="52">
        <v>1.24</v>
      </c>
      <c r="BF32" s="52">
        <v>1.22</v>
      </c>
      <c r="BG32" s="67">
        <v>1.23</v>
      </c>
      <c r="BH32" s="52">
        <v>1.23</v>
      </c>
      <c r="BI32" s="52">
        <v>1.21</v>
      </c>
      <c r="BJ32" s="52">
        <v>1.21</v>
      </c>
      <c r="BK32" s="52">
        <v>1.17</v>
      </c>
      <c r="BL32" s="52">
        <v>1.19</v>
      </c>
      <c r="BM32" s="52">
        <v>1.17</v>
      </c>
      <c r="BN32" s="52">
        <v>1.1599999999999999</v>
      </c>
      <c r="BO32" s="52">
        <v>1.17</v>
      </c>
      <c r="BP32" s="52" cm="1">
        <f t="array" aca="1" ref="BP32" ca="1">_FV(ED32,"Preço")</f>
        <v>1.17</v>
      </c>
      <c r="BQ32" s="69" t="s">
        <v>29</v>
      </c>
      <c r="BR32" s="36" cm="1">
        <f t="array" aca="1" ref="BR32" ca="1">_FV(ED32,"Média de volume",TRUE)</f>
        <v>2860</v>
      </c>
      <c r="BS32" s="36">
        <v>17000</v>
      </c>
      <c r="BT32" s="36" cm="1">
        <f t="array" aca="1" ref="BT32" ca="1">_FV(ED32,"Volume")</f>
        <v>500</v>
      </c>
      <c r="BU32" s="24" cm="1">
        <f t="array" aca="1" ref="BU32" ca="1">_FV(ED32,"Beta")</f>
        <v>1.0219</v>
      </c>
      <c r="BV32" s="71" cm="1">
        <f t="array" aca="1" ref="BV32" ca="1">_FV(ED32,"Variação (%)",TRUE)</f>
        <v>8.6210000000000002E-3</v>
      </c>
      <c r="BX32" s="17" cm="1">
        <f t="array" aca="1" ref="BX32" ca="1">_FV(ED32,"Baixo")</f>
        <v>1.1499999999999999</v>
      </c>
      <c r="BY32" s="17" cm="1">
        <f t="array" aca="1" ref="BY32" ca="1">_FV(ED32,"Alto")</f>
        <v>1.17</v>
      </c>
      <c r="BZ32" s="24"/>
      <c r="CA32" s="63" t="e">
        <f ca="1">SQRT(22.5*(BP32/VLOOKUP(BQ32,Fundamentus!A:U,3,FALSE))*(BP32/VLOOKUP(BQ32,Fundamentus!A:U,4,FALSE)))</f>
        <v>#NUM!</v>
      </c>
      <c r="CC32" s="62">
        <f t="shared" ca="1" si="24"/>
        <v>0</v>
      </c>
      <c r="CD32" s="8"/>
      <c r="CE32" s="61">
        <f t="shared" si="25"/>
        <v>1.1399999999999999</v>
      </c>
      <c r="CF32" s="61">
        <f t="shared" si="26"/>
        <v>1.4</v>
      </c>
      <c r="CG32" s="61">
        <f t="shared" si="27"/>
        <v>1.2113432835820894</v>
      </c>
      <c r="CH32" s="14"/>
      <c r="CI32" s="35">
        <f t="shared" si="1"/>
        <v>1.1354040820577287</v>
      </c>
      <c r="CJ32" s="15">
        <f t="shared" si="28"/>
        <v>1.154999999999994</v>
      </c>
      <c r="CK32" s="35">
        <f t="shared" si="2"/>
        <v>1.1745959179422594</v>
      </c>
      <c r="CM32" s="14"/>
      <c r="CN32" s="17">
        <f t="shared" si="3"/>
        <v>0.81333333333333324</v>
      </c>
      <c r="CO32" s="17">
        <f t="shared" si="4"/>
        <v>0.97666666666666657</v>
      </c>
      <c r="CP32" s="17">
        <f t="shared" si="5"/>
        <v>1.0733333333333333</v>
      </c>
      <c r="CQ32" s="38">
        <f t="shared" si="29"/>
        <v>1.2366666666666666</v>
      </c>
      <c r="CR32" s="17">
        <f t="shared" si="6"/>
        <v>1.3333333333333333</v>
      </c>
      <c r="CS32" s="17">
        <f t="shared" si="7"/>
        <v>1.4966666666666666</v>
      </c>
      <c r="CT32" s="17">
        <f t="shared" si="8"/>
        <v>1.5933333333333333</v>
      </c>
      <c r="CU32" s="2" cm="1">
        <f t="array" aca="1" ref="CU32" ca="1">MAX(_xlfn._xlws.FILTER(CN32:CT32,CN32:CT32&lt;BP32))</f>
        <v>1.0733333333333333</v>
      </c>
      <c r="CV32" s="2" cm="1">
        <f t="array" aca="1" ref="CV32" ca="1">MIN(_xlfn._xlws.FILTER($CN32:$CT32,$CN32:$CT32&gt;BP32))</f>
        <v>1.2366666666666666</v>
      </c>
      <c r="CW32" s="16">
        <f t="shared" ca="1" si="63"/>
        <v>0.15217391304347827</v>
      </c>
      <c r="CX32" s="20">
        <f t="shared" ca="1" si="64"/>
        <v>-7.6086956521739135E-2</v>
      </c>
      <c r="CY32" s="20">
        <f t="shared" ca="1" si="65"/>
        <v>-5.0724637681159424E-2</v>
      </c>
      <c r="CZ32" s="20">
        <f t="shared" ca="1" si="66"/>
        <v>-3.0434782608695653E-2</v>
      </c>
      <c r="DA32" s="20">
        <f t="shared" ca="1" si="67"/>
        <v>-1.6908212560386476E-2</v>
      </c>
      <c r="DB32" s="20">
        <f t="shared" ca="1" si="68"/>
        <v>-8.9514066496163697E-3</v>
      </c>
      <c r="DC32" s="20">
        <f t="shared" ca="1" si="69"/>
        <v>-4.61133069828722E-3</v>
      </c>
      <c r="DD32" s="20">
        <f t="shared" ca="1" si="70"/>
        <v>-2.3411371237458197E-3</v>
      </c>
      <c r="DE32" s="21">
        <f t="shared" ca="1" si="71"/>
        <v>2.3411371237458197E-3</v>
      </c>
      <c r="DF32" s="21">
        <f t="shared" ca="1" si="72"/>
        <v>4.61133069828722E-3</v>
      </c>
      <c r="DG32" s="21">
        <f t="shared" ca="1" si="73"/>
        <v>8.9514066496163697E-3</v>
      </c>
      <c r="DH32" s="21">
        <f t="shared" ca="1" si="74"/>
        <v>1.6908212560386476E-2</v>
      </c>
      <c r="DI32" s="21">
        <f t="shared" ca="1" si="75"/>
        <v>3.0434782608695653E-2</v>
      </c>
      <c r="DJ32" s="21">
        <f t="shared" ca="1" si="76"/>
        <v>5.0724637681159424E-2</v>
      </c>
      <c r="DK32" s="21">
        <f t="shared" ca="1" si="77"/>
        <v>7.6086956521739135E-2</v>
      </c>
      <c r="DM32" s="16" cm="1">
        <f t="array" aca="1" ref="DM32" ca="1">MAX(_xlfn._xlws.FILTER(CX32:DK32,CX32:DK32&lt;BV32))</f>
        <v>4.61133069828722E-3</v>
      </c>
      <c r="DN32" s="16" cm="1">
        <f t="array" aca="1" ref="DN32" ca="1">MIN(_xlfn._xlws.FILTER(CX32:DK32,CX32:DK32&gt;BV32))</f>
        <v>8.9514066496163697E-3</v>
      </c>
      <c r="DO32" s="2" cm="1">
        <f t="array" aca="1" ref="DO32" ca="1">_FV(ED32,"Fechamento anterior",TRUE)</f>
        <v>1.1599999999999999</v>
      </c>
      <c r="DP32" s="28">
        <f t="shared" ca="1" si="15"/>
        <v>0.92379926108373223</v>
      </c>
      <c r="DQ32" s="15">
        <f t="shared" ca="1" si="78"/>
        <v>1.1653491436100132</v>
      </c>
      <c r="DR32" s="15">
        <f t="shared" ca="1" si="79"/>
        <v>1.170383631713555</v>
      </c>
      <c r="DS32" s="9"/>
      <c r="DT32" s="9"/>
      <c r="DU32" s="9"/>
      <c r="DV32" s="89">
        <v>4.6822742474916393E-3</v>
      </c>
      <c r="DW32" s="89">
        <f t="shared" ca="1" si="18"/>
        <v>4.3400759513291497E-3</v>
      </c>
      <c r="DX32" s="72">
        <f t="shared" ca="1" si="19"/>
        <v>0.76546554462004746</v>
      </c>
      <c r="DY32" s="37"/>
      <c r="DZ32" s="35">
        <f t="shared" si="39"/>
        <v>9.7979589711327201E-3</v>
      </c>
      <c r="EA32" s="56"/>
      <c r="EB32" s="56"/>
      <c r="ED32" s="2" t="e" vm="32">
        <v>#VALUE!</v>
      </c>
      <c r="EF32" s="10" cm="1">
        <f t="array" aca="1" ref="EF32" ca="1">_FV(ED32,"Ações em circulação",TRUE)</f>
        <v>11900000</v>
      </c>
      <c r="EG32" s="18">
        <f>VLOOKUP(BQ32,Fundamentus!A:U,5,FALSE)</f>
        <v>0.45500000000000002</v>
      </c>
      <c r="EH32" s="2">
        <f t="shared" ca="1" si="20"/>
        <v>30600000</v>
      </c>
      <c r="EI32" s="17">
        <v>1998180</v>
      </c>
      <c r="EJ32" s="17">
        <f t="shared" ca="1" si="21"/>
        <v>1998180</v>
      </c>
      <c r="EL32" s="16">
        <f t="shared" ca="1" si="22"/>
        <v>0</v>
      </c>
      <c r="EM32" s="32" t="str">
        <f>IF(VLOOKUP(BQ32,Fundamentus!A:U,3,FALSE)&lt;15,"Bom",IF(VLOOKUP(BQ32,Fundamentus!A:U,3,FALSE)&gt;15,"Ruim","n/a"))</f>
        <v>Bom</v>
      </c>
      <c r="EN32" s="28" t="str">
        <f>IF(VLOOKUP(BQ32,Fundamentus!A:U,4,FALSE)&lt;1,"Baixo",IF(VLOOKUP(BQ32,Fundamentus!A:U,4,FALSE)&lt;1.5,"Moderado",IF(VLOOKUP(BQ32,Fundamentus!A:U,4,FALSE)&gt;1.5,"Alto","n/a")))</f>
        <v>Baixo</v>
      </c>
      <c r="EO32" s="17" t="str">
        <f>IF(VLOOKUP(BQ32,Fundamentus!A:U,8,FALSE)&lt;0,"Risco elevado",IF(VLOOKUP(BQ32,Fundamentus!A:U,8,FALSE)&lt;1,"Saudável",IF(VLOOKUP(BQ32,Fundamentus!A:U,8,FALSE)&lt;3,"Estável",IF(VLOOKUP(BQ32,Fundamentus!A:U,8,FALSE)&gt;3,"Alerta","n/a"))))</f>
        <v>Saudável</v>
      </c>
      <c r="EP32" s="28" t="str">
        <f t="shared" si="23"/>
        <v>Ruim</v>
      </c>
      <c r="EQ32" s="17" t="str">
        <f>IF(VLOOKUP(BQ32,Fundamentus!A:U,12,FALSE)&lt;2,"Subvalorizada",IF(VLOOKUP(BQ32,Fundamentus!A:U,12,FALSE)&lt;6,"Muita barata",IF(VLOOKUP(BQ32,Fundamentus!A:U,12,FALSE)&lt;6,"Barata",IF(VLOOKUP(BQ32,Fundamentus!A:U,12,FALSE)&lt;8,"Atrativa",IF(VLOOKUP(BQ32,Fundamentus!A:U,12,FALSE)&gt;8,"Supervalorizada","n/a")))))</f>
        <v>Supervalorizada</v>
      </c>
      <c r="ES32" s="17" t="str">
        <f>IF(VLOOKUP(BQ32,Fundamentus!A:U,17,FALSE)&lt;0.1,"Fraco retorno",IF(VLOOKUP(BQ32,Fundamentus!A:U,17,FALSE)&gt;0.1,"Bom retorno","n/a"))</f>
        <v>Fraco retorno</v>
      </c>
      <c r="ET32" s="17" t="str">
        <f>IF(VLOOKUP(BQ32,Fundamentus!A:U,16,FALSE)&lt;0.1,"Ineficiente",IF(VLOOKUP(BQ32,Fundamentus!A:U,16,FALSE)&gt;0.1,"Eficiente","n/a"))</f>
        <v>Ineficiente</v>
      </c>
      <c r="EU32" s="33" t="str">
        <f>IF(VLOOKUP(BQ32,Fundamentus!A:U,16,FALSE)&lt;0.1,"Oper. Ineficiente",IF(VLOOKUP(BQ32,Fundamentus!A:U,16,FALSE)&gt;0.1,"Oper.Eficiente","n/a"))</f>
        <v>Oper. Ineficiente</v>
      </c>
      <c r="EV32" s="34">
        <f>VLOOKUP(BQ32,Fundamentus!A:U,14,FALSE)</f>
        <v>6.5299999999999997E-2</v>
      </c>
      <c r="EW32" s="17" t="str">
        <f>IF(VLOOKUP(BQ32,Fundamentus!A:U,21,FALSE)&lt;0,"Negativo",IF(VLOOKUP(BQ32,Fundamentus!A:U,21,FALSE)&lt;0.05,"Fraco",IF(VLOOKUP(BQ32,Fundamentus!A:U,21,FALSE)&lt;0.1,"Bom",IF(VLOOKUP(BQ32,Fundamentus!A:U,21,FALSE)&gt;0.1,"Muito bom","n/a"))))</f>
        <v>Negativo</v>
      </c>
      <c r="EY32" s="29" t="str">
        <f>IF(VLOOKUP(BQ32,Fundamentus!A:U,15,FALSE)&gt;1,"Bom",IF(VLOOKUP(BQ32,Fundamentus!A:U,15,FALSE)&lt;1,"Ruim","n/a"))</f>
        <v>Bom</v>
      </c>
      <c r="EZ32" s="17" t="str">
        <f>IF(VLOOKUP(BQ32,Fundamentus!A:U,20,FALSE)&lt;0.5,"Baixa",IF(VLOOKUP(BQ32,Fundamentus!A:U,20,FALSE)&lt;1,"Moderada",IF(VLOOKUP(BQ32,Fundamentus!A:U,20,FALSE)&lt;2,"Alerta",IF(VLOOKUP(BQ32,Fundamentus!A:U,20,FALSE)&gt;2,"Alta","n/a"))))</f>
        <v>Baixa</v>
      </c>
    </row>
    <row r="33" spans="1:156" s="2" customFormat="1" ht="11.25" hidden="1" x14ac:dyDescent="0.2">
      <c r="A33" s="4">
        <v>14</v>
      </c>
      <c r="B33" s="4">
        <v>13.48</v>
      </c>
      <c r="C33" s="4">
        <v>13.07</v>
      </c>
      <c r="D33" s="4">
        <v>13.22</v>
      </c>
      <c r="E33" s="4">
        <v>13.11</v>
      </c>
      <c r="F33" s="4">
        <v>12.88</v>
      </c>
      <c r="G33" s="4">
        <v>12.81</v>
      </c>
      <c r="H33" s="4">
        <v>13.06</v>
      </c>
      <c r="I33" s="4">
        <v>13.05</v>
      </c>
      <c r="J33" s="4">
        <v>12.88</v>
      </c>
      <c r="K33" s="4">
        <v>13.48</v>
      </c>
      <c r="L33" s="4">
        <v>13.74</v>
      </c>
      <c r="M33" s="4">
        <v>13.39</v>
      </c>
      <c r="N33" s="4">
        <v>13.42</v>
      </c>
      <c r="O33" s="4">
        <v>13.61</v>
      </c>
      <c r="P33" s="4">
        <v>14.28</v>
      </c>
      <c r="Q33" s="4">
        <v>14.85</v>
      </c>
      <c r="R33" s="4">
        <v>14.94</v>
      </c>
      <c r="S33" s="4">
        <v>14.87</v>
      </c>
      <c r="T33" s="4">
        <v>14.67</v>
      </c>
      <c r="U33" s="4">
        <v>14.12</v>
      </c>
      <c r="V33" s="4">
        <v>13.76</v>
      </c>
      <c r="W33" s="4">
        <v>13.64</v>
      </c>
      <c r="X33" s="4">
        <v>13.65</v>
      </c>
      <c r="Y33" s="4">
        <v>13.43</v>
      </c>
      <c r="Z33" s="4">
        <v>13.63</v>
      </c>
      <c r="AA33" s="4">
        <v>12.8</v>
      </c>
      <c r="AB33" s="4">
        <v>12.65</v>
      </c>
      <c r="AC33" s="4">
        <v>12.2</v>
      </c>
      <c r="AD33" s="4">
        <v>12.43</v>
      </c>
      <c r="AE33" s="4">
        <v>11.89</v>
      </c>
      <c r="AF33" s="4">
        <v>12.05</v>
      </c>
      <c r="AG33" s="4">
        <v>11.56</v>
      </c>
      <c r="AH33" s="4">
        <v>11.29</v>
      </c>
      <c r="AI33" s="4">
        <v>11.2</v>
      </c>
      <c r="AJ33" s="4">
        <v>11.11</v>
      </c>
      <c r="AK33" s="4">
        <v>11.32</v>
      </c>
      <c r="AL33" s="4">
        <v>11.82</v>
      </c>
      <c r="AM33" s="4">
        <v>11.75</v>
      </c>
      <c r="AN33" s="4">
        <v>12.39</v>
      </c>
      <c r="AO33" s="4">
        <v>12.51</v>
      </c>
      <c r="AP33" s="4">
        <v>12.59</v>
      </c>
      <c r="AQ33" s="4">
        <v>12.52</v>
      </c>
      <c r="AR33" s="4">
        <v>11.95</v>
      </c>
      <c r="AS33" s="4">
        <v>12.25</v>
      </c>
      <c r="AT33" s="4">
        <v>12.5</v>
      </c>
      <c r="AU33" s="4">
        <v>12.654999999999999</v>
      </c>
      <c r="AV33" s="4">
        <v>13.02</v>
      </c>
      <c r="AW33" s="4">
        <v>12.49</v>
      </c>
      <c r="AX33" s="4">
        <v>12.47</v>
      </c>
      <c r="AY33" s="12">
        <v>12.8</v>
      </c>
      <c r="AZ33" s="12">
        <v>13.26</v>
      </c>
      <c r="BA33" s="12">
        <v>14.09</v>
      </c>
      <c r="BB33" s="15">
        <v>14.2</v>
      </c>
      <c r="BC33" s="52">
        <v>14.47</v>
      </c>
      <c r="BD33" s="52">
        <v>14.22</v>
      </c>
      <c r="BE33" s="52">
        <v>14.07</v>
      </c>
      <c r="BF33" s="52">
        <v>13.55</v>
      </c>
      <c r="BG33" s="67">
        <v>14.13</v>
      </c>
      <c r="BH33" s="52">
        <v>13.99</v>
      </c>
      <c r="BI33" s="52">
        <v>13.79</v>
      </c>
      <c r="BJ33" s="52">
        <v>13.92</v>
      </c>
      <c r="BK33" s="52">
        <v>13.3</v>
      </c>
      <c r="BL33" s="52">
        <v>12.5</v>
      </c>
      <c r="BM33" s="52">
        <v>12.52</v>
      </c>
      <c r="BN33" s="52">
        <v>12.31</v>
      </c>
      <c r="BO33" s="52">
        <v>12.71</v>
      </c>
      <c r="BP33" s="52" cm="1">
        <f t="array" aca="1" ref="BP33" ca="1">_FV(ED33,"Preço")</f>
        <v>12.85</v>
      </c>
      <c r="BQ33" s="69" t="s">
        <v>30</v>
      </c>
      <c r="BR33" s="36" cm="1">
        <f t="array" aca="1" ref="BR33" ca="1">_FV(ED33,"Média de volume",TRUE)</f>
        <v>50460</v>
      </c>
      <c r="BS33" s="36">
        <v>42000</v>
      </c>
      <c r="BT33" s="36" cm="1">
        <f t="array" aca="1" ref="BT33" ca="1">_FV(ED33,"Volume")</f>
        <v>28600</v>
      </c>
      <c r="BU33" s="24" cm="1">
        <f t="array" aca="1" ref="BU33" ca="1">_FV(ED33,"Beta")</f>
        <v>1.0992999999999999</v>
      </c>
      <c r="BV33" s="71" cm="1">
        <f t="array" aca="1" ref="BV33" ca="1">_FV(ED33,"Variação (%)",TRUE)</f>
        <v>5.4769999999999992E-3</v>
      </c>
      <c r="BX33" s="17" cm="1">
        <f t="array" aca="1" ref="BX33" ca="1">_FV(ED33,"Baixo")</f>
        <v>12.71</v>
      </c>
      <c r="BY33" s="17" cm="1">
        <f t="array" aca="1" ref="BY33" ca="1">_FV(ED33,"Alto")</f>
        <v>12.89</v>
      </c>
      <c r="BZ33" s="24"/>
      <c r="CA33" s="63">
        <f ca="1">SQRT(22.5*(BP33/VLOOKUP(BQ33,Fundamentus!A:U,3,FALSE))*(BP33/VLOOKUP(BQ33,Fundamentus!A:U,4,FALSE)))</f>
        <v>22.744253453628836</v>
      </c>
      <c r="CC33" s="62">
        <f t="shared" ca="1" si="24"/>
        <v>1.1014948859165916E-2</v>
      </c>
      <c r="CD33" s="8"/>
      <c r="CE33" s="61">
        <f t="shared" si="25"/>
        <v>11.11</v>
      </c>
      <c r="CF33" s="61">
        <f t="shared" si="26"/>
        <v>14.94</v>
      </c>
      <c r="CG33" s="61">
        <f t="shared" si="27"/>
        <v>13.078880597014924</v>
      </c>
      <c r="CH33" s="14"/>
      <c r="CI33" s="35">
        <f t="shared" si="1"/>
        <v>11.93412996834927</v>
      </c>
      <c r="CJ33" s="15">
        <f t="shared" si="28"/>
        <v>12.614999999999952</v>
      </c>
      <c r="CK33" s="35">
        <f t="shared" si="2"/>
        <v>13.295870031650635</v>
      </c>
      <c r="CM33" s="14"/>
      <c r="CN33" s="17">
        <f t="shared" si="3"/>
        <v>7.07</v>
      </c>
      <c r="CO33" s="17">
        <f t="shared" si="4"/>
        <v>9.09</v>
      </c>
      <c r="CP33" s="17">
        <f t="shared" si="5"/>
        <v>10.9</v>
      </c>
      <c r="CQ33" s="38">
        <f t="shared" si="29"/>
        <v>12.92</v>
      </c>
      <c r="CR33" s="17">
        <f t="shared" si="6"/>
        <v>14.73</v>
      </c>
      <c r="CS33" s="17">
        <f t="shared" si="7"/>
        <v>16.75</v>
      </c>
      <c r="CT33" s="17">
        <f t="shared" si="8"/>
        <v>18.560000000000002</v>
      </c>
      <c r="CU33" s="2" cm="1">
        <f t="array" aca="1" ref="CU33" ca="1">MAX(_xlfn._xlws.FILTER(CN33:CT33,CN33:CT33&lt;BP33))</f>
        <v>10.9</v>
      </c>
      <c r="CV33" s="2" cm="1">
        <f t="array" aca="1" ref="CV33" ca="1">MIN(_xlfn._xlws.FILTER($CN33:$CT33,$CN33:$CT33&gt;BP33))</f>
        <v>12.92</v>
      </c>
      <c r="CW33" s="16">
        <f t="shared" ca="1" si="63"/>
        <v>0.18532110091743115</v>
      </c>
      <c r="CX33" s="20">
        <f t="shared" ca="1" si="64"/>
        <v>-9.2660550458715574E-2</v>
      </c>
      <c r="CY33" s="20">
        <f t="shared" ca="1" si="65"/>
        <v>-6.1773700305810385E-2</v>
      </c>
      <c r="CZ33" s="20">
        <f t="shared" ca="1" si="66"/>
        <v>-3.7064220183486228E-2</v>
      </c>
      <c r="DA33" s="20">
        <f t="shared" ca="1" si="67"/>
        <v>-2.0591233435270126E-2</v>
      </c>
      <c r="DB33" s="20">
        <f t="shared" ca="1" si="68"/>
        <v>-1.0901241230437127E-2</v>
      </c>
      <c r="DC33" s="20">
        <f t="shared" ca="1" si="69"/>
        <v>-5.615790936891853E-3</v>
      </c>
      <c r="DD33" s="20">
        <f t="shared" ca="1" si="70"/>
        <v>-2.8510938602681717E-3</v>
      </c>
      <c r="DE33" s="21">
        <f t="shared" ca="1" si="71"/>
        <v>2.8510938602681717E-3</v>
      </c>
      <c r="DF33" s="21">
        <f t="shared" ca="1" si="72"/>
        <v>5.615790936891853E-3</v>
      </c>
      <c r="DG33" s="21">
        <f t="shared" ca="1" si="73"/>
        <v>1.0901241230437127E-2</v>
      </c>
      <c r="DH33" s="21">
        <f t="shared" ca="1" si="74"/>
        <v>2.0591233435270126E-2</v>
      </c>
      <c r="DI33" s="21">
        <f t="shared" ca="1" si="75"/>
        <v>3.7064220183486228E-2</v>
      </c>
      <c r="DJ33" s="21">
        <f t="shared" ca="1" si="76"/>
        <v>6.1773700305810385E-2</v>
      </c>
      <c r="DK33" s="21">
        <f t="shared" ca="1" si="77"/>
        <v>9.2660550458715574E-2</v>
      </c>
      <c r="DM33" s="16" cm="1">
        <f t="array" aca="1" ref="DM33" ca="1">MAX(_xlfn._xlws.FILTER(CX33:DK33,CX33:DK33&lt;BV33))</f>
        <v>2.8510938602681717E-3</v>
      </c>
      <c r="DN33" s="16" cm="1">
        <f t="array" aca="1" ref="DN33" ca="1">MIN(_xlfn._xlws.FILTER(CX33:DK33,CX33:DK33&gt;BV33))</f>
        <v>5.615790936891853E-3</v>
      </c>
      <c r="DO33" s="2" cm="1">
        <f t="array" aca="1" ref="DO33" ca="1">_FV(ED33,"Fechamento anterior",TRUE)</f>
        <v>12.78</v>
      </c>
      <c r="DP33" s="28">
        <f t="shared" ca="1" si="15"/>
        <v>0.94991037395993227</v>
      </c>
      <c r="DQ33" s="15">
        <f t="shared" ca="1" si="78"/>
        <v>12.816436979534227</v>
      </c>
      <c r="DR33" s="15">
        <f t="shared" ca="1" si="79"/>
        <v>12.851769808173477</v>
      </c>
      <c r="DS33" s="9"/>
      <c r="DT33" s="9"/>
      <c r="DU33" s="9"/>
      <c r="DV33" s="89">
        <v>5.7021877205363433E-3</v>
      </c>
      <c r="DW33" s="89">
        <f t="shared" ca="1" si="18"/>
        <v>2.7646970766236813E-3</v>
      </c>
      <c r="DX33" s="72">
        <f t="shared" ca="1" si="19"/>
        <v>0.34514663456448486</v>
      </c>
      <c r="DY33" s="37"/>
      <c r="DZ33" s="35">
        <f t="shared" si="39"/>
        <v>0.34043501582534097</v>
      </c>
      <c r="EA33" s="56"/>
      <c r="EB33" s="56"/>
      <c r="ED33" s="2" t="e" vm="33">
        <v>#VALUE!</v>
      </c>
      <c r="EF33" s="10" cm="1">
        <f t="array" aca="1" ref="EF33" ca="1">_FV(ED33,"Ações em circulação",TRUE)</f>
        <v>3749266000</v>
      </c>
      <c r="EG33" s="18">
        <f>VLOOKUP(BQ33,Fundamentus!A:U,5,FALSE)</f>
        <v>0</v>
      </c>
      <c r="EH33" s="2" t="e">
        <f t="shared" ca="1" si="20"/>
        <v>#DIV/0!</v>
      </c>
      <c r="EI33" s="17" t="e">
        <v>#DIV/0!</v>
      </c>
      <c r="EJ33" s="17" t="e">
        <f t="shared" ca="1" si="21"/>
        <v>#DIV/0!</v>
      </c>
      <c r="EL33" s="16" t="e">
        <f t="shared" ca="1" si="22"/>
        <v>#DIV/0!</v>
      </c>
      <c r="EM33" s="32" t="str">
        <f>IF(VLOOKUP(BQ33,Fundamentus!A:U,3,FALSE)&lt;15,"Bom",IF(VLOOKUP(BQ33,Fundamentus!A:U,3,FALSE)&gt;15,"Ruim","n/a"))</f>
        <v>Bom</v>
      </c>
      <c r="EN33" s="28" t="str">
        <f>IF(VLOOKUP(BQ33,Fundamentus!A:U,4,FALSE)&lt;1,"Baixo",IF(VLOOKUP(BQ33,Fundamentus!A:U,4,FALSE)&lt;1.5,"Moderado",IF(VLOOKUP(BQ33,Fundamentus!A:U,4,FALSE)&gt;1.5,"Alto","n/a")))</f>
        <v>Moderado</v>
      </c>
      <c r="EO33" s="17" t="str">
        <f>IF(VLOOKUP(BQ33,Fundamentus!A:U,8,FALSE)&lt;0,"Risco elevado",IF(VLOOKUP(BQ33,Fundamentus!A:U,8,FALSE)&lt;1,"Saudável",IF(VLOOKUP(BQ33,Fundamentus!A:U,8,FALSE)&lt;3,"Estável",IF(VLOOKUP(BQ33,Fundamentus!A:U,8,FALSE)&gt;3,"Alerta","n/a"))))</f>
        <v>Saudável</v>
      </c>
      <c r="EP33" s="28" t="str">
        <f t="shared" si="23"/>
        <v>Ruim</v>
      </c>
      <c r="EQ33" s="17" t="str">
        <f>IF(VLOOKUP(BQ33,Fundamentus!A:U,12,FALSE)&lt;2,"Subvalorizada",IF(VLOOKUP(BQ33,Fundamentus!A:U,12,FALSE)&lt;6,"Muita barata",IF(VLOOKUP(BQ33,Fundamentus!A:U,12,FALSE)&lt;6,"Barata",IF(VLOOKUP(BQ33,Fundamentus!A:U,12,FALSE)&lt;8,"Atrativa",IF(VLOOKUP(BQ33,Fundamentus!A:U,12,FALSE)&gt;8,"Supervalorizada","n/a")))))</f>
        <v>Subvalorizada</v>
      </c>
      <c r="ES33" s="17" t="str">
        <f>IF(VLOOKUP(BQ33,Fundamentus!A:U,17,FALSE)&lt;0.1,"Fraco retorno",IF(VLOOKUP(BQ33,Fundamentus!A:U,17,FALSE)&gt;0.1,"Bom retorno","n/a"))</f>
        <v>Bom retorno</v>
      </c>
      <c r="ET33" s="17" t="str">
        <f>IF(VLOOKUP(BQ33,Fundamentus!A:U,16,FALSE)&lt;0.1,"Ineficiente",IF(VLOOKUP(BQ33,Fundamentus!A:U,16,FALSE)&gt;0.1,"Eficiente","n/a"))</f>
        <v>Ineficiente</v>
      </c>
      <c r="EU33" s="33" t="str">
        <f>IF(VLOOKUP(BQ33,Fundamentus!A:U,16,FALSE)&lt;0.1,"Oper. Ineficiente",IF(VLOOKUP(BQ33,Fundamentus!A:U,16,FALSE)&gt;0.1,"Oper.Eficiente","n/a"))</f>
        <v>Oper. Ineficiente</v>
      </c>
      <c r="EV33" s="34">
        <f>VLOOKUP(BQ33,Fundamentus!A:U,14,FALSE)</f>
        <v>0</v>
      </c>
      <c r="EW33" s="17" t="str">
        <f>IF(VLOOKUP(BQ33,Fundamentus!A:U,21,FALSE)&lt;0,"Negativo",IF(VLOOKUP(BQ33,Fundamentus!A:U,21,FALSE)&lt;0.05,"Fraco",IF(VLOOKUP(BQ33,Fundamentus!A:U,21,FALSE)&lt;0.1,"Bom",IF(VLOOKUP(BQ33,Fundamentus!A:U,21,FALSE)&gt;0.1,"Muito bom","n/a"))))</f>
        <v>Negativo</v>
      </c>
      <c r="EY33" s="29" t="str">
        <f>IF(VLOOKUP(BQ33,Fundamentus!A:U,15,FALSE)&gt;1,"Bom",IF(VLOOKUP(BQ33,Fundamentus!A:U,15,FALSE)&lt;1,"Ruim","n/a"))</f>
        <v>Ruim</v>
      </c>
      <c r="EZ33" s="17" t="str">
        <f>IF(VLOOKUP(BQ33,Fundamentus!A:U,20,FALSE)&lt;0.5,"Baixa",IF(VLOOKUP(BQ33,Fundamentus!A:U,20,FALSE)&lt;1,"Moderada",IF(VLOOKUP(BQ33,Fundamentus!A:U,20,FALSE)&lt;2,"Alerta",IF(VLOOKUP(BQ33,Fundamentus!A:U,20,FALSE)&gt;2,"Alta","n/a"))))</f>
        <v>Baixa</v>
      </c>
    </row>
    <row r="34" spans="1:156" s="5" customFormat="1" ht="11.25" hidden="1" x14ac:dyDescent="0.2">
      <c r="A34" s="4">
        <v>18.41</v>
      </c>
      <c r="B34" s="4">
        <v>18.5</v>
      </c>
      <c r="C34" s="4">
        <v>18.8</v>
      </c>
      <c r="D34" s="4">
        <v>19.04</v>
      </c>
      <c r="E34" s="4">
        <v>18.38</v>
      </c>
      <c r="F34" s="4">
        <v>18.16</v>
      </c>
      <c r="G34" s="4">
        <v>18.670000000000002</v>
      </c>
      <c r="H34" s="4">
        <v>17.989999999999998</v>
      </c>
      <c r="I34" s="4">
        <v>18.61</v>
      </c>
      <c r="J34" s="4">
        <v>19.5</v>
      </c>
      <c r="K34" s="4">
        <v>19.97</v>
      </c>
      <c r="L34" s="4">
        <v>20.18</v>
      </c>
      <c r="M34" s="4">
        <v>19.399999999999999</v>
      </c>
      <c r="N34" s="4">
        <v>19.7</v>
      </c>
      <c r="O34" s="4">
        <v>18.8</v>
      </c>
      <c r="P34" s="4">
        <v>18.63</v>
      </c>
      <c r="Q34" s="4">
        <v>18.8</v>
      </c>
      <c r="R34" s="4">
        <v>19.25</v>
      </c>
      <c r="S34" s="4">
        <v>18.149999999999999</v>
      </c>
      <c r="T34" s="4">
        <v>18.100000000000001</v>
      </c>
      <c r="U34" s="4">
        <v>17.739999999999998</v>
      </c>
      <c r="V34" s="4">
        <v>18.100000000000001</v>
      </c>
      <c r="W34" s="4">
        <v>17.3</v>
      </c>
      <c r="X34" s="4">
        <v>16.98</v>
      </c>
      <c r="Y34" s="4">
        <v>16.8</v>
      </c>
      <c r="Z34" s="4">
        <v>17.100000000000001</v>
      </c>
      <c r="AA34" s="4">
        <v>17.23</v>
      </c>
      <c r="AB34" s="4">
        <v>15.93</v>
      </c>
      <c r="AC34" s="4">
        <v>15.9</v>
      </c>
      <c r="AD34" s="4">
        <v>15.62</v>
      </c>
      <c r="AE34" s="4">
        <v>15.97</v>
      </c>
      <c r="AF34" s="4">
        <v>15.03</v>
      </c>
      <c r="AG34" s="4">
        <v>14.4</v>
      </c>
      <c r="AH34" s="4">
        <v>14.85</v>
      </c>
      <c r="AI34" s="4">
        <v>15.41</v>
      </c>
      <c r="AJ34" s="4">
        <v>15.08</v>
      </c>
      <c r="AK34" s="4">
        <v>15.6</v>
      </c>
      <c r="AL34" s="4">
        <v>16.28</v>
      </c>
      <c r="AM34" s="4">
        <v>16.18</v>
      </c>
      <c r="AN34" s="4">
        <v>16</v>
      </c>
      <c r="AO34" s="4">
        <v>16.149999999999999</v>
      </c>
      <c r="AP34" s="4">
        <v>17.11</v>
      </c>
      <c r="AQ34" s="4">
        <v>16.940000000000001</v>
      </c>
      <c r="AR34" s="4">
        <v>16.75</v>
      </c>
      <c r="AS34" s="4">
        <v>16.27</v>
      </c>
      <c r="AT34" s="4">
        <v>16.399999999999999</v>
      </c>
      <c r="AU34" s="4">
        <v>16.504999999999999</v>
      </c>
      <c r="AV34" s="4">
        <v>16.73</v>
      </c>
      <c r="AW34" s="4">
        <v>16.75</v>
      </c>
      <c r="AX34" s="4">
        <v>16.690000000000001</v>
      </c>
      <c r="AY34" s="12">
        <v>16.45</v>
      </c>
      <c r="AZ34" s="12">
        <v>16.46</v>
      </c>
      <c r="BA34" s="12">
        <v>17.170000000000002</v>
      </c>
      <c r="BB34" s="15">
        <v>17.329999999999998</v>
      </c>
      <c r="BC34" s="52">
        <v>18.02</v>
      </c>
      <c r="BD34" s="52">
        <v>17.97</v>
      </c>
      <c r="BE34" s="52">
        <v>18.100000000000001</v>
      </c>
      <c r="BF34" s="52">
        <v>18.190000000000001</v>
      </c>
      <c r="BG34" s="67">
        <v>17.850000000000001</v>
      </c>
      <c r="BH34" s="52">
        <v>18.239999999999998</v>
      </c>
      <c r="BI34" s="52">
        <v>18.34</v>
      </c>
      <c r="BJ34" s="52">
        <v>18.579999999999998</v>
      </c>
      <c r="BK34" s="52">
        <v>18.39</v>
      </c>
      <c r="BL34" s="52">
        <v>17.5</v>
      </c>
      <c r="BM34" s="52">
        <v>17.399999999999999</v>
      </c>
      <c r="BN34" s="52">
        <v>18.100000000000001</v>
      </c>
      <c r="BO34" s="52">
        <v>17.25</v>
      </c>
      <c r="BP34" s="52" cm="1">
        <f t="array" aca="1" ref="BP34" ca="1">_FV(ED34,"Preço")</f>
        <v>17.38</v>
      </c>
      <c r="BQ34" s="69" t="s">
        <v>31</v>
      </c>
      <c r="BR34" s="36" cm="1">
        <f t="array" aca="1" ref="BR34" ca="1">_FV(ED34,"Média de volume",TRUE)</f>
        <v>40250</v>
      </c>
      <c r="BS34" s="36">
        <v>42700</v>
      </c>
      <c r="BT34" s="36" cm="1">
        <f t="array" aca="1" ref="BT34" ca="1">_FV(ED34,"Volume")</f>
        <v>13700</v>
      </c>
      <c r="BU34" s="24" cm="1">
        <f t="array" aca="1" ref="BU34" ca="1">_FV(ED34,"Beta")</f>
        <v>0.97050000000000003</v>
      </c>
      <c r="BV34" s="71" cm="1">
        <f t="array" aca="1" ref="BV34" ca="1">_FV(ED34,"Variação (%)",TRUE)</f>
        <v>-3.4399999999999999E-3</v>
      </c>
      <c r="BX34" s="17" cm="1">
        <f t="array" aca="1" ref="BX34" ca="1">_FV(ED34,"Baixo")</f>
        <v>17.260000000000002</v>
      </c>
      <c r="BY34" s="17" cm="1">
        <f t="array" aca="1" ref="BY34" ca="1">_FV(ED34,"Alto")</f>
        <v>17.53</v>
      </c>
      <c r="BZ34" s="24"/>
      <c r="CA34" s="63">
        <f ca="1">SQRT(22.5*(BP34/VLOOKUP(BQ34,Fundamentus!A:U,3,FALSE))*(BP34/VLOOKUP(BQ34,Fundamentus!A:U,4,FALSE)))</f>
        <v>24.100487635232067</v>
      </c>
      <c r="CC34" s="62">
        <f t="shared" ca="1" si="24"/>
        <v>7.5362318840579137E-3</v>
      </c>
      <c r="CD34" s="8"/>
      <c r="CE34" s="61">
        <f t="shared" si="25"/>
        <v>14.4</v>
      </c>
      <c r="CF34" s="61">
        <f t="shared" si="26"/>
        <v>20.18</v>
      </c>
      <c r="CG34" s="61">
        <f t="shared" si="27"/>
        <v>17.435447761194034</v>
      </c>
      <c r="CH34" s="14"/>
      <c r="CI34" s="35">
        <f t="shared" si="1"/>
        <v>16.671510387084737</v>
      </c>
      <c r="CJ34" s="15">
        <f t="shared" si="28"/>
        <v>17.549999999999997</v>
      </c>
      <c r="CK34" s="35">
        <f t="shared" si="2"/>
        <v>18.428489612915257</v>
      </c>
      <c r="CM34" s="14"/>
      <c r="CN34" s="17">
        <f t="shared" si="3"/>
        <v>8.5933333333333355</v>
      </c>
      <c r="CO34" s="17">
        <f t="shared" si="4"/>
        <v>11.496666666666668</v>
      </c>
      <c r="CP34" s="17">
        <f t="shared" si="5"/>
        <v>14.373333333333335</v>
      </c>
      <c r="CQ34" s="38">
        <f t="shared" si="29"/>
        <v>17.276666666666667</v>
      </c>
      <c r="CR34" s="17">
        <f t="shared" si="6"/>
        <v>20.153333333333336</v>
      </c>
      <c r="CS34" s="17">
        <f t="shared" si="7"/>
        <v>23.056666666666665</v>
      </c>
      <c r="CT34" s="17">
        <f t="shared" si="8"/>
        <v>25.933333333333334</v>
      </c>
      <c r="CU34" s="2" cm="1">
        <f t="array" aca="1" ref="CU34" ca="1">MAX(_xlfn._xlws.FILTER(CN34:CT34,CN34:CT34&lt;BP34))</f>
        <v>17.276666666666667</v>
      </c>
      <c r="CV34" s="2" cm="1">
        <f t="array" aca="1" ref="CV34" ca="1">MIN(_xlfn._xlws.FILTER($CN34:$CT34,$CN34:$CT34&gt;BP34))</f>
        <v>20.153333333333336</v>
      </c>
      <c r="CW34" s="16">
        <f t="shared" ca="1" si="63"/>
        <v>0.16650588462280536</v>
      </c>
      <c r="CX34" s="20">
        <f t="shared" ca="1" si="64"/>
        <v>-8.3252942311402678E-2</v>
      </c>
      <c r="CY34" s="20">
        <f t="shared" ca="1" si="65"/>
        <v>-5.5501961540935119E-2</v>
      </c>
      <c r="CZ34" s="20">
        <f t="shared" ca="1" si="66"/>
        <v>-3.3301176924561068E-2</v>
      </c>
      <c r="DA34" s="20">
        <f t="shared" ca="1" si="67"/>
        <v>-1.8500653846978372E-2</v>
      </c>
      <c r="DB34" s="20">
        <f t="shared" ca="1" si="68"/>
        <v>-9.7944638013414912E-3</v>
      </c>
      <c r="DC34" s="20">
        <f t="shared" ca="1" si="69"/>
        <v>-5.0456328673577381E-3</v>
      </c>
      <c r="DD34" s="20">
        <f t="shared" ca="1" si="70"/>
        <v>-2.5616289941970054E-3</v>
      </c>
      <c r="DE34" s="21">
        <f t="shared" ca="1" si="71"/>
        <v>2.5616289941970054E-3</v>
      </c>
      <c r="DF34" s="21">
        <f t="shared" ca="1" si="72"/>
        <v>5.0456328673577381E-3</v>
      </c>
      <c r="DG34" s="21">
        <f t="shared" ca="1" si="73"/>
        <v>9.7944638013414912E-3</v>
      </c>
      <c r="DH34" s="21">
        <f t="shared" ca="1" si="74"/>
        <v>1.8500653846978372E-2</v>
      </c>
      <c r="DI34" s="21">
        <f t="shared" ca="1" si="75"/>
        <v>3.3301176924561068E-2</v>
      </c>
      <c r="DJ34" s="21">
        <f t="shared" ca="1" si="76"/>
        <v>5.5501961540935119E-2</v>
      </c>
      <c r="DK34" s="21">
        <f t="shared" ca="1" si="77"/>
        <v>8.3252942311402678E-2</v>
      </c>
      <c r="DM34" s="16" cm="1">
        <f t="array" aca="1" ref="DM34" ca="1">MAX(_xlfn._xlws.FILTER(CX34:DK34,CX34:DK34&lt;BV34))</f>
        <v>-5.0456328673577381E-3</v>
      </c>
      <c r="DN34" s="16" cm="1">
        <f t="array" aca="1" ref="DN34" ca="1">MIN(_xlfn._xlws.FILTER(CX34:DK34,CX34:DK34&gt;BV34))</f>
        <v>-2.5616289941970054E-3</v>
      </c>
      <c r="DO34" s="2" cm="1">
        <f t="array" aca="1" ref="DO34" ca="1">_FV(ED34,"Fechamento anterior",TRUE)</f>
        <v>17.440000000000001</v>
      </c>
      <c r="DP34" s="28">
        <f t="shared" ca="1" si="15"/>
        <v>0.64624130108058853</v>
      </c>
      <c r="DQ34" s="15">
        <f t="shared" ca="1" si="78"/>
        <v>17.352004162793282</v>
      </c>
      <c r="DR34" s="15">
        <f t="shared" ca="1" si="79"/>
        <v>17.395325190341204</v>
      </c>
      <c r="DS34" s="9"/>
      <c r="DT34" s="9"/>
      <c r="DU34" s="9"/>
      <c r="DV34" s="89">
        <v>6.2152133580704993E-3</v>
      </c>
      <c r="DW34" s="89">
        <f t="shared" ca="1" si="18"/>
        <v>2.4840038731607328E-3</v>
      </c>
      <c r="DX34" s="72">
        <f t="shared" ca="1" si="19"/>
        <v>-0.19351395565834259</v>
      </c>
      <c r="DY34" s="37"/>
      <c r="DZ34" s="35">
        <f t="shared" si="39"/>
        <v>0.4392448064576297</v>
      </c>
      <c r="EA34" s="56"/>
      <c r="EB34" s="56"/>
      <c r="ED34" s="5" t="e" vm="34">
        <v>#VALUE!</v>
      </c>
      <c r="EF34" s="10" cm="1">
        <f t="array" aca="1" ref="EF34" ca="1">_FV(ED34,"Ações em circulação",TRUE)</f>
        <v>41800000</v>
      </c>
      <c r="EG34" s="18">
        <f>VLOOKUP(BQ34,Fundamentus!A:U,5,FALSE)</f>
        <v>1.256</v>
      </c>
      <c r="EH34" s="2">
        <f t="shared" ca="1" si="20"/>
        <v>578410828.02547765</v>
      </c>
      <c r="EI34" s="17">
        <v>90590517.515923575</v>
      </c>
      <c r="EJ34" s="17">
        <f t="shared" ca="1" si="21"/>
        <v>91273228.662420377</v>
      </c>
      <c r="EK34" s="2"/>
      <c r="EL34" s="16">
        <f t="shared" ca="1" si="22"/>
        <v>7.5362318840577203E-3</v>
      </c>
      <c r="EM34" s="32" t="str">
        <f>IF(VLOOKUP(BQ34,Fundamentus!A:U,3,FALSE)&lt;15,"Bom",IF(VLOOKUP(BQ34,Fundamentus!A:U,3,FALSE)&gt;15,"Ruim","n/a"))</f>
        <v>Bom</v>
      </c>
      <c r="EN34" s="28" t="str">
        <f>IF(VLOOKUP(BQ34,Fundamentus!A:U,4,FALSE)&lt;1,"Baixo",IF(VLOOKUP(BQ34,Fundamentus!A:U,4,FALSE)&lt;1.5,"Moderado",IF(VLOOKUP(BQ34,Fundamentus!A:U,4,FALSE)&gt;1.5,"Alto","n/a")))</f>
        <v>Moderado</v>
      </c>
      <c r="EO34" s="17" t="str">
        <f>IF(VLOOKUP(BQ34,Fundamentus!A:U,8,FALSE)&lt;0,"Risco elevado",IF(VLOOKUP(BQ34,Fundamentus!A:U,8,FALSE)&lt;1,"Saudável",IF(VLOOKUP(BQ34,Fundamentus!A:U,8,FALSE)&lt;3,"Estável",IF(VLOOKUP(BQ34,Fundamentus!A:U,8,FALSE)&gt;3,"Alerta","n/a"))))</f>
        <v>Alerta</v>
      </c>
      <c r="EP34" s="28" t="str">
        <f t="shared" si="23"/>
        <v>Bom</v>
      </c>
      <c r="EQ34" s="17" t="str">
        <f>IF(VLOOKUP(BQ34,Fundamentus!A:U,12,FALSE)&lt;2,"Subvalorizada",IF(VLOOKUP(BQ34,Fundamentus!A:U,12,FALSE)&lt;6,"Muita barata",IF(VLOOKUP(BQ34,Fundamentus!A:U,12,FALSE)&lt;6,"Barata",IF(VLOOKUP(BQ34,Fundamentus!A:U,12,FALSE)&lt;8,"Atrativa",IF(VLOOKUP(BQ34,Fundamentus!A:U,12,FALSE)&gt;8,"Supervalorizada","n/a")))))</f>
        <v>Muita barata</v>
      </c>
      <c r="ER34" s="2"/>
      <c r="ES34" s="17" t="str">
        <f>IF(VLOOKUP(BQ34,Fundamentus!A:U,17,FALSE)&lt;0.1,"Fraco retorno",IF(VLOOKUP(BQ34,Fundamentus!A:U,17,FALSE)&gt;0.1,"Bom retorno","n/a"))</f>
        <v>Bom retorno</v>
      </c>
      <c r="ET34" s="17" t="str">
        <f>IF(VLOOKUP(BQ34,Fundamentus!A:U,16,FALSE)&lt;0.1,"Ineficiente",IF(VLOOKUP(BQ34,Fundamentus!A:U,16,FALSE)&gt;0.1,"Eficiente","n/a"))</f>
        <v>Eficiente</v>
      </c>
      <c r="EU34" s="33" t="str">
        <f>IF(VLOOKUP(BQ34,Fundamentus!A:U,16,FALSE)&lt;0.1,"Oper. Ineficiente",IF(VLOOKUP(BQ34,Fundamentus!A:U,16,FALSE)&gt;0.1,"Oper.Eficiente","n/a"))</f>
        <v>Oper.Eficiente</v>
      </c>
      <c r="EV34" s="34">
        <f>VLOOKUP(BQ34,Fundamentus!A:U,14,FALSE)</f>
        <v>0.1578</v>
      </c>
      <c r="EW34" s="17" t="str">
        <f>IF(VLOOKUP(BQ34,Fundamentus!A:U,21,FALSE)&lt;0,"Negativo",IF(VLOOKUP(BQ34,Fundamentus!A:U,21,FALSE)&lt;0.05,"Fraco",IF(VLOOKUP(BQ34,Fundamentus!A:U,21,FALSE)&lt;0.1,"Bom",IF(VLOOKUP(BQ34,Fundamentus!A:U,21,FALSE)&gt;0.1,"Muito bom","n/a"))))</f>
        <v>Fraco</v>
      </c>
      <c r="EY34" s="29" t="str">
        <f>IF(VLOOKUP(BQ34,Fundamentus!A:U,15,FALSE)&gt;1,"Bom",IF(VLOOKUP(BQ34,Fundamentus!A:U,15,FALSE)&lt;1,"Ruim","n/a"))</f>
        <v>Bom</v>
      </c>
      <c r="EZ34" s="17" t="str">
        <f>IF(VLOOKUP(BQ34,Fundamentus!A:U,20,FALSE)&lt;0.5,"Baixa",IF(VLOOKUP(BQ34,Fundamentus!A:U,20,FALSE)&lt;1,"Moderada",IF(VLOOKUP(BQ34,Fundamentus!A:U,20,FALSE)&lt;2,"Alerta",IF(VLOOKUP(BQ34,Fundamentus!A:U,20,FALSE)&gt;2,"Alta","n/a"))))</f>
        <v>Baixa</v>
      </c>
    </row>
    <row r="35" spans="1:156" s="2" customFormat="1" ht="11.25" hidden="1" x14ac:dyDescent="0.2">
      <c r="A35" s="4">
        <v>10.53</v>
      </c>
      <c r="B35" s="4">
        <v>11.09</v>
      </c>
      <c r="C35" s="4">
        <v>10.89</v>
      </c>
      <c r="D35" s="4">
        <v>10.47</v>
      </c>
      <c r="E35" s="4">
        <v>10.28</v>
      </c>
      <c r="F35" s="4">
        <v>10.23</v>
      </c>
      <c r="G35" s="4">
        <v>9.99</v>
      </c>
      <c r="H35" s="4">
        <v>9.64</v>
      </c>
      <c r="I35" s="4">
        <v>10.61</v>
      </c>
      <c r="J35" s="4">
        <v>11.8</v>
      </c>
      <c r="K35" s="4">
        <v>11.9</v>
      </c>
      <c r="L35" s="4">
        <v>11.29</v>
      </c>
      <c r="M35" s="4">
        <v>11.29</v>
      </c>
      <c r="N35" s="4">
        <v>10.37</v>
      </c>
      <c r="O35" s="4">
        <v>11.62</v>
      </c>
      <c r="P35" s="4">
        <v>11.68</v>
      </c>
      <c r="Q35" s="4">
        <v>13.73</v>
      </c>
      <c r="R35" s="4">
        <v>13.97</v>
      </c>
      <c r="S35" s="4">
        <v>14.16</v>
      </c>
      <c r="T35" s="4">
        <v>14.24</v>
      </c>
      <c r="U35" s="4">
        <v>13.17</v>
      </c>
      <c r="V35" s="4">
        <v>13.76</v>
      </c>
      <c r="W35" s="4">
        <v>13.05</v>
      </c>
      <c r="X35" s="4">
        <v>13.1</v>
      </c>
      <c r="Y35" s="4">
        <v>14.1</v>
      </c>
      <c r="Z35" s="4">
        <v>14.18</v>
      </c>
      <c r="AA35" s="4">
        <v>14.75</v>
      </c>
      <c r="AB35" s="4">
        <v>15.23</v>
      </c>
      <c r="AC35" s="4">
        <v>14.92</v>
      </c>
      <c r="AD35" s="4">
        <v>14.7</v>
      </c>
      <c r="AE35" s="4">
        <v>13.39</v>
      </c>
      <c r="AF35" s="4">
        <v>13.67</v>
      </c>
      <c r="AG35" s="4">
        <v>13.66</v>
      </c>
      <c r="AH35" s="4">
        <v>13.6</v>
      </c>
      <c r="AI35" s="4">
        <v>12.68</v>
      </c>
      <c r="AJ35" s="4">
        <v>12.9</v>
      </c>
      <c r="AK35" s="4">
        <v>12.66</v>
      </c>
      <c r="AL35" s="4">
        <v>11.86</v>
      </c>
      <c r="AM35" s="4">
        <v>12.48</v>
      </c>
      <c r="AN35" s="4">
        <v>12.97</v>
      </c>
      <c r="AO35" s="4">
        <v>12.05</v>
      </c>
      <c r="AP35" s="4">
        <v>12.75</v>
      </c>
      <c r="AQ35" s="4">
        <v>11.96</v>
      </c>
      <c r="AR35" s="4">
        <v>12.42</v>
      </c>
      <c r="AS35" s="4">
        <v>12.6</v>
      </c>
      <c r="AT35" s="4">
        <v>11.69</v>
      </c>
      <c r="AU35" s="4">
        <v>13.42</v>
      </c>
      <c r="AV35" s="4">
        <v>13.2</v>
      </c>
      <c r="AW35" s="4">
        <v>13.4</v>
      </c>
      <c r="AX35" s="4">
        <v>12.85</v>
      </c>
      <c r="AY35" s="12">
        <v>12.66</v>
      </c>
      <c r="AZ35" s="12">
        <v>12.79</v>
      </c>
      <c r="BA35" s="12">
        <v>12.91</v>
      </c>
      <c r="BB35" s="15">
        <v>12.92</v>
      </c>
      <c r="BC35" s="52">
        <v>13.9</v>
      </c>
      <c r="BD35" s="52">
        <v>14.33</v>
      </c>
      <c r="BE35" s="52">
        <v>14</v>
      </c>
      <c r="BF35" s="52">
        <v>13.9</v>
      </c>
      <c r="BG35" s="67">
        <v>13.7</v>
      </c>
      <c r="BH35" s="52">
        <v>13.67</v>
      </c>
      <c r="BI35" s="52">
        <v>13.43</v>
      </c>
      <c r="BJ35" s="52">
        <v>12.84</v>
      </c>
      <c r="BK35" s="52">
        <v>13.01</v>
      </c>
      <c r="BL35" s="52">
        <v>12.18</v>
      </c>
      <c r="BM35" s="52">
        <v>12.24</v>
      </c>
      <c r="BN35" s="52">
        <v>12.3</v>
      </c>
      <c r="BO35" s="52">
        <v>12.4</v>
      </c>
      <c r="BP35" s="52" cm="1">
        <f t="array" aca="1" ref="BP35" ca="1">_FV(ED35,"Preço")</f>
        <v>12.12</v>
      </c>
      <c r="BQ35" s="69" t="s">
        <v>187</v>
      </c>
      <c r="BR35" s="36" cm="1">
        <f t="array" aca="1" ref="BR35" ca="1">_FV(ED35,"Média de volume",TRUE)</f>
        <v>306880</v>
      </c>
      <c r="BS35" s="36">
        <v>267900</v>
      </c>
      <c r="BT35" s="36" cm="1">
        <f t="array" aca="1" ref="BT35" ca="1">_FV(ED35,"Volume")</f>
        <v>194000</v>
      </c>
      <c r="BU35" s="24" cm="1">
        <f t="array" aca="1" ref="BU35" ca="1">_FV(ED35,"Beta")</f>
        <v>1.0161</v>
      </c>
      <c r="BV35" s="71" cm="1">
        <f t="array" aca="1" ref="BV35" ca="1">_FV(ED35,"Variação (%)",TRUE)</f>
        <v>1.653E-3</v>
      </c>
      <c r="BX35" s="17" cm="1">
        <f t="array" aca="1" ref="BX35" ca="1">_FV(ED35,"Baixo")</f>
        <v>12.12</v>
      </c>
      <c r="BY35" s="17" cm="1">
        <f t="array" aca="1" ref="BY35" ca="1">_FV(ED35,"Alto")</f>
        <v>12.32</v>
      </c>
      <c r="BZ35" s="24"/>
      <c r="CA35" s="63">
        <f ca="1">SQRT(22.5*(BP35/VLOOKUP(BQ35,Fundamentus!A:U,3,FALSE))*(BP35/VLOOKUP(BQ35,Fundamentus!A:U,4,FALSE)))</f>
        <v>19.844158176108444</v>
      </c>
      <c r="CC35" s="62">
        <f t="shared" ca="1" si="24"/>
        <v>-2.2580645161290415E-2</v>
      </c>
      <c r="CD35" s="8"/>
      <c r="CE35" s="61">
        <f t="shared" si="25"/>
        <v>9.64</v>
      </c>
      <c r="CF35" s="61">
        <f t="shared" si="26"/>
        <v>15.23</v>
      </c>
      <c r="CG35" s="61">
        <f t="shared" si="27"/>
        <v>12.688507462686568</v>
      </c>
      <c r="CH35" s="14"/>
      <c r="CI35" s="35">
        <f t="shared" si="1"/>
        <v>11.858189398564612</v>
      </c>
      <c r="CJ35" s="15">
        <f t="shared" si="28"/>
        <v>12.45999999999998</v>
      </c>
      <c r="CK35" s="35">
        <f t="shared" si="2"/>
        <v>13.061810601435347</v>
      </c>
      <c r="CM35" s="14"/>
      <c r="CN35" s="17">
        <f t="shared" si="3"/>
        <v>4.0266666666666673</v>
      </c>
      <c r="CO35" s="17">
        <f t="shared" si="4"/>
        <v>6.8333333333333339</v>
      </c>
      <c r="CP35" s="17">
        <f t="shared" si="5"/>
        <v>9.6166666666666671</v>
      </c>
      <c r="CQ35" s="38">
        <f t="shared" si="29"/>
        <v>12.423333333333334</v>
      </c>
      <c r="CR35" s="17">
        <f t="shared" si="6"/>
        <v>15.206666666666667</v>
      </c>
      <c r="CS35" s="17">
        <f t="shared" si="7"/>
        <v>18.013333333333335</v>
      </c>
      <c r="CT35" s="17">
        <f t="shared" si="8"/>
        <v>20.796666666666667</v>
      </c>
      <c r="CU35" s="2" cm="1">
        <f t="array" aca="1" ref="CU35" ca="1">MAX(_xlfn._xlws.FILTER(CN35:CT35,CN35:CT35&lt;BP35))</f>
        <v>9.6166666666666671</v>
      </c>
      <c r="CV35" s="2" cm="1">
        <f t="array" aca="1" ref="CV35" ca="1">MIN(_xlfn._xlws.FILTER($CN35:$CT35,$CN35:$CT35&gt;BP35))</f>
        <v>12.423333333333334</v>
      </c>
      <c r="CW35" s="16">
        <f t="shared" ca="1" si="63"/>
        <v>0.2918544194107453</v>
      </c>
      <c r="CX35" s="20">
        <f t="shared" ca="1" si="64"/>
        <v>-0.14592720970537265</v>
      </c>
      <c r="CY35" s="20">
        <f t="shared" ca="1" si="65"/>
        <v>-9.7284806470248439E-2</v>
      </c>
      <c r="CZ35" s="20">
        <f t="shared" ca="1" si="66"/>
        <v>-5.8370883882149061E-2</v>
      </c>
      <c r="DA35" s="20">
        <f t="shared" ca="1" si="67"/>
        <v>-3.2428268823416144E-2</v>
      </c>
      <c r="DB35" s="20">
        <f t="shared" ca="1" si="68"/>
        <v>-1.7167907024161488E-2</v>
      </c>
      <c r="DC35" s="20">
        <f t="shared" ca="1" si="69"/>
        <v>-8.8440733154771297E-3</v>
      </c>
      <c r="DD35" s="20">
        <f t="shared" ca="1" si="70"/>
        <v>-4.4900679909345431E-3</v>
      </c>
      <c r="DE35" s="21">
        <f t="shared" ca="1" si="71"/>
        <v>4.4900679909345431E-3</v>
      </c>
      <c r="DF35" s="21">
        <f t="shared" ca="1" si="72"/>
        <v>8.8440733154771297E-3</v>
      </c>
      <c r="DG35" s="21">
        <f t="shared" ca="1" si="73"/>
        <v>1.7167907024161488E-2</v>
      </c>
      <c r="DH35" s="21">
        <f t="shared" ca="1" si="74"/>
        <v>3.2428268823416144E-2</v>
      </c>
      <c r="DI35" s="21">
        <f t="shared" ca="1" si="75"/>
        <v>5.8370883882149061E-2</v>
      </c>
      <c r="DJ35" s="21">
        <f t="shared" ca="1" si="76"/>
        <v>9.7284806470248439E-2</v>
      </c>
      <c r="DK35" s="21">
        <f t="shared" ca="1" si="77"/>
        <v>0.14592720970537265</v>
      </c>
      <c r="DM35" s="16" cm="1">
        <f t="array" aca="1" ref="DM35" ca="1">MAX(_xlfn._xlws.FILTER(CX35:DK35,CX35:DK35&lt;BV35))</f>
        <v>-4.4900679909345431E-3</v>
      </c>
      <c r="DN35" s="16" cm="1">
        <f t="array" aca="1" ref="DN35" ca="1">MIN(_xlfn._xlws.FILTER(CX35:DK35,CX35:DK35&gt;BV35))</f>
        <v>4.4900679909345431E-3</v>
      </c>
      <c r="DO35" s="2" cm="1">
        <f t="array" aca="1" ref="DO35" ca="1">_FV(ED35,"Fechamento anterior",TRUE)</f>
        <v>12.1</v>
      </c>
      <c r="DP35" s="28">
        <f t="shared" ca="1" si="15"/>
        <v>0.68406097249759135</v>
      </c>
      <c r="DQ35" s="15">
        <f t="shared" ca="1" si="78"/>
        <v>12.045670177309692</v>
      </c>
      <c r="DR35" s="15">
        <f t="shared" ca="1" si="79"/>
        <v>12.154329822690308</v>
      </c>
      <c r="DS35" s="9"/>
      <c r="DT35" s="9"/>
      <c r="DU35" s="9"/>
      <c r="DV35" s="89">
        <v>8.9801359818690862E-3</v>
      </c>
      <c r="DW35" s="89">
        <f t="shared" ca="1" si="18"/>
        <v>8.9801359818690862E-3</v>
      </c>
      <c r="DX35" s="72">
        <f t="shared" ca="1" si="19"/>
        <v>-0.56496179892652676</v>
      </c>
      <c r="DY35" s="37"/>
      <c r="DZ35" s="35">
        <f t="shared" si="39"/>
        <v>0.30090530071768418</v>
      </c>
      <c r="EA35" s="56"/>
      <c r="EB35" s="56"/>
      <c r="ED35" s="2" t="e" vm="35">
        <v>#VALUE!</v>
      </c>
      <c r="EF35" s="10" cm="1">
        <f t="array" aca="1" ref="EF35" ca="1">_FV(ED35,"Ações em circulação",TRUE)</f>
        <v>179393900</v>
      </c>
      <c r="EG35" s="18">
        <f>VLOOKUP(BQ35,Fundamentus!A:U,5,FALSE)</f>
        <v>1.2589999999999999</v>
      </c>
      <c r="EH35" s="2">
        <f t="shared" ca="1" si="20"/>
        <v>1726969077.0452743</v>
      </c>
      <c r="EI35" s="17">
        <v>264499848.04765689</v>
      </c>
      <c r="EJ35" s="17">
        <f t="shared" ca="1" si="21"/>
        <v>258527270.83367756</v>
      </c>
      <c r="EL35" s="16">
        <f t="shared" ca="1" si="22"/>
        <v>-2.2580645161290214E-2</v>
      </c>
      <c r="EM35" s="32" t="str">
        <f>IF(VLOOKUP(BQ35,Fundamentus!A:U,3,FALSE)&lt;15,"Bom",IF(VLOOKUP(BQ35,Fundamentus!A:U,3,FALSE)&gt;15,"Ruim","n/a"))</f>
        <v>Bom</v>
      </c>
      <c r="EN35" s="28" t="str">
        <f>IF(VLOOKUP(BQ35,Fundamentus!A:U,4,FALSE)&lt;1,"Baixo",IF(VLOOKUP(BQ35,Fundamentus!A:U,4,FALSE)&lt;1.5,"Moderado",IF(VLOOKUP(BQ35,Fundamentus!A:U,4,FALSE)&gt;1.5,"Alto","n/a")))</f>
        <v>Moderado</v>
      </c>
      <c r="EO35" s="17" t="str">
        <f>IF(VLOOKUP(BQ35,Fundamentus!A:U,8,FALSE)&lt;0,"Risco elevado",IF(VLOOKUP(BQ35,Fundamentus!A:U,8,FALSE)&lt;1,"Saudável",IF(VLOOKUP(BQ35,Fundamentus!A:U,8,FALSE)&lt;3,"Estável",IF(VLOOKUP(BQ35,Fundamentus!A:U,8,FALSE)&gt;3,"Alerta","n/a"))))</f>
        <v>Estável</v>
      </c>
      <c r="EP35" s="28" t="str">
        <f t="shared" si="23"/>
        <v>Bom</v>
      </c>
      <c r="EQ35" s="17" t="str">
        <f>IF(VLOOKUP(BQ35,Fundamentus!A:U,12,FALSE)&lt;2,"Subvalorizada",IF(VLOOKUP(BQ35,Fundamentus!A:U,12,FALSE)&lt;6,"Muita barata",IF(VLOOKUP(BQ35,Fundamentus!A:U,12,FALSE)&lt;6,"Barata",IF(VLOOKUP(BQ35,Fundamentus!A:U,12,FALSE)&lt;8,"Atrativa",IF(VLOOKUP(BQ35,Fundamentus!A:U,12,FALSE)&gt;8,"Supervalorizada","n/a")))))</f>
        <v>Muita barata</v>
      </c>
      <c r="ES35" s="17" t="str">
        <f>IF(VLOOKUP(BQ35,Fundamentus!A:U,17,FALSE)&lt;0.1,"Fraco retorno",IF(VLOOKUP(BQ35,Fundamentus!A:U,17,FALSE)&gt;0.1,"Bom retorno","n/a"))</f>
        <v>Bom retorno</v>
      </c>
      <c r="ET35" s="17" t="str">
        <f>IF(VLOOKUP(BQ35,Fundamentus!A:U,16,FALSE)&lt;0.1,"Ineficiente",IF(VLOOKUP(BQ35,Fundamentus!A:U,16,FALSE)&gt;0.1,"Eficiente","n/a"))</f>
        <v>Eficiente</v>
      </c>
      <c r="EU35" s="33" t="str">
        <f>IF(VLOOKUP(BQ35,Fundamentus!A:U,16,FALSE)&lt;0.1,"Oper. Ineficiente",IF(VLOOKUP(BQ35,Fundamentus!A:U,16,FALSE)&gt;0.1,"Oper.Eficiente","n/a"))</f>
        <v>Oper.Eficiente</v>
      </c>
      <c r="EV35" s="34">
        <f>VLOOKUP(BQ35,Fundamentus!A:U,14,FALSE)</f>
        <v>0.1497</v>
      </c>
      <c r="EW35" s="17" t="str">
        <f>IF(VLOOKUP(BQ35,Fundamentus!A:U,21,FALSE)&lt;0,"Negativo",IF(VLOOKUP(BQ35,Fundamentus!A:U,21,FALSE)&lt;0.05,"Fraco",IF(VLOOKUP(BQ35,Fundamentus!A:U,21,FALSE)&lt;0.1,"Bom",IF(VLOOKUP(BQ35,Fundamentus!A:U,21,FALSE)&gt;0.1,"Muito bom","n/a"))))</f>
        <v>Bom</v>
      </c>
      <c r="EY35" s="29" t="str">
        <f>IF(VLOOKUP(BQ35,Fundamentus!A:U,15,FALSE)&gt;1,"Bom",IF(VLOOKUP(BQ35,Fundamentus!A:U,15,FALSE)&lt;1,"Ruim","n/a"))</f>
        <v>Bom</v>
      </c>
      <c r="EZ35" s="17" t="str">
        <f>IF(VLOOKUP(BQ35,Fundamentus!A:U,20,FALSE)&lt;0.5,"Baixa",IF(VLOOKUP(BQ35,Fundamentus!A:U,20,FALSE)&lt;1,"Moderada",IF(VLOOKUP(BQ35,Fundamentus!A:U,20,FALSE)&lt;2,"Alerta",IF(VLOOKUP(BQ35,Fundamentus!A:U,20,FALSE)&gt;2,"Alta","n/a"))))</f>
        <v>Baixa</v>
      </c>
    </row>
    <row r="36" spans="1:156" s="2" customFormat="1" ht="11.25" hidden="1" x14ac:dyDescent="0.2">
      <c r="A36" s="4">
        <v>17.14</v>
      </c>
      <c r="B36" s="4">
        <v>17.350000000000001</v>
      </c>
      <c r="C36" s="4">
        <v>17.239999999999998</v>
      </c>
      <c r="D36" s="4">
        <v>16.38</v>
      </c>
      <c r="E36" s="4">
        <v>16.12</v>
      </c>
      <c r="F36" s="4">
        <v>15.27</v>
      </c>
      <c r="G36" s="4">
        <v>15.2</v>
      </c>
      <c r="H36" s="4">
        <v>16.02</v>
      </c>
      <c r="I36" s="4">
        <v>16.25</v>
      </c>
      <c r="J36" s="4">
        <v>16.16</v>
      </c>
      <c r="K36" s="4">
        <v>16.239999999999998</v>
      </c>
      <c r="L36" s="4">
        <v>16.57</v>
      </c>
      <c r="M36" s="4">
        <v>16.18</v>
      </c>
      <c r="N36" s="4">
        <v>15.59</v>
      </c>
      <c r="O36" s="4">
        <v>15.64</v>
      </c>
      <c r="P36" s="4">
        <v>15.54</v>
      </c>
      <c r="Q36" s="4">
        <v>16.260000000000002</v>
      </c>
      <c r="R36" s="4">
        <v>16.21</v>
      </c>
      <c r="S36" s="4">
        <v>16.2</v>
      </c>
      <c r="T36" s="4">
        <v>16.68</v>
      </c>
      <c r="U36" s="4">
        <v>16.25</v>
      </c>
      <c r="V36" s="4">
        <v>16.82</v>
      </c>
      <c r="W36" s="4">
        <v>16.95</v>
      </c>
      <c r="X36" s="4">
        <v>16.46</v>
      </c>
      <c r="Y36" s="4">
        <v>16.59</v>
      </c>
      <c r="Z36" s="4">
        <v>17.3</v>
      </c>
      <c r="AA36" s="4">
        <v>17.739999999999998</v>
      </c>
      <c r="AB36" s="4">
        <v>19.41</v>
      </c>
      <c r="AC36" s="4">
        <v>19.260000000000002</v>
      </c>
      <c r="AD36" s="4">
        <v>19.5</v>
      </c>
      <c r="AE36" s="4">
        <v>19.600000000000001</v>
      </c>
      <c r="AF36" s="4">
        <v>19.579999999999998</v>
      </c>
      <c r="AG36" s="4">
        <v>18.97</v>
      </c>
      <c r="AH36" s="4">
        <v>17.510000000000002</v>
      </c>
      <c r="AI36" s="4">
        <v>17.079999999999998</v>
      </c>
      <c r="AJ36" s="4">
        <v>16.07</v>
      </c>
      <c r="AK36" s="4">
        <v>15.47</v>
      </c>
      <c r="AL36" s="4">
        <v>15.92</v>
      </c>
      <c r="AM36" s="4">
        <v>16.25</v>
      </c>
      <c r="AN36" s="4">
        <v>15.87</v>
      </c>
      <c r="AO36" s="4">
        <v>15.86</v>
      </c>
      <c r="AP36" s="4">
        <v>16.350000000000001</v>
      </c>
      <c r="AQ36" s="4">
        <v>15.36</v>
      </c>
      <c r="AR36" s="4">
        <v>15.69</v>
      </c>
      <c r="AS36" s="4">
        <v>15.84</v>
      </c>
      <c r="AT36" s="4">
        <v>15.71</v>
      </c>
      <c r="AU36" s="4">
        <v>16.004999999999999</v>
      </c>
      <c r="AV36" s="4">
        <v>15.95</v>
      </c>
      <c r="AW36" s="4">
        <v>14.75</v>
      </c>
      <c r="AX36" s="4">
        <v>14.28</v>
      </c>
      <c r="AY36" s="12">
        <v>14.55</v>
      </c>
      <c r="AZ36" s="12">
        <v>14.99</v>
      </c>
      <c r="BA36" s="12">
        <v>14.68</v>
      </c>
      <c r="BB36" s="15">
        <v>14.5</v>
      </c>
      <c r="BC36" s="52">
        <v>15.2</v>
      </c>
      <c r="BD36" s="52">
        <v>14.96</v>
      </c>
      <c r="BE36" s="52">
        <v>14.54</v>
      </c>
      <c r="BF36" s="52">
        <v>15.01</v>
      </c>
      <c r="BG36" s="67">
        <v>14.96</v>
      </c>
      <c r="BH36" s="52">
        <v>14.27</v>
      </c>
      <c r="BI36" s="52">
        <v>14.55</v>
      </c>
      <c r="BJ36" s="52">
        <v>15.16</v>
      </c>
      <c r="BK36" s="52">
        <v>14.94</v>
      </c>
      <c r="BL36" s="52">
        <v>14.65</v>
      </c>
      <c r="BM36" s="52">
        <v>15.04</v>
      </c>
      <c r="BN36" s="52">
        <v>14.37</v>
      </c>
      <c r="BO36" s="52">
        <v>14.84</v>
      </c>
      <c r="BP36" s="52" cm="1">
        <f t="array" aca="1" ref="BP36" ca="1">_FV(ED36,"Preço")</f>
        <v>14.5</v>
      </c>
      <c r="BQ36" s="69" t="s">
        <v>33</v>
      </c>
      <c r="BR36" s="36" cm="1">
        <f t="array" aca="1" ref="BR36" ca="1">_FV(ED36,"Média de volume",TRUE)</f>
        <v>9238500</v>
      </c>
      <c r="BS36" s="36">
        <v>15100</v>
      </c>
      <c r="BT36" s="36" cm="1">
        <f t="array" aca="1" ref="BT36" ca="1">_FV(ED36,"Volume")</f>
        <v>9700</v>
      </c>
      <c r="BU36" s="24" cm="1">
        <f t="array" aca="1" ref="BU36" ca="1">_FV(ED36,"Beta")</f>
        <v>0.64180000000000004</v>
      </c>
      <c r="BV36" s="71" cm="1">
        <f t="array" aca="1" ref="BV36" ca="1">_FV(ED36,"Variação (%)",TRUE)</f>
        <v>-1.4276E-2</v>
      </c>
      <c r="BX36" s="17" cm="1">
        <f t="array" aca="1" ref="BX36" ca="1">_FV(ED36,"Baixo")</f>
        <v>14.47</v>
      </c>
      <c r="BY36" s="17" cm="1">
        <f t="array" aca="1" ref="BY36" ca="1">_FV(ED36,"Alto")</f>
        <v>14.8</v>
      </c>
      <c r="BZ36" s="24"/>
      <c r="CA36" s="63">
        <f ca="1">SQRT(22.5*(BP36/VLOOKUP(BQ36,Fundamentus!A:U,3,FALSE))*(BP36/VLOOKUP(BQ36,Fundamentus!A:U,4,FALSE)))</f>
        <v>30.121302517694772</v>
      </c>
      <c r="CC36" s="62">
        <f t="shared" ca="1" si="24"/>
        <v>-2.2911051212937995E-2</v>
      </c>
      <c r="CD36" s="8"/>
      <c r="CE36" s="61">
        <f t="shared" si="25"/>
        <v>14.27</v>
      </c>
      <c r="CF36" s="61">
        <f t="shared" si="26"/>
        <v>19.600000000000001</v>
      </c>
      <c r="CG36" s="61">
        <f t="shared" si="27"/>
        <v>16.117089552238806</v>
      </c>
      <c r="CH36" s="14"/>
      <c r="CI36" s="35">
        <f t="shared" si="1"/>
        <v>14.22580172923133</v>
      </c>
      <c r="CJ36" s="15">
        <f t="shared" si="28"/>
        <v>14.700000000000003</v>
      </c>
      <c r="CK36" s="35">
        <f t="shared" si="2"/>
        <v>15.174198270768676</v>
      </c>
      <c r="CM36" s="14"/>
      <c r="CN36" s="17">
        <f t="shared" si="3"/>
        <v>7.543333333333333</v>
      </c>
      <c r="CO36" s="17">
        <f t="shared" si="4"/>
        <v>10.906666666666666</v>
      </c>
      <c r="CP36" s="17">
        <f t="shared" si="5"/>
        <v>12.873333333333335</v>
      </c>
      <c r="CQ36" s="38">
        <f t="shared" si="29"/>
        <v>16.236666666666668</v>
      </c>
      <c r="CR36" s="17">
        <f t="shared" si="6"/>
        <v>18.203333333333337</v>
      </c>
      <c r="CS36" s="17">
        <f t="shared" si="7"/>
        <v>21.56666666666667</v>
      </c>
      <c r="CT36" s="17">
        <f t="shared" si="8"/>
        <v>23.533333333333339</v>
      </c>
      <c r="CU36" s="2" cm="1">
        <f t="array" aca="1" ref="CU36" ca="1">MAX(_xlfn._xlws.FILTER(CN36:CT36,CN36:CT36&lt;BP36))</f>
        <v>12.873333333333335</v>
      </c>
      <c r="CV36" s="2" cm="1">
        <f t="array" aca="1" ref="CV36" ca="1">MIN(_xlfn._xlws.FILTER($CN36:$CT36,$CN36:$CT36&gt;BP36))</f>
        <v>16.236666666666668</v>
      </c>
      <c r="CW36" s="16">
        <f t="shared" ca="1" si="63"/>
        <v>0.2612635939927499</v>
      </c>
      <c r="CX36" s="20">
        <f t="shared" ca="1" si="64"/>
        <v>-0.13063179699637495</v>
      </c>
      <c r="CY36" s="20">
        <f t="shared" ca="1" si="65"/>
        <v>-8.7087864664249962E-2</v>
      </c>
      <c r="CZ36" s="20">
        <f t="shared" ca="1" si="66"/>
        <v>-5.225271879854998E-2</v>
      </c>
      <c r="DA36" s="20">
        <f t="shared" ca="1" si="67"/>
        <v>-2.9029288221416656E-2</v>
      </c>
      <c r="DB36" s="20">
        <f t="shared" ca="1" si="68"/>
        <v>-1.5368446705455877E-2</v>
      </c>
      <c r="DC36" s="20">
        <f t="shared" ca="1" si="69"/>
        <v>-7.9170786058409062E-3</v>
      </c>
      <c r="DD36" s="20">
        <f t="shared" ca="1" si="70"/>
        <v>-4.019439907580768E-3</v>
      </c>
      <c r="DE36" s="21">
        <f t="shared" ca="1" si="71"/>
        <v>4.019439907580768E-3</v>
      </c>
      <c r="DF36" s="21">
        <f t="shared" ca="1" si="72"/>
        <v>7.9170786058409062E-3</v>
      </c>
      <c r="DG36" s="21">
        <f t="shared" ca="1" si="73"/>
        <v>1.5368446705455877E-2</v>
      </c>
      <c r="DH36" s="21">
        <f t="shared" ca="1" si="74"/>
        <v>2.9029288221416656E-2</v>
      </c>
      <c r="DI36" s="21">
        <f t="shared" ca="1" si="75"/>
        <v>5.225271879854998E-2</v>
      </c>
      <c r="DJ36" s="21">
        <f t="shared" ca="1" si="76"/>
        <v>8.7087864664249962E-2</v>
      </c>
      <c r="DK36" s="21">
        <f t="shared" ca="1" si="77"/>
        <v>0.13063179699637495</v>
      </c>
      <c r="DM36" s="16" cm="1">
        <f t="array" aca="1" ref="DM36" ca="1">MAX(_xlfn._xlws.FILTER(CX36:DK36,CX36:DK36&lt;BV36))</f>
        <v>-1.5368446705455877E-2</v>
      </c>
      <c r="DN36" s="16" cm="1">
        <f t="array" aca="1" ref="DN36" ca="1">MIN(_xlfn._xlws.FILTER(CX36:DK36,CX36:DK36&gt;BV36))</f>
        <v>-7.9170786058409062E-3</v>
      </c>
      <c r="DO36" s="2" cm="1">
        <f t="array" aca="1" ref="DO36" ca="1">_FV(ED36,"Fechamento anterior",TRUE)</f>
        <v>14.71</v>
      </c>
      <c r="DP36" s="28">
        <f t="shared" ca="1" si="15"/>
        <v>0.14660985360173553</v>
      </c>
      <c r="DQ36" s="15">
        <f t="shared" ca="1" si="78"/>
        <v>14.483930148962745</v>
      </c>
      <c r="DR36" s="15">
        <f t="shared" ca="1" si="79"/>
        <v>14.593539773708081</v>
      </c>
      <c r="DS36" s="9"/>
      <c r="DT36" s="9"/>
      <c r="DU36" s="9"/>
      <c r="DV36" s="89">
        <v>1.3660841515960779E-2</v>
      </c>
      <c r="DW36" s="89">
        <f t="shared" ca="1" si="18"/>
        <v>7.4513680996149707E-3</v>
      </c>
      <c r="DX36" s="72">
        <f t="shared" ca="1" si="19"/>
        <v>-0.42176450722986392</v>
      </c>
      <c r="DY36" s="37"/>
      <c r="DZ36" s="35">
        <f t="shared" si="39"/>
        <v>0.23709913538433661</v>
      </c>
      <c r="EA36" s="56"/>
      <c r="EB36" s="56"/>
      <c r="ED36" s="2" t="e" vm="36">
        <v>#VALUE!</v>
      </c>
      <c r="EF36" s="10" cm="1">
        <f t="array" aca="1" ref="EF36" ca="1">_FV(ED36,"Ações em circulação",TRUE)</f>
        <v>2013814000</v>
      </c>
      <c r="EG36" s="18">
        <f>VLOOKUP(BQ36,Fundamentus!A:U,5,FALSE)</f>
        <v>0.45500000000000002</v>
      </c>
      <c r="EH36" s="2">
        <f t="shared" ca="1" si="20"/>
        <v>64176490109.890106</v>
      </c>
      <c r="EI36" s="17">
        <v>3185543930.4615383</v>
      </c>
      <c r="EJ36" s="17">
        <f t="shared" ca="1" si="21"/>
        <v>3112559770.3296704</v>
      </c>
      <c r="EL36" s="16">
        <f t="shared" ca="1" si="22"/>
        <v>-2.2911051212937905E-2</v>
      </c>
      <c r="EM36" s="32" t="str">
        <f>IF(VLOOKUP(BQ36,Fundamentus!A:U,3,FALSE)&lt;15,"Bom",IF(VLOOKUP(BQ36,Fundamentus!A:U,3,FALSE)&gt;15,"Ruim","n/a"))</f>
        <v>Bom</v>
      </c>
      <c r="EN36" s="28" t="str">
        <f>IF(VLOOKUP(BQ36,Fundamentus!A:U,4,FALSE)&lt;1,"Baixo",IF(VLOOKUP(BQ36,Fundamentus!A:U,4,FALSE)&lt;1.5,"Moderado",IF(VLOOKUP(BQ36,Fundamentus!A:U,4,FALSE)&gt;1.5,"Alto","n/a")))</f>
        <v>Baixo</v>
      </c>
      <c r="EO36" s="17" t="str">
        <f>IF(VLOOKUP(BQ36,Fundamentus!A:U,8,FALSE)&lt;0,"Risco elevado",IF(VLOOKUP(BQ36,Fundamentus!A:U,8,FALSE)&lt;1,"Saudável",IF(VLOOKUP(BQ36,Fundamentus!A:U,8,FALSE)&lt;3,"Estável",IF(VLOOKUP(BQ36,Fundamentus!A:U,8,FALSE)&gt;3,"Alerta","n/a"))))</f>
        <v>Estável</v>
      </c>
      <c r="EP36" s="28" t="str">
        <f t="shared" si="23"/>
        <v>Ruim</v>
      </c>
      <c r="EQ36" s="17" t="str">
        <f>IF(VLOOKUP(BQ36,Fundamentus!A:U,12,FALSE)&lt;2,"Subvalorizada",IF(VLOOKUP(BQ36,Fundamentus!A:U,12,FALSE)&lt;6,"Muita barata",IF(VLOOKUP(BQ36,Fundamentus!A:U,12,FALSE)&lt;6,"Barata",IF(VLOOKUP(BQ36,Fundamentus!A:U,12,FALSE)&lt;8,"Atrativa",IF(VLOOKUP(BQ36,Fundamentus!A:U,12,FALSE)&gt;8,"Supervalorizada","n/a")))))</f>
        <v>Muita barata</v>
      </c>
      <c r="ES36" s="17" t="str">
        <f>IF(VLOOKUP(BQ36,Fundamentus!A:U,17,FALSE)&lt;0.1,"Fraco retorno",IF(VLOOKUP(BQ36,Fundamentus!A:U,17,FALSE)&gt;0.1,"Bom retorno","n/a"))</f>
        <v>Fraco retorno</v>
      </c>
      <c r="ET36" s="17" t="str">
        <f>IF(VLOOKUP(BQ36,Fundamentus!A:U,16,FALSE)&lt;0.1,"Ineficiente",IF(VLOOKUP(BQ36,Fundamentus!A:U,16,FALSE)&gt;0.1,"Eficiente","n/a"))</f>
        <v>Ineficiente</v>
      </c>
      <c r="EU36" s="33" t="str">
        <f>IF(VLOOKUP(BQ36,Fundamentus!A:U,16,FALSE)&lt;0.1,"Oper. Ineficiente",IF(VLOOKUP(BQ36,Fundamentus!A:U,16,FALSE)&gt;0.1,"Oper.Eficiente","n/a"))</f>
        <v>Oper. Ineficiente</v>
      </c>
      <c r="EV36" s="34">
        <f>VLOOKUP(BQ36,Fundamentus!A:U,14,FALSE)</f>
        <v>4.8500000000000001E-2</v>
      </c>
      <c r="EW36" s="17" t="str">
        <f>IF(VLOOKUP(BQ36,Fundamentus!A:U,21,FALSE)&lt;0,"Negativo",IF(VLOOKUP(BQ36,Fundamentus!A:U,21,FALSE)&lt;0.05,"Fraco",IF(VLOOKUP(BQ36,Fundamentus!A:U,21,FALSE)&lt;0.1,"Bom",IF(VLOOKUP(BQ36,Fundamentus!A:U,21,FALSE)&gt;0.1,"Muito bom","n/a"))))</f>
        <v>Fraco</v>
      </c>
      <c r="EY36" s="29" t="str">
        <f>IF(VLOOKUP(BQ36,Fundamentus!A:U,15,FALSE)&gt;1,"Bom",IF(VLOOKUP(BQ36,Fundamentus!A:U,15,FALSE)&lt;1,"Ruim","n/a"))</f>
        <v>Bom</v>
      </c>
      <c r="EZ36" s="17" t="str">
        <f>IF(VLOOKUP(BQ36,Fundamentus!A:U,20,FALSE)&lt;0.5,"Baixa",IF(VLOOKUP(BQ36,Fundamentus!A:U,20,FALSE)&lt;1,"Moderada",IF(VLOOKUP(BQ36,Fundamentus!A:U,20,FALSE)&lt;2,"Alerta",IF(VLOOKUP(BQ36,Fundamentus!A:U,20,FALSE)&gt;2,"Alta","n/a"))))</f>
        <v>Baixa</v>
      </c>
    </row>
    <row r="37" spans="1:156" s="5" customFormat="1" ht="11.25" hidden="1" x14ac:dyDescent="0.2">
      <c r="A37" s="4">
        <v>11.34</v>
      </c>
      <c r="B37" s="4">
        <v>11.53</v>
      </c>
      <c r="C37" s="4">
        <v>10.68</v>
      </c>
      <c r="D37" s="4">
        <v>10.25</v>
      </c>
      <c r="E37" s="4">
        <v>9.92</v>
      </c>
      <c r="F37" s="4">
        <v>9.73</v>
      </c>
      <c r="G37" s="4">
        <v>9.52</v>
      </c>
      <c r="H37" s="4">
        <v>8.91</v>
      </c>
      <c r="I37" s="4">
        <v>9</v>
      </c>
      <c r="J37" s="4">
        <v>10.14</v>
      </c>
      <c r="K37" s="4">
        <v>10.67</v>
      </c>
      <c r="L37" s="4">
        <v>10.25</v>
      </c>
      <c r="M37" s="4">
        <v>9.17</v>
      </c>
      <c r="N37" s="4">
        <v>9.57</v>
      </c>
      <c r="O37" s="4">
        <v>9.77</v>
      </c>
      <c r="P37" s="4">
        <v>9.25</v>
      </c>
      <c r="Q37" s="4">
        <v>9.3000000000000007</v>
      </c>
      <c r="R37" s="4">
        <v>8.9700000000000006</v>
      </c>
      <c r="S37" s="4">
        <v>9.27</v>
      </c>
      <c r="T37" s="4">
        <v>9.11</v>
      </c>
      <c r="U37" s="4">
        <v>8.6</v>
      </c>
      <c r="V37" s="4">
        <v>9.2799999999999994</v>
      </c>
      <c r="W37" s="4">
        <v>8.35</v>
      </c>
      <c r="X37" s="4">
        <v>7.35</v>
      </c>
      <c r="Y37" s="4">
        <v>6.92</v>
      </c>
      <c r="Z37" s="4">
        <v>7.01</v>
      </c>
      <c r="AA37" s="4">
        <v>7.54</v>
      </c>
      <c r="AB37" s="4">
        <v>6.95</v>
      </c>
      <c r="AC37" s="4">
        <v>6.61</v>
      </c>
      <c r="AD37" s="4">
        <v>6.64</v>
      </c>
      <c r="AE37" s="4">
        <v>6.4</v>
      </c>
      <c r="AF37" s="4">
        <v>5.94</v>
      </c>
      <c r="AG37" s="4">
        <v>5.86</v>
      </c>
      <c r="AH37" s="4">
        <v>5.69</v>
      </c>
      <c r="AI37" s="4">
        <v>5.37</v>
      </c>
      <c r="AJ37" s="4">
        <v>5.31</v>
      </c>
      <c r="AK37" s="4">
        <v>5.49</v>
      </c>
      <c r="AL37" s="4">
        <v>5.65</v>
      </c>
      <c r="AM37" s="4">
        <v>5.8</v>
      </c>
      <c r="AN37" s="4">
        <v>6.19</v>
      </c>
      <c r="AO37" s="4">
        <v>6.21</v>
      </c>
      <c r="AP37" s="4">
        <v>7.39</v>
      </c>
      <c r="AQ37" s="4">
        <v>7.2</v>
      </c>
      <c r="AR37" s="4">
        <v>7.25</v>
      </c>
      <c r="AS37" s="4">
        <v>7.39</v>
      </c>
      <c r="AT37" s="4">
        <v>7.45</v>
      </c>
      <c r="AU37" s="4">
        <v>7.4450000000000003</v>
      </c>
      <c r="AV37" s="4">
        <v>7.36</v>
      </c>
      <c r="AW37" s="4">
        <v>8.23</v>
      </c>
      <c r="AX37" s="4">
        <v>8.2899999999999991</v>
      </c>
      <c r="AY37" s="12">
        <v>8.42</v>
      </c>
      <c r="AZ37" s="12">
        <v>8.64</v>
      </c>
      <c r="BA37" s="12">
        <v>8.5500000000000007</v>
      </c>
      <c r="BB37" s="15">
        <v>8.4700000000000006</v>
      </c>
      <c r="BC37" s="52">
        <v>8.48</v>
      </c>
      <c r="BD37" s="52">
        <v>8.4499999999999993</v>
      </c>
      <c r="BE37" s="52">
        <v>8.48</v>
      </c>
      <c r="BF37" s="52">
        <v>8.48</v>
      </c>
      <c r="BG37" s="67">
        <v>8.48</v>
      </c>
      <c r="BH37" s="52">
        <v>8.48</v>
      </c>
      <c r="BI37" s="52">
        <v>8.48</v>
      </c>
      <c r="BJ37" s="52">
        <v>8.48</v>
      </c>
      <c r="BK37" s="52">
        <v>8.48</v>
      </c>
      <c r="BL37" s="52">
        <v>8.48</v>
      </c>
      <c r="BM37" s="52">
        <v>8.48</v>
      </c>
      <c r="BN37" s="52">
        <v>8.48</v>
      </c>
      <c r="BO37" s="52">
        <v>8.48</v>
      </c>
      <c r="BP37" s="52" cm="1">
        <f t="array" aca="1" ref="BP37" ca="1">_FV(ED37,"Preço")</f>
        <v>8.48</v>
      </c>
      <c r="BQ37" s="69" t="s">
        <v>34</v>
      </c>
      <c r="BR37" s="36" cm="1">
        <f t="array" aca="1" ref="BR37" ca="1">_FV(ED37,"Média de volume",TRUE)</f>
        <v>3276280</v>
      </c>
      <c r="BS37" s="36">
        <v>14418400</v>
      </c>
      <c r="BT37" s="36" cm="1">
        <f t="array" aca="1" ref="BT37" ca="1">_FV(ED37,"Volume")</f>
        <v>14418400</v>
      </c>
      <c r="BU37" s="24" cm="1">
        <f t="array" aca="1" ref="BU37" ca="1">_FV(ED37,"Beta")</f>
        <v>1.3414999999999999</v>
      </c>
      <c r="BV37" s="71" cm="1">
        <f t="array" aca="1" ref="BV37" ca="1">_FV(ED37,"Variação (%)",TRUE)</f>
        <v>0</v>
      </c>
      <c r="BX37" s="17" cm="1">
        <f t="array" aca="1" ref="BX37" ca="1">_FV(ED37,"Baixo")</f>
        <v>8.44</v>
      </c>
      <c r="BY37" s="17" cm="1">
        <f t="array" aca="1" ref="BY37" ca="1">_FV(ED37,"Alto")</f>
        <v>8.5399999999999991</v>
      </c>
      <c r="BZ37" s="24"/>
      <c r="CA37" s="63">
        <f ca="1">SQRT(22.5*(BP37/VLOOKUP(BQ37,Fundamentus!A:U,3,FALSE))*(BP37/VLOOKUP(BQ37,Fundamentus!A:U,4,FALSE)))</f>
        <v>14.694846067956021</v>
      </c>
      <c r="CC37" s="62">
        <f t="shared" ca="1" si="24"/>
        <v>0</v>
      </c>
      <c r="CD37" s="8"/>
      <c r="CE37" s="61">
        <f t="shared" si="25"/>
        <v>5.31</v>
      </c>
      <c r="CF37" s="61">
        <f t="shared" si="26"/>
        <v>11.53</v>
      </c>
      <c r="CG37" s="61">
        <f t="shared" si="27"/>
        <v>8.1761940298507483</v>
      </c>
      <c r="CH37" s="14"/>
      <c r="CI37" s="35">
        <f t="shared" si="1"/>
        <v>8.48</v>
      </c>
      <c r="CJ37" s="15">
        <f t="shared" si="28"/>
        <v>8.48</v>
      </c>
      <c r="CK37" s="35">
        <f t="shared" si="2"/>
        <v>8.48</v>
      </c>
      <c r="CM37" s="14"/>
      <c r="CN37" s="17">
        <f t="shared" si="3"/>
        <v>-0.87000000000000011</v>
      </c>
      <c r="CO37" s="17">
        <f t="shared" si="4"/>
        <v>2.2199999999999998</v>
      </c>
      <c r="CP37" s="17">
        <f t="shared" si="5"/>
        <v>5.35</v>
      </c>
      <c r="CQ37" s="38">
        <f t="shared" si="29"/>
        <v>8.44</v>
      </c>
      <c r="CR37" s="17">
        <f t="shared" si="6"/>
        <v>11.57</v>
      </c>
      <c r="CS37" s="17">
        <f t="shared" si="7"/>
        <v>14.66</v>
      </c>
      <c r="CT37" s="17">
        <f t="shared" si="8"/>
        <v>17.79</v>
      </c>
      <c r="CU37" s="2" cm="1">
        <f t="array" aca="1" ref="CU37" ca="1">MAX(_xlfn._xlws.FILTER(CN37:CT37,CN37:CT37&lt;BP37))</f>
        <v>8.44</v>
      </c>
      <c r="CV37" s="2" cm="1">
        <f t="array" aca="1" ref="CV37" ca="1">MIN(_xlfn._xlws.FILTER($CN37:$CT37,$CN37:$CT37&gt;BP37))</f>
        <v>11.57</v>
      </c>
      <c r="CW37" s="16">
        <f t="shared" ca="1" si="63"/>
        <v>0.37085308056872046</v>
      </c>
      <c r="CX37" s="20">
        <f t="shared" ca="1" si="64"/>
        <v>-0.18542654028436023</v>
      </c>
      <c r="CY37" s="20">
        <f t="shared" ca="1" si="65"/>
        <v>-0.12361769352290682</v>
      </c>
      <c r="CZ37" s="20">
        <f t="shared" ca="1" si="66"/>
        <v>-7.4170616113744092E-2</v>
      </c>
      <c r="DA37" s="20">
        <f t="shared" ca="1" si="67"/>
        <v>-4.1205897840968939E-2</v>
      </c>
      <c r="DB37" s="20">
        <f t="shared" ca="1" si="68"/>
        <v>-2.1814887092277673E-2</v>
      </c>
      <c r="DC37" s="20">
        <f t="shared" ca="1" si="69"/>
        <v>-1.1237972138446075E-2</v>
      </c>
      <c r="DD37" s="20">
        <f t="shared" ca="1" si="70"/>
        <v>-5.7054320087495452E-3</v>
      </c>
      <c r="DE37" s="21">
        <f t="shared" ca="1" si="71"/>
        <v>5.7054320087495452E-3</v>
      </c>
      <c r="DF37" s="21">
        <f t="shared" ca="1" si="72"/>
        <v>1.1237972138446075E-2</v>
      </c>
      <c r="DG37" s="21">
        <f t="shared" ca="1" si="73"/>
        <v>2.1814887092277673E-2</v>
      </c>
      <c r="DH37" s="21">
        <f t="shared" ca="1" si="74"/>
        <v>4.1205897840968939E-2</v>
      </c>
      <c r="DI37" s="21">
        <f t="shared" ca="1" si="75"/>
        <v>7.4170616113744092E-2</v>
      </c>
      <c r="DJ37" s="21">
        <f t="shared" ca="1" si="76"/>
        <v>0.12361769352290682</v>
      </c>
      <c r="DK37" s="21">
        <f t="shared" ca="1" si="77"/>
        <v>0.18542654028436023</v>
      </c>
      <c r="DM37" s="16" cm="1">
        <f t="array" aca="1" ref="DM37" ca="1">MAX(_xlfn._xlws.FILTER(CX37:DK37,CX37:DK37&lt;BV37))</f>
        <v>-5.7054320087495452E-3</v>
      </c>
      <c r="DN37" s="16" cm="1">
        <f t="array" aca="1" ref="DN37" ca="1">MIN(_xlfn._xlws.FILTER(CX37:DK37,CX37:DK37&gt;BV37))</f>
        <v>5.7054320087495452E-3</v>
      </c>
      <c r="DO37" s="2" cm="1">
        <f t="array" aca="1" ref="DO37" ca="1">_FV(ED37,"Fechamento anterior",TRUE)</f>
        <v>8.4499999999999993</v>
      </c>
      <c r="DP37" s="28">
        <f t="shared" ca="1" si="15"/>
        <v>0.81113295650038564</v>
      </c>
      <c r="DQ37" s="15">
        <f t="shared" ca="1" si="78"/>
        <v>8.4017890995260665</v>
      </c>
      <c r="DR37" s="15">
        <f t="shared" ca="1" si="79"/>
        <v>8.4982109004739321</v>
      </c>
      <c r="DS37" s="9"/>
      <c r="DT37" s="9"/>
      <c r="DU37" s="9"/>
      <c r="DV37" s="89">
        <v>1.141086401749909E-2</v>
      </c>
      <c r="DW37" s="89">
        <f t="shared" ca="1" si="18"/>
        <v>1.141086401749909E-2</v>
      </c>
      <c r="DX37" s="72" t="e">
        <f t="shared" ca="1" si="19"/>
        <v>#DIV/0!</v>
      </c>
      <c r="DY37" s="37"/>
      <c r="DZ37" s="35">
        <f t="shared" si="39"/>
        <v>0</v>
      </c>
      <c r="EA37" s="56"/>
      <c r="EB37" s="56"/>
      <c r="ED37" s="5" t="e" vm="37">
        <v>#VALUE!</v>
      </c>
      <c r="EF37" s="10" cm="1">
        <f t="array" aca="1" ref="EF37" ca="1">_FV(ED37,"Ações em circulação",TRUE)</f>
        <v>2109057000</v>
      </c>
      <c r="EG37" s="18">
        <f>VLOOKUP(BQ37,Fundamentus!A:U,5,FALSE)</f>
        <v>0.15</v>
      </c>
      <c r="EH37" s="2">
        <f t="shared" ca="1" si="20"/>
        <v>119232022400</v>
      </c>
      <c r="EI37" s="17">
        <v>2217715616.6399999</v>
      </c>
      <c r="EJ37" s="17">
        <f t="shared" ca="1" si="21"/>
        <v>2217715616.6399999</v>
      </c>
      <c r="EK37" s="2"/>
      <c r="EL37" s="16">
        <f t="shared" ca="1" si="22"/>
        <v>0</v>
      </c>
      <c r="EM37" s="32" t="str">
        <f>IF(VLOOKUP(BQ37,Fundamentus!A:U,3,FALSE)&lt;15,"Bom",IF(VLOOKUP(BQ37,Fundamentus!A:U,3,FALSE)&gt;15,"Ruim","n/a"))</f>
        <v>Bom</v>
      </c>
      <c r="EN37" s="28" t="str">
        <f>IF(VLOOKUP(BQ37,Fundamentus!A:U,4,FALSE)&lt;1,"Baixo",IF(VLOOKUP(BQ37,Fundamentus!A:U,4,FALSE)&lt;1.5,"Moderado",IF(VLOOKUP(BQ37,Fundamentus!A:U,4,FALSE)&gt;1.5,"Alto","n/a")))</f>
        <v>Baixo</v>
      </c>
      <c r="EO37" s="17" t="str">
        <f>IF(VLOOKUP(BQ37,Fundamentus!A:U,8,FALSE)&lt;0,"Risco elevado",IF(VLOOKUP(BQ37,Fundamentus!A:U,8,FALSE)&lt;1,"Saudável",IF(VLOOKUP(BQ37,Fundamentus!A:U,8,FALSE)&lt;3,"Estável",IF(VLOOKUP(BQ37,Fundamentus!A:U,8,FALSE)&gt;3,"Alerta","n/a"))))</f>
        <v>Risco elevado</v>
      </c>
      <c r="EP37" s="28" t="str">
        <f t="shared" si="23"/>
        <v>Ruim</v>
      </c>
      <c r="EQ37" s="17" t="str">
        <f>IF(VLOOKUP(BQ37,Fundamentus!A:U,12,FALSE)&lt;2,"Subvalorizada",IF(VLOOKUP(BQ37,Fundamentus!A:U,12,FALSE)&lt;6,"Muita barata",IF(VLOOKUP(BQ37,Fundamentus!A:U,12,FALSE)&lt;6,"Barata",IF(VLOOKUP(BQ37,Fundamentus!A:U,12,FALSE)&lt;8,"Atrativa",IF(VLOOKUP(BQ37,Fundamentus!A:U,12,FALSE)&gt;8,"Supervalorizada","n/a")))))</f>
        <v>Muita barata</v>
      </c>
      <c r="ER37" s="2"/>
      <c r="ES37" s="17" t="str">
        <f>IF(VLOOKUP(BQ37,Fundamentus!A:U,17,FALSE)&lt;0.1,"Fraco retorno",IF(VLOOKUP(BQ37,Fundamentus!A:U,17,FALSE)&gt;0.1,"Bom retorno","n/a"))</f>
        <v>Fraco retorno</v>
      </c>
      <c r="ET37" s="17" t="str">
        <f>IF(VLOOKUP(BQ37,Fundamentus!A:U,16,FALSE)&lt;0.1,"Ineficiente",IF(VLOOKUP(BQ37,Fundamentus!A:U,16,FALSE)&gt;0.1,"Eficiente","n/a"))</f>
        <v>Ineficiente</v>
      </c>
      <c r="EU37" s="33" t="str">
        <f>IF(VLOOKUP(BQ37,Fundamentus!A:U,16,FALSE)&lt;0.1,"Oper. Ineficiente",IF(VLOOKUP(BQ37,Fundamentus!A:U,16,FALSE)&gt;0.1,"Oper.Eficiente","n/a"))</f>
        <v>Oper. Ineficiente</v>
      </c>
      <c r="EV37" s="34">
        <f>VLOOKUP(BQ37,Fundamentus!A:U,14,FALSE)</f>
        <v>1.8599999999999998E-2</v>
      </c>
      <c r="EW37" s="17" t="str">
        <f>IF(VLOOKUP(BQ37,Fundamentus!A:U,21,FALSE)&lt;0,"Negativo",IF(VLOOKUP(BQ37,Fundamentus!A:U,21,FALSE)&lt;0.05,"Fraco",IF(VLOOKUP(BQ37,Fundamentus!A:U,21,FALSE)&lt;0.1,"Bom",IF(VLOOKUP(BQ37,Fundamentus!A:U,21,FALSE)&gt;0.1,"Muito bom","n/a"))))</f>
        <v>Muito bom</v>
      </c>
      <c r="EY37" s="29" t="str">
        <f>IF(VLOOKUP(BQ37,Fundamentus!A:U,15,FALSE)&gt;1,"Bom",IF(VLOOKUP(BQ37,Fundamentus!A:U,15,FALSE)&lt;1,"Ruim","n/a"))</f>
        <v>Ruim</v>
      </c>
      <c r="EZ37" s="17" t="str">
        <f>IF(VLOOKUP(BQ37,Fundamentus!A:U,20,FALSE)&lt;0.5,"Baixa",IF(VLOOKUP(BQ37,Fundamentus!A:U,20,FALSE)&lt;1,"Moderada",IF(VLOOKUP(BQ37,Fundamentus!A:U,20,FALSE)&lt;2,"Alerta",IF(VLOOKUP(BQ37,Fundamentus!A:U,20,FALSE)&gt;2,"Alta","n/a"))))</f>
        <v>Alerta</v>
      </c>
    </row>
    <row r="38" spans="1:156" s="2" customFormat="1" ht="11.25" hidden="1" x14ac:dyDescent="0.2">
      <c r="A38" s="4">
        <v>5.07</v>
      </c>
      <c r="B38" s="4">
        <v>5.12</v>
      </c>
      <c r="C38" s="4">
        <v>5.5</v>
      </c>
      <c r="D38" s="4">
        <v>5.33</v>
      </c>
      <c r="E38" s="4">
        <v>5.15</v>
      </c>
      <c r="F38" s="4">
        <v>5.14</v>
      </c>
      <c r="G38" s="4">
        <v>5.01</v>
      </c>
      <c r="H38" s="4">
        <v>5.0199999999999996</v>
      </c>
      <c r="I38" s="4">
        <v>5.23</v>
      </c>
      <c r="J38" s="4">
        <v>5.16</v>
      </c>
      <c r="K38" s="4">
        <v>5.09</v>
      </c>
      <c r="L38" s="4">
        <v>5</v>
      </c>
      <c r="M38" s="4">
        <v>5.03</v>
      </c>
      <c r="N38" s="4">
        <v>5.26</v>
      </c>
      <c r="O38" s="4">
        <v>5.3</v>
      </c>
      <c r="P38" s="4">
        <v>5.41</v>
      </c>
      <c r="Q38" s="4">
        <v>5.55</v>
      </c>
      <c r="R38" s="4">
        <v>5.4</v>
      </c>
      <c r="S38" s="4">
        <v>5.75</v>
      </c>
      <c r="T38" s="4">
        <v>6.08</v>
      </c>
      <c r="U38" s="4">
        <v>5.98</v>
      </c>
      <c r="V38" s="4">
        <v>5.68</v>
      </c>
      <c r="W38" s="4">
        <v>5.33</v>
      </c>
      <c r="X38" s="4">
        <v>5.24</v>
      </c>
      <c r="Y38" s="4">
        <v>5.26</v>
      </c>
      <c r="Z38" s="4">
        <v>5.19</v>
      </c>
      <c r="AA38" s="4">
        <v>5.01</v>
      </c>
      <c r="AB38" s="4">
        <v>4.97</v>
      </c>
      <c r="AC38" s="4">
        <v>5.0199999999999996</v>
      </c>
      <c r="AD38" s="4">
        <v>5.07</v>
      </c>
      <c r="AE38" s="4">
        <v>5.88</v>
      </c>
      <c r="AF38" s="4">
        <v>6.03</v>
      </c>
      <c r="AG38" s="4">
        <v>5.58</v>
      </c>
      <c r="AH38" s="4">
        <v>5.46</v>
      </c>
      <c r="AI38" s="4">
        <v>5.5</v>
      </c>
      <c r="AJ38" s="4">
        <v>5.3</v>
      </c>
      <c r="AK38" s="4">
        <v>5.16</v>
      </c>
      <c r="AL38" s="4">
        <v>5.0999999999999996</v>
      </c>
      <c r="AM38" s="4">
        <v>5.0599999999999996</v>
      </c>
      <c r="AN38" s="4">
        <v>5.15</v>
      </c>
      <c r="AO38" s="4">
        <v>5.4</v>
      </c>
      <c r="AP38" s="4">
        <v>5.6</v>
      </c>
      <c r="AQ38" s="4">
        <v>5.69</v>
      </c>
      <c r="AR38" s="4">
        <v>5.7</v>
      </c>
      <c r="AS38" s="4">
        <v>5.86</v>
      </c>
      <c r="AT38" s="4">
        <v>5.82</v>
      </c>
      <c r="AU38" s="4">
        <v>6.0350000000000001</v>
      </c>
      <c r="AV38" s="4">
        <v>5.6</v>
      </c>
      <c r="AW38" s="4">
        <v>5.73</v>
      </c>
      <c r="AX38" s="4">
        <v>5.44</v>
      </c>
      <c r="AY38" s="12">
        <v>5.67</v>
      </c>
      <c r="AZ38" s="12">
        <v>5.96</v>
      </c>
      <c r="BA38" s="12">
        <v>6.15</v>
      </c>
      <c r="BB38" s="15">
        <v>6.3</v>
      </c>
      <c r="BC38" s="52">
        <v>6.08</v>
      </c>
      <c r="BD38" s="52">
        <v>6.35</v>
      </c>
      <c r="BE38" s="52">
        <v>6.55</v>
      </c>
      <c r="BF38" s="52">
        <v>6.69</v>
      </c>
      <c r="BG38" s="67">
        <v>7.19</v>
      </c>
      <c r="BH38" s="52" t="s">
        <v>503</v>
      </c>
      <c r="BI38" s="52">
        <v>7.7</v>
      </c>
      <c r="BJ38" s="52">
        <v>7.97</v>
      </c>
      <c r="BK38" s="52">
        <v>7.89</v>
      </c>
      <c r="BL38" s="52">
        <v>7.83</v>
      </c>
      <c r="BM38" s="52">
        <v>7.62</v>
      </c>
      <c r="BN38" s="52">
        <v>7.54</v>
      </c>
      <c r="BO38" s="52">
        <v>7.59</v>
      </c>
      <c r="BP38" s="52" cm="1">
        <f t="array" aca="1" ref="BP38" ca="1">_FV(ED38,"Preço")</f>
        <v>7.88</v>
      </c>
      <c r="BQ38" s="69" t="s">
        <v>35</v>
      </c>
      <c r="BR38" s="36" cm="1">
        <f t="array" aca="1" ref="BR38" ca="1">_FV(ED38,"Média de volume",TRUE)</f>
        <v>1307550</v>
      </c>
      <c r="BS38" s="36">
        <v>325900</v>
      </c>
      <c r="BT38" s="36" cm="1">
        <f t="array" aca="1" ref="BT38" ca="1">_FV(ED38,"Volume")</f>
        <v>113200</v>
      </c>
      <c r="BU38" s="24" cm="1">
        <f t="array" aca="1" ref="BU38" ca="1">_FV(ED38,"Beta")</f>
        <v>0.6089</v>
      </c>
      <c r="BV38" s="71" cm="1">
        <f t="array" aca="1" ref="BV38" ca="1">_FV(ED38,"Variação (%)",TRUE)</f>
        <v>-1.3767E-2</v>
      </c>
      <c r="BX38" s="17" cm="1">
        <f t="array" aca="1" ref="BX38" ca="1">_FV(ED38,"Baixo")</f>
        <v>7.84</v>
      </c>
      <c r="BY38" s="17" cm="1">
        <f t="array" aca="1" ref="BY38" ca="1">_FV(ED38,"Alto")</f>
        <v>7.96</v>
      </c>
      <c r="BZ38" s="24"/>
      <c r="CA38" s="63">
        <f ca="1">SQRT(22.5*(BP38/VLOOKUP(BQ38,Fundamentus!A:U,3,FALSE))*(BP38/VLOOKUP(BQ38,Fundamentus!A:U,4,FALSE)))</f>
        <v>17.144845245541966</v>
      </c>
      <c r="CC38" s="62">
        <f t="shared" ca="1" si="24"/>
        <v>3.8208168642951255E-2</v>
      </c>
      <c r="CD38" s="8"/>
      <c r="CE38" s="61">
        <f t="shared" si="25"/>
        <v>4.97</v>
      </c>
      <c r="CF38" s="61">
        <f t="shared" si="26"/>
        <v>7.97</v>
      </c>
      <c r="CG38" s="61">
        <f t="shared" si="27"/>
        <v>5.7655303030303031</v>
      </c>
      <c r="CH38" s="14"/>
      <c r="CI38" s="35">
        <f t="shared" si="1"/>
        <v>7.1665471314566229</v>
      </c>
      <c r="CJ38" s="15">
        <f t="shared" si="28"/>
        <v>7.4449999999999363</v>
      </c>
      <c r="CK38" s="35">
        <f t="shared" si="2"/>
        <v>7.7234528685432497</v>
      </c>
      <c r="CM38" s="14"/>
      <c r="CN38" s="17">
        <f t="shared" si="3"/>
        <v>2.7166666666666677</v>
      </c>
      <c r="CO38" s="17">
        <f t="shared" si="4"/>
        <v>3.8433333333333337</v>
      </c>
      <c r="CP38" s="17">
        <f t="shared" si="5"/>
        <v>5.7166666666666677</v>
      </c>
      <c r="CQ38" s="38">
        <f t="shared" si="29"/>
        <v>6.8433333333333337</v>
      </c>
      <c r="CR38" s="17">
        <f t="shared" si="6"/>
        <v>8.7166666666666686</v>
      </c>
      <c r="CS38" s="17">
        <f t="shared" si="7"/>
        <v>9.8433333333333337</v>
      </c>
      <c r="CT38" s="17">
        <f t="shared" si="8"/>
        <v>11.716666666666669</v>
      </c>
      <c r="CU38" s="2" cm="1">
        <f t="array" aca="1" ref="CU38" ca="1">MAX(_xlfn._xlws.FILTER(CN38:CT38,CN38:CT38&lt;BP38))</f>
        <v>6.8433333333333337</v>
      </c>
      <c r="CV38" s="2" cm="1">
        <f t="array" aca="1" ref="CV38" ca="1">MIN(_xlfn._xlws.FILTER($CN38:$CT38,$CN38:$CT38&gt;BP38))</f>
        <v>8.7166666666666686</v>
      </c>
      <c r="CW38" s="16">
        <f t="shared" ca="1" si="63"/>
        <v>0.27374573794447166</v>
      </c>
      <c r="CX38" s="20">
        <f t="shared" ca="1" si="64"/>
        <v>-0.13687286897223583</v>
      </c>
      <c r="CY38" s="20">
        <f t="shared" ca="1" si="65"/>
        <v>-9.1248579314823886E-2</v>
      </c>
      <c r="CZ38" s="20">
        <f t="shared" ca="1" si="66"/>
        <v>-5.4749147588894334E-2</v>
      </c>
      <c r="DA38" s="20">
        <f t="shared" ca="1" si="67"/>
        <v>-3.0416193104941296E-2</v>
      </c>
      <c r="DB38" s="20">
        <f t="shared" ca="1" si="68"/>
        <v>-1.6102690467321861E-2</v>
      </c>
      <c r="DC38" s="20">
        <f t="shared" ca="1" si="69"/>
        <v>-8.2953253922567177E-3</v>
      </c>
      <c r="DD38" s="20">
        <f t="shared" ca="1" si="70"/>
        <v>-4.2114728914534102E-3</v>
      </c>
      <c r="DE38" s="21">
        <f t="shared" ca="1" si="71"/>
        <v>4.2114728914534102E-3</v>
      </c>
      <c r="DF38" s="21">
        <f t="shared" ca="1" si="72"/>
        <v>8.2953253922567177E-3</v>
      </c>
      <c r="DG38" s="21">
        <f t="shared" ca="1" si="73"/>
        <v>1.6102690467321861E-2</v>
      </c>
      <c r="DH38" s="21">
        <f t="shared" ca="1" si="74"/>
        <v>3.0416193104941296E-2</v>
      </c>
      <c r="DI38" s="21">
        <f t="shared" ca="1" si="75"/>
        <v>5.4749147588894334E-2</v>
      </c>
      <c r="DJ38" s="21">
        <f t="shared" ca="1" si="76"/>
        <v>9.1248579314823886E-2</v>
      </c>
      <c r="DK38" s="21">
        <f t="shared" ca="1" si="77"/>
        <v>0.13687286897223583</v>
      </c>
      <c r="DM38" s="16" cm="1">
        <f t="array" aca="1" ref="DM38" ca="1">MAX(_xlfn._xlws.FILTER(CX38:DK38,CX38:DK38&lt;BV38))</f>
        <v>-1.6102690467321861E-2</v>
      </c>
      <c r="DN38" s="16" cm="1">
        <f t="array" aca="1" ref="DN38" ca="1">MIN(_xlfn._xlws.FILTER(CX38:DK38,CX38:DK38&gt;BV38))</f>
        <v>-8.2953253922567177E-3</v>
      </c>
      <c r="DO38" s="2" cm="1">
        <f t="array" aca="1" ref="DO38" ca="1">_FV(ED38,"Fechamento anterior",TRUE)</f>
        <v>7.99</v>
      </c>
      <c r="DP38" s="28">
        <f t="shared" ca="1" si="15"/>
        <v>0.29913824108427306</v>
      </c>
      <c r="DQ38" s="15">
        <f t="shared" ca="1" si="78"/>
        <v>7.8613395031660982</v>
      </c>
      <c r="DR38" s="15">
        <f t="shared" ca="1" si="79"/>
        <v>7.9237203501158691</v>
      </c>
      <c r="DS38" s="9"/>
      <c r="DT38" s="9"/>
      <c r="DU38" s="9"/>
      <c r="DV38" s="89">
        <v>4.0838525008033075E-3</v>
      </c>
      <c r="DW38" s="89">
        <f t="shared" ca="1" si="18"/>
        <v>7.8073650750651435E-3</v>
      </c>
      <c r="DX38" s="72">
        <f t="shared" ca="1" si="19"/>
        <v>1.5622033354359184</v>
      </c>
      <c r="DY38" s="37"/>
      <c r="DZ38" s="35">
        <f t="shared" si="39"/>
        <v>0.13922643427165682</v>
      </c>
      <c r="EA38" s="56"/>
      <c r="EB38" s="56"/>
      <c r="ED38" s="2" t="e" vm="38">
        <v>#VALUE!</v>
      </c>
      <c r="EF38" s="10" cm="1">
        <f t="array" aca="1" ref="EF38" ca="1">_FV(ED38,"Ações em circulação",TRUE)</f>
        <v>1511206000</v>
      </c>
      <c r="EG38" s="18">
        <f>VLOOKUP(BQ38,Fundamentus!A:U,5,FALSE)</f>
        <v>1.671</v>
      </c>
      <c r="EH38" s="2">
        <f t="shared" ca="1" si="20"/>
        <v>7126453189.7067623</v>
      </c>
      <c r="EI38" s="17">
        <v>2342746423.2208257</v>
      </c>
      <c r="EJ38" s="17">
        <f t="shared" ca="1" si="21"/>
        <v>2432258473.6469178</v>
      </c>
      <c r="EL38" s="16">
        <f t="shared" ca="1" si="22"/>
        <v>3.8208168642951179E-2</v>
      </c>
      <c r="EM38" s="32" t="str">
        <f>IF(VLOOKUP(BQ38,Fundamentus!A:U,3,FALSE)&lt;15,"Bom",IF(VLOOKUP(BQ38,Fundamentus!A:U,3,FALSE)&gt;15,"Ruim","n/a"))</f>
        <v>Bom</v>
      </c>
      <c r="EN38" s="28" t="str">
        <f>IF(VLOOKUP(BQ38,Fundamentus!A:U,4,FALSE)&lt;1,"Baixo",IF(VLOOKUP(BQ38,Fundamentus!A:U,4,FALSE)&lt;1.5,"Moderado",IF(VLOOKUP(BQ38,Fundamentus!A:U,4,FALSE)&gt;1.5,"Alto","n/a")))</f>
        <v>Baixo</v>
      </c>
      <c r="EO38" s="17" t="str">
        <f>IF(VLOOKUP(BQ38,Fundamentus!A:U,8,FALSE)&lt;0,"Risco elevado",IF(VLOOKUP(BQ38,Fundamentus!A:U,8,FALSE)&lt;1,"Saudável",IF(VLOOKUP(BQ38,Fundamentus!A:U,8,FALSE)&lt;3,"Estável",IF(VLOOKUP(BQ38,Fundamentus!A:U,8,FALSE)&gt;3,"Alerta","n/a"))))</f>
        <v>Alerta</v>
      </c>
      <c r="EP38" s="28" t="str">
        <f t="shared" si="23"/>
        <v>Bom</v>
      </c>
      <c r="EQ38" s="17" t="str">
        <f>IF(VLOOKUP(BQ38,Fundamentus!A:U,12,FALSE)&lt;2,"Subvalorizada",IF(VLOOKUP(BQ38,Fundamentus!A:U,12,FALSE)&lt;6,"Muita barata",IF(VLOOKUP(BQ38,Fundamentus!A:U,12,FALSE)&lt;6,"Barata",IF(VLOOKUP(BQ38,Fundamentus!A:U,12,FALSE)&lt;8,"Atrativa",IF(VLOOKUP(BQ38,Fundamentus!A:U,12,FALSE)&gt;8,"Supervalorizada","n/a")))))</f>
        <v>Atrativa</v>
      </c>
      <c r="ES38" s="17" t="str">
        <f>IF(VLOOKUP(BQ38,Fundamentus!A:U,17,FALSE)&lt;0.1,"Fraco retorno",IF(VLOOKUP(BQ38,Fundamentus!A:U,17,FALSE)&gt;0.1,"Bom retorno","n/a"))</f>
        <v>Bom retorno</v>
      </c>
      <c r="ET38" s="17" t="str">
        <f>IF(VLOOKUP(BQ38,Fundamentus!A:U,16,FALSE)&lt;0.1,"Ineficiente",IF(VLOOKUP(BQ38,Fundamentus!A:U,16,FALSE)&gt;0.1,"Eficiente","n/a"))</f>
        <v>Ineficiente</v>
      </c>
      <c r="EU38" s="33" t="str">
        <f>IF(VLOOKUP(BQ38,Fundamentus!A:U,16,FALSE)&lt;0.1,"Oper. Ineficiente",IF(VLOOKUP(BQ38,Fundamentus!A:U,16,FALSE)&gt;0.1,"Oper.Eficiente","n/a"))</f>
        <v>Oper. Ineficiente</v>
      </c>
      <c r="EV38" s="34">
        <f>VLOOKUP(BQ38,Fundamentus!A:U,14,FALSE)</f>
        <v>0.34129999999999999</v>
      </c>
      <c r="EW38" s="17" t="str">
        <f>IF(VLOOKUP(BQ38,Fundamentus!A:U,21,FALSE)&lt;0,"Negativo",IF(VLOOKUP(BQ38,Fundamentus!A:U,21,FALSE)&lt;0.05,"Fraco",IF(VLOOKUP(BQ38,Fundamentus!A:U,21,FALSE)&lt;0.1,"Bom",IF(VLOOKUP(BQ38,Fundamentus!A:U,21,FALSE)&gt;0.1,"Muito bom","n/a"))))</f>
        <v>Bom</v>
      </c>
      <c r="EY38" s="29" t="str">
        <f>IF(VLOOKUP(BQ38,Fundamentus!A:U,15,FALSE)&gt;1,"Bom",IF(VLOOKUP(BQ38,Fundamentus!A:U,15,FALSE)&lt;1,"Ruim","n/a"))</f>
        <v>Bom</v>
      </c>
      <c r="EZ38" s="17" t="str">
        <f>IF(VLOOKUP(BQ38,Fundamentus!A:U,20,FALSE)&lt;0.5,"Baixa",IF(VLOOKUP(BQ38,Fundamentus!A:U,20,FALSE)&lt;1,"Moderada",IF(VLOOKUP(BQ38,Fundamentus!A:U,20,FALSE)&lt;2,"Alerta",IF(VLOOKUP(BQ38,Fundamentus!A:U,20,FALSE)&gt;2,"Alta","n/a"))))</f>
        <v>Moderada</v>
      </c>
    </row>
    <row r="39" spans="1:156" s="2" customFormat="1" ht="11.25" hidden="1" x14ac:dyDescent="0.2">
      <c r="A39" s="4">
        <v>22.69</v>
      </c>
      <c r="B39" s="4">
        <v>22.15</v>
      </c>
      <c r="C39" s="4">
        <v>22.05</v>
      </c>
      <c r="D39" s="4">
        <v>22.1</v>
      </c>
      <c r="E39" s="4">
        <v>21.57</v>
      </c>
      <c r="F39" s="4">
        <v>21.04</v>
      </c>
      <c r="G39" s="4">
        <v>20.96</v>
      </c>
      <c r="H39" s="4">
        <v>20.93</v>
      </c>
      <c r="I39" s="4">
        <v>22.17</v>
      </c>
      <c r="J39" s="4">
        <v>22.48</v>
      </c>
      <c r="K39" s="4">
        <v>23.2</v>
      </c>
      <c r="L39" s="4">
        <v>22.59</v>
      </c>
      <c r="M39" s="4">
        <v>22.36</v>
      </c>
      <c r="N39" s="4">
        <v>22.75</v>
      </c>
      <c r="O39" s="4">
        <v>23.13</v>
      </c>
      <c r="P39" s="4">
        <v>22.7</v>
      </c>
      <c r="Q39" s="4">
        <v>23.55</v>
      </c>
      <c r="R39" s="4">
        <v>23.25</v>
      </c>
      <c r="S39" s="4">
        <v>23.01</v>
      </c>
      <c r="T39" s="4">
        <v>23.5</v>
      </c>
      <c r="U39" s="4">
        <v>22.65</v>
      </c>
      <c r="V39" s="4">
        <v>21.84</v>
      </c>
      <c r="W39" s="4">
        <v>21.55</v>
      </c>
      <c r="X39" s="4">
        <v>21.22</v>
      </c>
      <c r="Y39" s="4">
        <v>21.25</v>
      </c>
      <c r="Z39" s="4">
        <v>21.35</v>
      </c>
      <c r="AA39" s="4">
        <v>20.67</v>
      </c>
      <c r="AB39" s="4">
        <v>20.57</v>
      </c>
      <c r="AC39" s="4">
        <v>20.72</v>
      </c>
      <c r="AD39" s="4">
        <v>20.89</v>
      </c>
      <c r="AE39" s="4">
        <v>20.23</v>
      </c>
      <c r="AF39" s="4">
        <v>19.989999999999998</v>
      </c>
      <c r="AG39" s="4">
        <v>20.7</v>
      </c>
      <c r="AH39" s="4">
        <v>20.25</v>
      </c>
      <c r="AI39" s="4">
        <v>20.75</v>
      </c>
      <c r="AJ39" s="4">
        <v>18.989999999999998</v>
      </c>
      <c r="AK39" s="4">
        <v>19.04</v>
      </c>
      <c r="AL39" s="4">
        <v>19.55</v>
      </c>
      <c r="AM39" s="4">
        <v>19.55</v>
      </c>
      <c r="AN39" s="4">
        <v>20.170000000000002</v>
      </c>
      <c r="AO39" s="4">
        <v>20.96</v>
      </c>
      <c r="AP39" s="4">
        <v>20.23</v>
      </c>
      <c r="AQ39" s="4">
        <v>20.13</v>
      </c>
      <c r="AR39" s="4">
        <v>19.72</v>
      </c>
      <c r="AS39" s="4">
        <v>20.010000000000002</v>
      </c>
      <c r="AT39" s="4">
        <v>20.94</v>
      </c>
      <c r="AU39" s="4">
        <v>20.350000000000001</v>
      </c>
      <c r="AV39" s="4">
        <v>20.77</v>
      </c>
      <c r="AW39" s="4">
        <v>19.97</v>
      </c>
      <c r="AX39" s="4">
        <v>19.28</v>
      </c>
      <c r="AY39" s="12">
        <v>19.79</v>
      </c>
      <c r="AZ39" s="12">
        <v>21.37</v>
      </c>
      <c r="BA39" s="12">
        <v>21.7</v>
      </c>
      <c r="BB39" s="15">
        <v>21.49</v>
      </c>
      <c r="BC39" s="52">
        <v>21.68</v>
      </c>
      <c r="BD39" s="52">
        <v>21.41</v>
      </c>
      <c r="BE39" s="52">
        <v>20.95</v>
      </c>
      <c r="BF39" s="52">
        <v>21.44</v>
      </c>
      <c r="BG39" s="67">
        <v>21.06</v>
      </c>
      <c r="BH39" s="52">
        <v>21.36</v>
      </c>
      <c r="BI39" s="52">
        <v>22.2</v>
      </c>
      <c r="BJ39" s="52">
        <v>21.64</v>
      </c>
      <c r="BK39" s="52">
        <v>20.98</v>
      </c>
      <c r="BL39" s="52">
        <v>20.8</v>
      </c>
      <c r="BM39" s="52">
        <v>20.6</v>
      </c>
      <c r="BN39" s="52">
        <v>21.24</v>
      </c>
      <c r="BO39" s="52">
        <v>21.45</v>
      </c>
      <c r="BP39" s="52" cm="1">
        <f t="array" aca="1" ref="BP39" ca="1">_FV(ED39,"Preço")</f>
        <v>21.93</v>
      </c>
      <c r="BQ39" s="69" t="s">
        <v>36</v>
      </c>
      <c r="BR39" s="36" cm="1">
        <f t="array" aca="1" ref="BR39" ca="1">_FV(ED39,"Média de volume",TRUE)</f>
        <v>368160</v>
      </c>
      <c r="BS39" s="36">
        <v>245100</v>
      </c>
      <c r="BT39" s="36" cm="1">
        <f t="array" aca="1" ref="BT39" ca="1">_FV(ED39,"Volume")</f>
        <v>325400</v>
      </c>
      <c r="BU39" s="24" cm="1">
        <f t="array" aca="1" ref="BU39" ca="1">_FV(ED39,"Beta")</f>
        <v>0.90100000000000002</v>
      </c>
      <c r="BV39" s="71" cm="1">
        <f t="array" aca="1" ref="BV39" ca="1">_FV(ED39,"Variação (%)",TRUE)</f>
        <v>2.1425E-2</v>
      </c>
      <c r="BX39" s="17" cm="1">
        <f t="array" aca="1" ref="BX39" ca="1">_FV(ED39,"Baixo")</f>
        <v>21.42</v>
      </c>
      <c r="BY39" s="17" cm="1">
        <f t="array" aca="1" ref="BY39" ca="1">_FV(ED39,"Alto")</f>
        <v>21.93</v>
      </c>
      <c r="BZ39" s="24"/>
      <c r="CA39" s="63">
        <f ca="1">SQRT(22.5*(BP39/VLOOKUP(BQ39,Fundamentus!A:U,3,FALSE))*(BP39/VLOOKUP(BQ39,Fundamentus!A:U,4,FALSE)))</f>
        <v>51.22489697245372</v>
      </c>
      <c r="CC39" s="62">
        <f t="shared" ca="1" si="24"/>
        <v>2.2377622377622398E-2</v>
      </c>
      <c r="CD39" s="8"/>
      <c r="CE39" s="61">
        <f t="shared" si="25"/>
        <v>18.989999999999998</v>
      </c>
      <c r="CF39" s="61">
        <f t="shared" si="26"/>
        <v>23.55</v>
      </c>
      <c r="CG39" s="61">
        <f t="shared" si="27"/>
        <v>21.248208955223884</v>
      </c>
      <c r="CH39" s="14"/>
      <c r="CI39" s="35">
        <f t="shared" si="1"/>
        <v>21.063686549712191</v>
      </c>
      <c r="CJ39" s="15">
        <f t="shared" si="28"/>
        <v>21.670000000000073</v>
      </c>
      <c r="CK39" s="35">
        <f t="shared" si="2"/>
        <v>22.276313450287955</v>
      </c>
      <c r="CM39" s="14"/>
      <c r="CN39" s="17">
        <f t="shared" si="3"/>
        <v>14.549999999999994</v>
      </c>
      <c r="CO39" s="17">
        <f t="shared" si="4"/>
        <v>16.769999999999996</v>
      </c>
      <c r="CP39" s="17">
        <f t="shared" si="5"/>
        <v>19.109999999999996</v>
      </c>
      <c r="CQ39" s="38">
        <f t="shared" si="29"/>
        <v>21.33</v>
      </c>
      <c r="CR39" s="17">
        <f t="shared" si="6"/>
        <v>23.669999999999998</v>
      </c>
      <c r="CS39" s="17">
        <f t="shared" si="7"/>
        <v>25.89</v>
      </c>
      <c r="CT39" s="17">
        <f t="shared" si="8"/>
        <v>28.23</v>
      </c>
      <c r="CU39" s="2" cm="1">
        <f t="array" aca="1" ref="CU39" ca="1">MAX(_xlfn._xlws.FILTER(CN39:CT39,CN39:CT39&lt;BP39))</f>
        <v>21.33</v>
      </c>
      <c r="CV39" s="2" cm="1">
        <f t="array" aca="1" ref="CV39" ca="1">MIN(_xlfn._xlws.FILTER($CN39:$CT39,$CN39:$CT39&gt;BP39))</f>
        <v>23.669999999999998</v>
      </c>
      <c r="CW39" s="16">
        <f t="shared" ca="1" si="63"/>
        <v>0.10970464135021096</v>
      </c>
      <c r="CX39" s="20">
        <f t="shared" ca="1" si="64"/>
        <v>-5.4852320675105481E-2</v>
      </c>
      <c r="CY39" s="20">
        <f t="shared" ca="1" si="65"/>
        <v>-3.6568213783403657E-2</v>
      </c>
      <c r="CZ39" s="20">
        <f t="shared" ca="1" si="66"/>
        <v>-2.1940928270042192E-2</v>
      </c>
      <c r="DA39" s="20">
        <f t="shared" ca="1" si="67"/>
        <v>-1.2189404594467886E-2</v>
      </c>
      <c r="DB39" s="20">
        <f t="shared" ca="1" si="68"/>
        <v>-6.4532141970712331E-3</v>
      </c>
      <c r="DC39" s="20">
        <f t="shared" ca="1" si="69"/>
        <v>-3.3243830712185139E-3</v>
      </c>
      <c r="DD39" s="20">
        <f t="shared" ca="1" si="70"/>
        <v>-1.6877637130801686E-3</v>
      </c>
      <c r="DE39" s="21">
        <f t="shared" ca="1" si="71"/>
        <v>1.6877637130801686E-3</v>
      </c>
      <c r="DF39" s="21">
        <f t="shared" ca="1" si="72"/>
        <v>3.3243830712185139E-3</v>
      </c>
      <c r="DG39" s="21">
        <f t="shared" ca="1" si="73"/>
        <v>6.4532141970712331E-3</v>
      </c>
      <c r="DH39" s="21">
        <f t="shared" ca="1" si="74"/>
        <v>1.2189404594467886E-2</v>
      </c>
      <c r="DI39" s="21">
        <f t="shared" ca="1" si="75"/>
        <v>2.1940928270042192E-2</v>
      </c>
      <c r="DJ39" s="21">
        <f t="shared" ca="1" si="76"/>
        <v>3.6568213783403657E-2</v>
      </c>
      <c r="DK39" s="21">
        <f t="shared" ca="1" si="77"/>
        <v>5.4852320675105481E-2</v>
      </c>
      <c r="DM39" s="16" cm="1">
        <f t="array" aca="1" ref="DM39" ca="1">MAX(_xlfn._xlws.FILTER(CX39:DK39,CX39:DK39&lt;BV39))</f>
        <v>1.2189404594467886E-2</v>
      </c>
      <c r="DN39" s="16" cm="1">
        <f t="array" aca="1" ref="DN39" ca="1">MIN(_xlfn._xlws.FILTER(CX39:DK39,CX39:DK39&gt;BV39))</f>
        <v>2.1940928270042192E-2</v>
      </c>
      <c r="DO39" s="2" cm="1">
        <f t="array" aca="1" ref="DO39" ca="1">_FV(ED39,"Fechamento anterior",TRUE)</f>
        <v>21.47</v>
      </c>
      <c r="DP39" s="28">
        <f t="shared" ca="1" si="15"/>
        <v>0.94711762387589271</v>
      </c>
      <c r="DQ39" s="15">
        <f t="shared" ca="1" si="78"/>
        <v>21.731706516643225</v>
      </c>
      <c r="DR39" s="15">
        <f t="shared" ca="1" si="79"/>
        <v>21.941071729957805</v>
      </c>
      <c r="DS39" s="9"/>
      <c r="DT39" s="9"/>
      <c r="DU39" s="9"/>
      <c r="DV39" s="89">
        <v>3.1288311258527192E-3</v>
      </c>
      <c r="DW39" s="89">
        <f t="shared" ca="1" si="18"/>
        <v>9.7515236755743064E-3</v>
      </c>
      <c r="DX39" s="72">
        <f t="shared" ca="1" si="19"/>
        <v>0.42882109884990544</v>
      </c>
      <c r="DY39" s="37"/>
      <c r="DZ39" s="35">
        <f t="shared" si="39"/>
        <v>0.30315672514394171</v>
      </c>
      <c r="EA39" s="56"/>
      <c r="EB39" s="56"/>
      <c r="ED39" s="2" t="e" vm="39">
        <v>#VALUE!</v>
      </c>
      <c r="EF39" s="10" cm="1">
        <f t="array" aca="1" ref="EF39" ca="1">_FV(ED39,"Ações em circulação",TRUE)</f>
        <v>121695200</v>
      </c>
      <c r="EG39" s="18">
        <f>VLOOKUP(BQ39,Fundamentus!A:U,5,FALSE)</f>
        <v>0</v>
      </c>
      <c r="EH39" s="2" t="e">
        <f t="shared" ca="1" si="20"/>
        <v>#DIV/0!</v>
      </c>
      <c r="EI39" s="17" t="e">
        <v>#DIV/0!</v>
      </c>
      <c r="EJ39" s="17" t="e">
        <f t="shared" ca="1" si="21"/>
        <v>#DIV/0!</v>
      </c>
      <c r="EL39" s="16" t="e">
        <f t="shared" ca="1" si="22"/>
        <v>#DIV/0!</v>
      </c>
      <c r="EM39" s="32" t="str">
        <f>IF(VLOOKUP(BQ39,Fundamentus!A:U,3,FALSE)&lt;15,"Bom",IF(VLOOKUP(BQ39,Fundamentus!A:U,3,FALSE)&gt;15,"Ruim","n/a"))</f>
        <v>Bom</v>
      </c>
      <c r="EN39" s="28" t="str">
        <f>IF(VLOOKUP(BQ39,Fundamentus!A:U,4,FALSE)&lt;1,"Baixo",IF(VLOOKUP(BQ39,Fundamentus!A:U,4,FALSE)&lt;1.5,"Moderado",IF(VLOOKUP(BQ39,Fundamentus!A:U,4,FALSE)&gt;1.5,"Alto","n/a")))</f>
        <v>Baixo</v>
      </c>
      <c r="EO39" s="17" t="str">
        <f>IF(VLOOKUP(BQ39,Fundamentus!A:U,8,FALSE)&lt;0,"Risco elevado",IF(VLOOKUP(BQ39,Fundamentus!A:U,8,FALSE)&lt;1,"Saudável",IF(VLOOKUP(BQ39,Fundamentus!A:U,8,FALSE)&lt;3,"Estável",IF(VLOOKUP(BQ39,Fundamentus!A:U,8,FALSE)&gt;3,"Alerta","n/a"))))</f>
        <v>Saudável</v>
      </c>
      <c r="EP39" s="28" t="str">
        <f t="shared" si="23"/>
        <v>Ruim</v>
      </c>
      <c r="EQ39" s="17" t="str">
        <f>IF(VLOOKUP(BQ39,Fundamentus!A:U,12,FALSE)&lt;2,"Subvalorizada",IF(VLOOKUP(BQ39,Fundamentus!A:U,12,FALSE)&lt;6,"Muita barata",IF(VLOOKUP(BQ39,Fundamentus!A:U,12,FALSE)&lt;6,"Barata",IF(VLOOKUP(BQ39,Fundamentus!A:U,12,FALSE)&lt;8,"Atrativa",IF(VLOOKUP(BQ39,Fundamentus!A:U,12,FALSE)&gt;8,"Supervalorizada","n/a")))))</f>
        <v>Subvalorizada</v>
      </c>
      <c r="ES39" s="17" t="str">
        <f>IF(VLOOKUP(BQ39,Fundamentus!A:U,17,FALSE)&lt;0.1,"Fraco retorno",IF(VLOOKUP(BQ39,Fundamentus!A:U,17,FALSE)&gt;0.1,"Bom retorno","n/a"))</f>
        <v>Bom retorno</v>
      </c>
      <c r="ET39" s="17" t="str">
        <f>IF(VLOOKUP(BQ39,Fundamentus!A:U,16,FALSE)&lt;0.1,"Ineficiente",IF(VLOOKUP(BQ39,Fundamentus!A:U,16,FALSE)&gt;0.1,"Eficiente","n/a"))</f>
        <v>Ineficiente</v>
      </c>
      <c r="EU39" s="33" t="str">
        <f>IF(VLOOKUP(BQ39,Fundamentus!A:U,16,FALSE)&lt;0.1,"Oper. Ineficiente",IF(VLOOKUP(BQ39,Fundamentus!A:U,16,FALSE)&gt;0.1,"Oper.Eficiente","n/a"))</f>
        <v>Oper. Ineficiente</v>
      </c>
      <c r="EV39" s="34">
        <f>VLOOKUP(BQ39,Fundamentus!A:U,14,FALSE)</f>
        <v>0</v>
      </c>
      <c r="EW39" s="17" t="str">
        <f>IF(VLOOKUP(BQ39,Fundamentus!A:U,21,FALSE)&lt;0,"Negativo",IF(VLOOKUP(BQ39,Fundamentus!A:U,21,FALSE)&lt;0.05,"Fraco",IF(VLOOKUP(BQ39,Fundamentus!A:U,21,FALSE)&lt;0.1,"Bom",IF(VLOOKUP(BQ39,Fundamentus!A:U,21,FALSE)&gt;0.1,"Muito bom","n/a"))))</f>
        <v>Muito bom</v>
      </c>
      <c r="EY39" s="29" t="str">
        <f>IF(VLOOKUP(BQ39,Fundamentus!A:U,15,FALSE)&gt;1,"Bom",IF(VLOOKUP(BQ39,Fundamentus!A:U,15,FALSE)&lt;1,"Ruim","n/a"))</f>
        <v>Ruim</v>
      </c>
      <c r="EZ39" s="17" t="str">
        <f>IF(VLOOKUP(BQ39,Fundamentus!A:U,20,FALSE)&lt;0.5,"Baixa",IF(VLOOKUP(BQ39,Fundamentus!A:U,20,FALSE)&lt;1,"Moderada",IF(VLOOKUP(BQ39,Fundamentus!A:U,20,FALSE)&lt;2,"Alerta",IF(VLOOKUP(BQ39,Fundamentus!A:U,20,FALSE)&gt;2,"Alta","n/a"))))</f>
        <v>Baixa</v>
      </c>
    </row>
    <row r="40" spans="1:156" s="2" customFormat="1" ht="11.25" hidden="1" x14ac:dyDescent="0.2">
      <c r="A40" s="4">
        <v>12.57</v>
      </c>
      <c r="B40" s="4">
        <v>11.19</v>
      </c>
      <c r="C40" s="4">
        <v>11.57</v>
      </c>
      <c r="D40" s="4">
        <v>11.17</v>
      </c>
      <c r="E40" s="4">
        <v>10.89</v>
      </c>
      <c r="F40" s="4">
        <v>10.98</v>
      </c>
      <c r="G40" s="4">
        <v>11</v>
      </c>
      <c r="H40" s="4">
        <v>10.99</v>
      </c>
      <c r="I40" s="4">
        <v>11.35</v>
      </c>
      <c r="J40" s="4">
        <v>11.53</v>
      </c>
      <c r="K40" s="4">
        <v>11.8</v>
      </c>
      <c r="L40" s="4">
        <v>11.7</v>
      </c>
      <c r="M40" s="4">
        <v>11.46</v>
      </c>
      <c r="N40" s="4">
        <v>11.2</v>
      </c>
      <c r="O40" s="4">
        <v>11.54</v>
      </c>
      <c r="P40" s="4">
        <v>12.22</v>
      </c>
      <c r="Q40" s="4">
        <v>12.59</v>
      </c>
      <c r="R40" s="4">
        <v>12.56</v>
      </c>
      <c r="S40" s="4">
        <v>12.67</v>
      </c>
      <c r="T40" s="4">
        <v>12.33</v>
      </c>
      <c r="U40" s="4">
        <v>11.73</v>
      </c>
      <c r="V40" s="4">
        <v>11.5</v>
      </c>
      <c r="W40" s="4">
        <v>11.31</v>
      </c>
      <c r="X40" s="4">
        <v>11.14</v>
      </c>
      <c r="Y40" s="4">
        <v>11.06</v>
      </c>
      <c r="Z40" s="4">
        <v>11.09</v>
      </c>
      <c r="AA40" s="4">
        <v>11.2</v>
      </c>
      <c r="AB40" s="4">
        <v>11.14</v>
      </c>
      <c r="AC40" s="4">
        <v>10.6</v>
      </c>
      <c r="AD40" s="4">
        <v>10.9</v>
      </c>
      <c r="AE40" s="4">
        <v>10.88</v>
      </c>
      <c r="AF40" s="4">
        <v>10.199999999999999</v>
      </c>
      <c r="AG40" s="4">
        <v>10.17</v>
      </c>
      <c r="AH40" s="4">
        <v>9.7100000000000009</v>
      </c>
      <c r="AI40" s="4">
        <v>9.99</v>
      </c>
      <c r="AJ40" s="4">
        <v>9.57</v>
      </c>
      <c r="AK40" s="4">
        <v>9.65</v>
      </c>
      <c r="AL40" s="4">
        <v>9.75</v>
      </c>
      <c r="AM40" s="4">
        <v>9.92</v>
      </c>
      <c r="AN40" s="4">
        <v>10.36</v>
      </c>
      <c r="AO40" s="4">
        <v>10.42</v>
      </c>
      <c r="AP40" s="4">
        <v>10.3</v>
      </c>
      <c r="AQ40" s="4">
        <v>10.67</v>
      </c>
      <c r="AR40" s="4">
        <v>10.8</v>
      </c>
      <c r="AS40" s="4">
        <v>11.1</v>
      </c>
      <c r="AT40" s="4">
        <v>11.17</v>
      </c>
      <c r="AU40" s="4">
        <v>11.115</v>
      </c>
      <c r="AV40" s="4">
        <v>10.94</v>
      </c>
      <c r="AW40" s="4">
        <v>10.76</v>
      </c>
      <c r="AX40" s="4">
        <v>10.48</v>
      </c>
      <c r="AY40" s="12">
        <v>10.66</v>
      </c>
      <c r="AZ40" s="12">
        <v>11.25</v>
      </c>
      <c r="BA40" s="12">
        <v>11.5</v>
      </c>
      <c r="BB40" s="15">
        <v>11.76</v>
      </c>
      <c r="BC40" s="52">
        <v>13</v>
      </c>
      <c r="BD40" s="52">
        <v>12.22</v>
      </c>
      <c r="BE40" s="52">
        <v>12.01</v>
      </c>
      <c r="BF40" s="52">
        <v>11.76</v>
      </c>
      <c r="BG40" s="67">
        <v>11.44</v>
      </c>
      <c r="BH40" s="52">
        <v>11.63</v>
      </c>
      <c r="BI40" s="52">
        <v>11.4</v>
      </c>
      <c r="BJ40" s="52">
        <v>11.67</v>
      </c>
      <c r="BK40" s="52">
        <v>11.18</v>
      </c>
      <c r="BL40" s="52">
        <v>10.61</v>
      </c>
      <c r="BM40" s="52">
        <v>10.97</v>
      </c>
      <c r="BN40" s="52">
        <v>10.78</v>
      </c>
      <c r="BO40" s="52">
        <v>10.84</v>
      </c>
      <c r="BP40" s="52" cm="1">
        <f t="array" aca="1" ref="BP40" ca="1">_FV(ED40,"Preço")</f>
        <v>11.82</v>
      </c>
      <c r="BQ40" s="69" t="s">
        <v>37</v>
      </c>
      <c r="BR40" s="36" cm="1">
        <f t="array" aca="1" ref="BR40" ca="1">_FV(ED40,"Média de volume",TRUE)</f>
        <v>846410</v>
      </c>
      <c r="BS40" s="36">
        <v>1039600</v>
      </c>
      <c r="BT40" s="36" cm="1">
        <f t="array" aca="1" ref="BT40" ca="1">_FV(ED40,"Volume")</f>
        <v>2921200</v>
      </c>
      <c r="BU40" s="24" cm="1">
        <f t="array" aca="1" ref="BU40" ca="1">_FV(ED40,"Beta")</f>
        <v>1.0760000000000001</v>
      </c>
      <c r="BV40" s="71" cm="1">
        <f t="array" aca="1" ref="BV40" ca="1">_FV(ED40,"Variação (%)",TRUE)</f>
        <v>7.9451999999999995E-2</v>
      </c>
      <c r="BX40" s="17" cm="1">
        <f t="array" aca="1" ref="BX40" ca="1">_FV(ED40,"Baixo")</f>
        <v>11.42</v>
      </c>
      <c r="BY40" s="17" cm="1">
        <f t="array" aca="1" ref="BY40" ca="1">_FV(ED40,"Alto")</f>
        <v>11.98</v>
      </c>
      <c r="BZ40" s="24"/>
      <c r="CA40" s="63">
        <f ca="1">SQRT(22.5*(BP40/VLOOKUP(BQ40,Fundamentus!A:U,3,FALSE))*(BP40/VLOOKUP(BQ40,Fundamentus!A:U,4,FALSE)))</f>
        <v>39.908753655445743</v>
      </c>
      <c r="CC40" s="62">
        <f t="shared" ca="1" si="24"/>
        <v>9.0405904059040629E-2</v>
      </c>
      <c r="CD40" s="8"/>
      <c r="CE40" s="61">
        <f t="shared" si="25"/>
        <v>9.57</v>
      </c>
      <c r="CF40" s="61">
        <f t="shared" si="26"/>
        <v>13</v>
      </c>
      <c r="CG40" s="61">
        <f t="shared" si="27"/>
        <v>11.158432835820896</v>
      </c>
      <c r="CH40" s="14"/>
      <c r="CI40" s="35">
        <f t="shared" si="1"/>
        <v>10.542879600125834</v>
      </c>
      <c r="CJ40" s="15">
        <f t="shared" si="28"/>
        <v>10.925000000000011</v>
      </c>
      <c r="CK40" s="35">
        <f t="shared" si="2"/>
        <v>11.307120399874188</v>
      </c>
      <c r="CM40" s="14"/>
      <c r="CN40" s="17">
        <f t="shared" si="3"/>
        <v>5.8433333333333302</v>
      </c>
      <c r="CO40" s="17">
        <f t="shared" si="4"/>
        <v>7.7066666666666652</v>
      </c>
      <c r="CP40" s="17">
        <f t="shared" si="5"/>
        <v>9.2733333333333299</v>
      </c>
      <c r="CQ40" s="38">
        <f t="shared" si="29"/>
        <v>11.136666666666665</v>
      </c>
      <c r="CR40" s="17">
        <f t="shared" si="6"/>
        <v>12.70333333333333</v>
      </c>
      <c r="CS40" s="17">
        <f t="shared" si="7"/>
        <v>14.566666666666665</v>
      </c>
      <c r="CT40" s="17">
        <f t="shared" si="8"/>
        <v>16.133333333333329</v>
      </c>
      <c r="CU40" s="2" cm="1">
        <f t="array" aca="1" ref="CU40" ca="1">MAX(_xlfn._xlws.FILTER(CN40:CT40,CN40:CT40&lt;BP40))</f>
        <v>11.136666666666665</v>
      </c>
      <c r="CV40" s="2" cm="1">
        <f t="array" aca="1" ref="CV40" ca="1">MIN(_xlfn._xlws.FILTER($CN40:$CT40,$CN40:$CT40&gt;BP40))</f>
        <v>12.70333333333333</v>
      </c>
      <c r="CW40" s="16">
        <f t="shared" ca="1" si="63"/>
        <v>0.14067644417838965</v>
      </c>
      <c r="CX40" s="20">
        <f t="shared" ca="1" si="64"/>
        <v>-7.0338222089194824E-2</v>
      </c>
      <c r="CY40" s="20">
        <f t="shared" ca="1" si="65"/>
        <v>-4.6892148059463214E-2</v>
      </c>
      <c r="CZ40" s="20">
        <f t="shared" ca="1" si="66"/>
        <v>-2.8135288835677931E-2</v>
      </c>
      <c r="DA40" s="20">
        <f t="shared" ca="1" si="67"/>
        <v>-1.5630716019821071E-2</v>
      </c>
      <c r="DB40" s="20">
        <f t="shared" ca="1" si="68"/>
        <v>-8.2750849516699792E-3</v>
      </c>
      <c r="DC40" s="20">
        <f t="shared" ca="1" si="69"/>
        <v>-4.262922550860292E-3</v>
      </c>
      <c r="DD40" s="20">
        <f t="shared" ca="1" si="70"/>
        <v>-2.1642529873598408E-3</v>
      </c>
      <c r="DE40" s="21">
        <f t="shared" ca="1" si="71"/>
        <v>2.1642529873598408E-3</v>
      </c>
      <c r="DF40" s="21">
        <f t="shared" ca="1" si="72"/>
        <v>4.262922550860292E-3</v>
      </c>
      <c r="DG40" s="21">
        <f t="shared" ca="1" si="73"/>
        <v>8.2750849516699792E-3</v>
      </c>
      <c r="DH40" s="21">
        <f t="shared" ca="1" si="74"/>
        <v>1.5630716019821071E-2</v>
      </c>
      <c r="DI40" s="21">
        <f t="shared" ca="1" si="75"/>
        <v>2.8135288835677931E-2</v>
      </c>
      <c r="DJ40" s="21">
        <f t="shared" ca="1" si="76"/>
        <v>4.6892148059463214E-2</v>
      </c>
      <c r="DK40" s="21">
        <f t="shared" ca="1" si="77"/>
        <v>7.0338222089194824E-2</v>
      </c>
      <c r="DM40" s="16" cm="1">
        <f t="array" aca="1" ref="DM40" ca="1">MAX(_xlfn._xlws.FILTER(CX40:DK40,CX40:DK40&lt;BV40))</f>
        <v>7.0338222089194824E-2</v>
      </c>
      <c r="DN40" s="16" t="e" cm="1" vm="4">
        <f t="array" aca="1" ref="DN40" ca="1">MIN(_xlfn._xlws.FILTER(CX40:DK40,CX40:DK40&gt;BV40))</f>
        <v>#VALUE!</v>
      </c>
      <c r="DO40" s="2" cm="1">
        <f t="array" aca="1" ref="DO40" ca="1">_FV(ED40,"Fechamento anterior",TRUE)</f>
        <v>10.95</v>
      </c>
      <c r="DP40" s="28" t="e" vm="5">
        <f t="shared" ca="1" si="15"/>
        <v>#VALUE!</v>
      </c>
      <c r="DQ40" s="15">
        <f t="shared" ca="1" si="78"/>
        <v>11.720203531876683</v>
      </c>
      <c r="DR40" s="15" t="e" vm="5">
        <f t="shared" ca="1" si="79"/>
        <v>#VALUE!</v>
      </c>
      <c r="DS40" s="9"/>
      <c r="DT40" s="9"/>
      <c r="DU40" s="9"/>
      <c r="DV40" s="89">
        <v>6.182602444284693E-3</v>
      </c>
      <c r="DW40" s="89" t="e" vm="5">
        <f t="shared" ca="1" si="18"/>
        <v>#VALUE!</v>
      </c>
      <c r="DX40" s="72">
        <f t="shared" ca="1" si="19"/>
        <v>2.342193717725332</v>
      </c>
      <c r="DY40" s="37"/>
      <c r="DZ40" s="35">
        <f t="shared" si="39"/>
        <v>0.19106019993708809</v>
      </c>
      <c r="EA40" s="56"/>
      <c r="EB40" s="56"/>
      <c r="ED40" s="2" t="e" vm="40">
        <v>#VALUE!</v>
      </c>
      <c r="EF40" s="10" cm="1">
        <f t="array" aca="1" ref="EF40" ca="1">_FV(ED40,"Ações em circulação",TRUE)</f>
        <v>408974500</v>
      </c>
      <c r="EG40" s="18">
        <f>VLOOKUP(BQ40,Fundamentus!A:U,5,FALSE)</f>
        <v>0</v>
      </c>
      <c r="EH40" s="2" t="e">
        <f t="shared" ca="1" si="20"/>
        <v>#DIV/0!</v>
      </c>
      <c r="EI40" s="17" t="e">
        <v>#DIV/0!</v>
      </c>
      <c r="EJ40" s="17" t="e">
        <f t="shared" ca="1" si="21"/>
        <v>#DIV/0!</v>
      </c>
      <c r="EL40" s="16" t="e">
        <f t="shared" ca="1" si="22"/>
        <v>#DIV/0!</v>
      </c>
      <c r="EM40" s="32" t="str">
        <f>IF(VLOOKUP(BQ40,Fundamentus!A:U,3,FALSE)&lt;15,"Bom",IF(VLOOKUP(BQ40,Fundamentus!A:U,3,FALSE)&gt;15,"Ruim","n/a"))</f>
        <v>Bom</v>
      </c>
      <c r="EN40" s="28" t="str">
        <f>IF(VLOOKUP(BQ40,Fundamentus!A:U,4,FALSE)&lt;1,"Baixo",IF(VLOOKUP(BQ40,Fundamentus!A:U,4,FALSE)&lt;1.5,"Moderado",IF(VLOOKUP(BQ40,Fundamentus!A:U,4,FALSE)&gt;1.5,"Alto","n/a")))</f>
        <v>Baixo</v>
      </c>
      <c r="EO40" s="17" t="str">
        <f>IF(VLOOKUP(BQ40,Fundamentus!A:U,8,FALSE)&lt;0,"Risco elevado",IF(VLOOKUP(BQ40,Fundamentus!A:U,8,FALSE)&lt;1,"Saudável",IF(VLOOKUP(BQ40,Fundamentus!A:U,8,FALSE)&lt;3,"Estável",IF(VLOOKUP(BQ40,Fundamentus!A:U,8,FALSE)&gt;3,"Alerta","n/a"))))</f>
        <v>Saudável</v>
      </c>
      <c r="EP40" s="28" t="str">
        <f t="shared" si="23"/>
        <v>Ruim</v>
      </c>
      <c r="EQ40" s="17" t="str">
        <f>IF(VLOOKUP(BQ40,Fundamentus!A:U,12,FALSE)&lt;2,"Subvalorizada",IF(VLOOKUP(BQ40,Fundamentus!A:U,12,FALSE)&lt;6,"Muita barata",IF(VLOOKUP(BQ40,Fundamentus!A:U,12,FALSE)&lt;6,"Barata",IF(VLOOKUP(BQ40,Fundamentus!A:U,12,FALSE)&lt;8,"Atrativa",IF(VLOOKUP(BQ40,Fundamentus!A:U,12,FALSE)&gt;8,"Supervalorizada","n/a")))))</f>
        <v>Subvalorizada</v>
      </c>
      <c r="ES40" s="17" t="str">
        <f>IF(VLOOKUP(BQ40,Fundamentus!A:U,17,FALSE)&lt;0.1,"Fraco retorno",IF(VLOOKUP(BQ40,Fundamentus!A:U,17,FALSE)&gt;0.1,"Bom retorno","n/a"))</f>
        <v>Fraco retorno</v>
      </c>
      <c r="ET40" s="17" t="str">
        <f>IF(VLOOKUP(BQ40,Fundamentus!A:U,16,FALSE)&lt;0.1,"Ineficiente",IF(VLOOKUP(BQ40,Fundamentus!A:U,16,FALSE)&gt;0.1,"Eficiente","n/a"))</f>
        <v>Ineficiente</v>
      </c>
      <c r="EU40" s="33" t="str">
        <f>IF(VLOOKUP(BQ40,Fundamentus!A:U,16,FALSE)&lt;0.1,"Oper. Ineficiente",IF(VLOOKUP(BQ40,Fundamentus!A:U,16,FALSE)&gt;0.1,"Oper.Eficiente","n/a"))</f>
        <v>Oper. Ineficiente</v>
      </c>
      <c r="EV40" s="34">
        <f>VLOOKUP(BQ40,Fundamentus!A:U,14,FALSE)</f>
        <v>0</v>
      </c>
      <c r="EW40" s="17" t="str">
        <f>IF(VLOOKUP(BQ40,Fundamentus!A:U,21,FALSE)&lt;0,"Negativo",IF(VLOOKUP(BQ40,Fundamentus!A:U,21,FALSE)&lt;0.05,"Fraco",IF(VLOOKUP(BQ40,Fundamentus!A:U,21,FALSE)&lt;0.1,"Bom",IF(VLOOKUP(BQ40,Fundamentus!A:U,21,FALSE)&gt;0.1,"Muito bom","n/a"))))</f>
        <v>Fraco</v>
      </c>
      <c r="EY40" s="29" t="str">
        <f>IF(VLOOKUP(BQ40,Fundamentus!A:U,15,FALSE)&gt;1,"Bom",IF(VLOOKUP(BQ40,Fundamentus!A:U,15,FALSE)&lt;1,"Ruim","n/a"))</f>
        <v>Ruim</v>
      </c>
      <c r="EZ40" s="17" t="str">
        <f>IF(VLOOKUP(BQ40,Fundamentus!A:U,20,FALSE)&lt;0.5,"Baixa",IF(VLOOKUP(BQ40,Fundamentus!A:U,20,FALSE)&lt;1,"Moderada",IF(VLOOKUP(BQ40,Fundamentus!A:U,20,FALSE)&lt;2,"Alerta",IF(VLOOKUP(BQ40,Fundamentus!A:U,20,FALSE)&gt;2,"Alta","n/a"))))</f>
        <v>Baixa</v>
      </c>
    </row>
    <row r="41" spans="1:156" s="2" customFormat="1" ht="11.25" hidden="1" x14ac:dyDescent="0.2">
      <c r="A41" s="4">
        <v>16.75</v>
      </c>
      <c r="B41" s="4">
        <v>16.41</v>
      </c>
      <c r="C41" s="4">
        <v>16.09</v>
      </c>
      <c r="D41" s="4">
        <v>15.85</v>
      </c>
      <c r="E41" s="4">
        <v>15.4</v>
      </c>
      <c r="F41" s="4">
        <v>15.06</v>
      </c>
      <c r="G41" s="4">
        <v>14.55</v>
      </c>
      <c r="H41" s="4">
        <v>14.63</v>
      </c>
      <c r="I41" s="4">
        <v>15.2</v>
      </c>
      <c r="J41" s="4">
        <v>15.56</v>
      </c>
      <c r="K41" s="4">
        <v>16.14</v>
      </c>
      <c r="L41" s="4">
        <v>15.81</v>
      </c>
      <c r="M41" s="4">
        <v>16.18</v>
      </c>
      <c r="N41" s="4">
        <v>16.12</v>
      </c>
      <c r="O41" s="4">
        <v>16.329999999999998</v>
      </c>
      <c r="P41" s="4">
        <v>16.7</v>
      </c>
      <c r="Q41" s="4">
        <v>17.3</v>
      </c>
      <c r="R41" s="4">
        <v>17.2</v>
      </c>
      <c r="S41" s="4">
        <v>16.7</v>
      </c>
      <c r="T41" s="4">
        <v>17</v>
      </c>
      <c r="U41" s="4">
        <v>16.95</v>
      </c>
      <c r="V41" s="4">
        <v>17.239999999999998</v>
      </c>
      <c r="W41" s="4">
        <v>16.7</v>
      </c>
      <c r="X41" s="4">
        <v>16.25</v>
      </c>
      <c r="Y41" s="4">
        <v>16.05</v>
      </c>
      <c r="Z41" s="4">
        <v>15.94</v>
      </c>
      <c r="AA41" s="4">
        <v>15.8</v>
      </c>
      <c r="AB41" s="4">
        <v>15.8</v>
      </c>
      <c r="AC41" s="4">
        <v>15.8</v>
      </c>
      <c r="AD41" s="4">
        <v>15.75</v>
      </c>
      <c r="AE41" s="4">
        <v>15.77</v>
      </c>
      <c r="AF41" s="4">
        <v>16.46</v>
      </c>
      <c r="AG41" s="4">
        <v>16.38</v>
      </c>
      <c r="AH41" s="4">
        <v>16.16</v>
      </c>
      <c r="AI41" s="4">
        <v>16.329999999999998</v>
      </c>
      <c r="AJ41" s="4">
        <v>16.48</v>
      </c>
      <c r="AK41" s="4">
        <v>16.32</v>
      </c>
      <c r="AL41" s="4">
        <v>16.489999999999998</v>
      </c>
      <c r="AM41" s="4">
        <v>16.760000000000002</v>
      </c>
      <c r="AN41" s="4">
        <v>16.97</v>
      </c>
      <c r="AO41" s="4">
        <v>16.7</v>
      </c>
      <c r="AP41" s="4">
        <v>16.88</v>
      </c>
      <c r="AQ41" s="4">
        <v>16.8</v>
      </c>
      <c r="AR41" s="4">
        <v>16.559999999999999</v>
      </c>
      <c r="AS41" s="4">
        <v>16.96</v>
      </c>
      <c r="AT41" s="4">
        <v>17.350000000000001</v>
      </c>
      <c r="AU41" s="4">
        <v>17.399999999999999</v>
      </c>
      <c r="AV41" s="4">
        <v>17.100000000000001</v>
      </c>
      <c r="AW41" s="4">
        <v>17.03</v>
      </c>
      <c r="AX41" s="4">
        <v>17.12</v>
      </c>
      <c r="AY41" s="12">
        <v>17.100000000000001</v>
      </c>
      <c r="AZ41" s="12">
        <v>17.190000000000001</v>
      </c>
      <c r="BA41" s="12">
        <v>17.13</v>
      </c>
      <c r="BB41" s="15">
        <v>17.440000000000001</v>
      </c>
      <c r="BC41" s="52">
        <v>17.309999999999999</v>
      </c>
      <c r="BD41" s="52">
        <v>17.489999999999998</v>
      </c>
      <c r="BE41" s="52">
        <v>17.37</v>
      </c>
      <c r="BF41" s="52">
        <v>17.37</v>
      </c>
      <c r="BG41" s="67">
        <v>17.440000000000001</v>
      </c>
      <c r="BH41" s="52">
        <v>17.5</v>
      </c>
      <c r="BI41" s="52">
        <v>17.45</v>
      </c>
      <c r="BJ41" s="52">
        <v>17.5</v>
      </c>
      <c r="BK41" s="52">
        <v>17.5</v>
      </c>
      <c r="BL41" s="52">
        <v>17.53</v>
      </c>
      <c r="BM41" s="52">
        <v>17.559999999999999</v>
      </c>
      <c r="BN41" s="52">
        <v>17.71</v>
      </c>
      <c r="BO41" s="52">
        <v>17.7</v>
      </c>
      <c r="BP41" s="52" cm="1">
        <f t="array" aca="1" ref="BP41" ca="1">_FV(ED41,"Preço")</f>
        <v>17.809999999999999</v>
      </c>
      <c r="BQ41" s="69" t="s">
        <v>38</v>
      </c>
      <c r="BR41" s="36" cm="1">
        <f t="array" aca="1" ref="BR41" ca="1">_FV(ED41,"Média de volume",TRUE)</f>
        <v>1194200</v>
      </c>
      <c r="BS41" s="36">
        <v>2565600</v>
      </c>
      <c r="BT41" s="36" cm="1">
        <f t="array" aca="1" ref="BT41" ca="1">_FV(ED41,"Volume")</f>
        <v>425100</v>
      </c>
      <c r="BU41" s="24" cm="1">
        <f t="array" aca="1" ref="BU41" ca="1">_FV(ED41,"Beta")</f>
        <v>1.0527</v>
      </c>
      <c r="BV41" s="71" cm="1">
        <f t="array" aca="1" ref="BV41" ca="1">_FV(ED41,"Variação (%)",TRUE)</f>
        <v>1.124E-3</v>
      </c>
      <c r="BX41" s="17" cm="1">
        <f t="array" aca="1" ref="BX41" ca="1">_FV(ED41,"Baixo")</f>
        <v>17.79</v>
      </c>
      <c r="BY41" s="17" cm="1">
        <f t="array" aca="1" ref="BY41" ca="1">_FV(ED41,"Alto")</f>
        <v>17.87</v>
      </c>
      <c r="BZ41" s="24"/>
      <c r="CA41" s="63">
        <f ca="1">SQRT(22.5*(BP41/VLOOKUP(BQ41,Fundamentus!A:U,3,FALSE))*(BP41/VLOOKUP(BQ41,Fundamentus!A:U,4,FALSE)))</f>
        <v>13.578383815925479</v>
      </c>
      <c r="CC41" s="62">
        <f t="shared" ca="1" si="24"/>
        <v>6.2146892655366914E-3</v>
      </c>
      <c r="CD41" s="8"/>
      <c r="CE41" s="61">
        <f t="shared" si="25"/>
        <v>14.55</v>
      </c>
      <c r="CF41" s="61">
        <f t="shared" si="26"/>
        <v>17.71</v>
      </c>
      <c r="CG41" s="61">
        <f t="shared" si="27"/>
        <v>16.620447761194033</v>
      </c>
      <c r="CH41" s="14"/>
      <c r="CI41" s="35">
        <f t="shared" si="1"/>
        <v>17.614272938908055</v>
      </c>
      <c r="CJ41" s="15">
        <f t="shared" si="28"/>
        <v>17.789999999999964</v>
      </c>
      <c r="CK41" s="35">
        <f t="shared" si="2"/>
        <v>17.965727061091872</v>
      </c>
      <c r="CM41" s="14"/>
      <c r="CN41" s="17">
        <f t="shared" si="3"/>
        <v>12.436666666666671</v>
      </c>
      <c r="CO41" s="17">
        <f t="shared" si="4"/>
        <v>13.493333333333336</v>
      </c>
      <c r="CP41" s="17">
        <f t="shared" si="5"/>
        <v>15.596666666666671</v>
      </c>
      <c r="CQ41" s="38">
        <f t="shared" si="29"/>
        <v>16.653333333333336</v>
      </c>
      <c r="CR41" s="17">
        <f t="shared" si="6"/>
        <v>18.756666666666671</v>
      </c>
      <c r="CS41" s="17">
        <f t="shared" si="7"/>
        <v>19.813333333333336</v>
      </c>
      <c r="CT41" s="17">
        <f t="shared" si="8"/>
        <v>21.916666666666671</v>
      </c>
      <c r="CU41" s="2" cm="1">
        <f t="array" aca="1" ref="CU41" ca="1">MAX(_xlfn._xlws.FILTER(CN41:CT41,CN41:CT41&lt;BP41))</f>
        <v>16.653333333333336</v>
      </c>
      <c r="CV41" s="2" cm="1">
        <f t="array" aca="1" ref="CV41" ca="1">MIN(_xlfn._xlws.FILTER($CN41:$CT41,$CN41:$CT41&gt;BP41))</f>
        <v>18.756666666666671</v>
      </c>
      <c r="CW41" s="16">
        <f t="shared" ca="1" si="63"/>
        <v>0.12630104083266613</v>
      </c>
      <c r="CX41" s="20">
        <f t="shared" ca="1" si="64"/>
        <v>-6.3150520416333067E-2</v>
      </c>
      <c r="CY41" s="20">
        <f t="shared" ca="1" si="65"/>
        <v>-4.2100346944222045E-2</v>
      </c>
      <c r="CZ41" s="20">
        <f t="shared" ca="1" si="66"/>
        <v>-2.5260208166533227E-2</v>
      </c>
      <c r="DA41" s="20">
        <f t="shared" ca="1" si="67"/>
        <v>-1.4033448981407348E-2</v>
      </c>
      <c r="DB41" s="20">
        <f t="shared" ca="1" si="68"/>
        <v>-7.429472990156831E-3</v>
      </c>
      <c r="DC41" s="20">
        <f t="shared" ca="1" si="69"/>
        <v>-3.8273042676565494E-3</v>
      </c>
      <c r="DD41" s="20">
        <f t="shared" ca="1" si="70"/>
        <v>-1.9430929358871714E-3</v>
      </c>
      <c r="DE41" s="21">
        <f t="shared" ca="1" si="71"/>
        <v>1.9430929358871714E-3</v>
      </c>
      <c r="DF41" s="21">
        <f t="shared" ca="1" si="72"/>
        <v>3.8273042676565494E-3</v>
      </c>
      <c r="DG41" s="21">
        <f t="shared" ca="1" si="73"/>
        <v>7.429472990156831E-3</v>
      </c>
      <c r="DH41" s="21">
        <f t="shared" ca="1" si="74"/>
        <v>1.4033448981407348E-2</v>
      </c>
      <c r="DI41" s="21">
        <f t="shared" ca="1" si="75"/>
        <v>2.5260208166533227E-2</v>
      </c>
      <c r="DJ41" s="21">
        <f t="shared" ca="1" si="76"/>
        <v>4.2100346944222045E-2</v>
      </c>
      <c r="DK41" s="21">
        <f t="shared" ca="1" si="77"/>
        <v>6.3150520416333067E-2</v>
      </c>
      <c r="DM41" s="16" cm="1">
        <f t="array" aca="1" ref="DM41" ca="1">MAX(_xlfn._xlws.FILTER(CX41:DK41,CX41:DK41&lt;BV41))</f>
        <v>-1.9430929358871714E-3</v>
      </c>
      <c r="DN41" s="16" cm="1">
        <f t="array" aca="1" ref="DN41" ca="1">MIN(_xlfn._xlws.FILTER(CX41:DK41,CX41:DK41&gt;BV41))</f>
        <v>1.9430929358871714E-3</v>
      </c>
      <c r="DO41" s="2" cm="1">
        <f t="array" aca="1" ref="DO41" ca="1">_FV(ED41,"Fechamento anterior",TRUE)</f>
        <v>17.79</v>
      </c>
      <c r="DP41" s="28">
        <f t="shared" ca="1" si="15"/>
        <v>0.78928803998755248</v>
      </c>
      <c r="DQ41" s="15">
        <f t="shared" ca="1" si="78"/>
        <v>17.755432376670566</v>
      </c>
      <c r="DR41" s="15">
        <f t="shared" ca="1" si="79"/>
        <v>17.824567623329433</v>
      </c>
      <c r="DS41" s="9"/>
      <c r="DT41" s="9"/>
      <c r="DU41" s="9"/>
      <c r="DV41" s="89">
        <v>1.884211331769378E-3</v>
      </c>
      <c r="DW41" s="89">
        <f t="shared" ca="1" si="18"/>
        <v>3.8861858717743427E-3</v>
      </c>
      <c r="DX41" s="72">
        <f t="shared" ca="1" si="19"/>
        <v>0.11381286340169725</v>
      </c>
      <c r="DY41" s="37"/>
      <c r="DZ41" s="35">
        <f t="shared" si="39"/>
        <v>8.7863530545955179E-2</v>
      </c>
      <c r="EA41" s="56"/>
      <c r="EB41" s="56"/>
      <c r="ED41" s="2" t="e" vm="41">
        <v>#VALUE!</v>
      </c>
      <c r="EF41" s="10" cm="1">
        <f t="array" aca="1" ref="EF41" ca="1">_FV(ED41,"Ações em circulação",TRUE)</f>
        <v>442931900</v>
      </c>
      <c r="EG41" s="18">
        <f>VLOOKUP(BQ41,Fundamentus!A:U,5,FALSE)</f>
        <v>2.5529999999999999</v>
      </c>
      <c r="EH41" s="2">
        <f t="shared" ca="1" si="20"/>
        <v>3089940124.9510379</v>
      </c>
      <c r="EI41" s="17">
        <v>581620071.64982378</v>
      </c>
      <c r="EJ41" s="17">
        <f t="shared" ca="1" si="21"/>
        <v>585234659.66572666</v>
      </c>
      <c r="EL41" s="16">
        <f t="shared" ca="1" si="22"/>
        <v>6.2146892655368102E-3</v>
      </c>
      <c r="EM41" s="32" t="str">
        <f>IF(VLOOKUP(BQ41,Fundamentus!A:U,3,FALSE)&lt;15,"Bom",IF(VLOOKUP(BQ41,Fundamentus!A:U,3,FALSE)&gt;15,"Ruim","n/a"))</f>
        <v>Bom</v>
      </c>
      <c r="EN41" s="28" t="str">
        <f>IF(VLOOKUP(BQ41,Fundamentus!A:U,4,FALSE)&lt;1,"Baixo",IF(VLOOKUP(BQ41,Fundamentus!A:U,4,FALSE)&lt;1.5,"Moderado",IF(VLOOKUP(BQ41,Fundamentus!A:U,4,FALSE)&gt;1.5,"Alto","n/a")))</f>
        <v>Alto</v>
      </c>
      <c r="EO41" s="17" t="str">
        <f>IF(VLOOKUP(BQ41,Fundamentus!A:U,8,FALSE)&lt;0,"Risco elevado",IF(VLOOKUP(BQ41,Fundamentus!A:U,8,FALSE)&lt;1,"Saudável",IF(VLOOKUP(BQ41,Fundamentus!A:U,8,FALSE)&lt;3,"Estável",IF(VLOOKUP(BQ41,Fundamentus!A:U,8,FALSE)&gt;3,"Alerta","n/a"))))</f>
        <v>Alerta</v>
      </c>
      <c r="EP41" s="28" t="str">
        <f t="shared" si="23"/>
        <v>Bom</v>
      </c>
      <c r="EQ41" s="17" t="str">
        <f>IF(VLOOKUP(BQ41,Fundamentus!A:U,12,FALSE)&lt;2,"Subvalorizada",IF(VLOOKUP(BQ41,Fundamentus!A:U,12,FALSE)&lt;6,"Muita barata",IF(VLOOKUP(BQ41,Fundamentus!A:U,12,FALSE)&lt;6,"Barata",IF(VLOOKUP(BQ41,Fundamentus!A:U,12,FALSE)&lt;8,"Atrativa",IF(VLOOKUP(BQ41,Fundamentus!A:U,12,FALSE)&gt;8,"Supervalorizada","n/a")))))</f>
        <v>Atrativa</v>
      </c>
      <c r="ES41" s="17" t="str">
        <f>IF(VLOOKUP(BQ41,Fundamentus!A:U,17,FALSE)&lt;0.1,"Fraco retorno",IF(VLOOKUP(BQ41,Fundamentus!A:U,17,FALSE)&gt;0.1,"Bom retorno","n/a"))</f>
        <v>Bom retorno</v>
      </c>
      <c r="ET41" s="17" t="str">
        <f>IF(VLOOKUP(BQ41,Fundamentus!A:U,16,FALSE)&lt;0.1,"Ineficiente",IF(VLOOKUP(BQ41,Fundamentus!A:U,16,FALSE)&gt;0.1,"Eficiente","n/a"))</f>
        <v>Eficiente</v>
      </c>
      <c r="EU41" s="33" t="str">
        <f>IF(VLOOKUP(BQ41,Fundamentus!A:U,16,FALSE)&lt;0.1,"Oper. Ineficiente",IF(VLOOKUP(BQ41,Fundamentus!A:U,16,FALSE)&gt;0.1,"Oper.Eficiente","n/a"))</f>
        <v>Oper.Eficiente</v>
      </c>
      <c r="EV41" s="34">
        <f>VLOOKUP(BQ41,Fundamentus!A:U,14,FALSE)</f>
        <v>0.18940000000000001</v>
      </c>
      <c r="EW41" s="17" t="str">
        <f>IF(VLOOKUP(BQ41,Fundamentus!A:U,21,FALSE)&lt;0,"Negativo",IF(VLOOKUP(BQ41,Fundamentus!A:U,21,FALSE)&lt;0.05,"Fraco",IF(VLOOKUP(BQ41,Fundamentus!A:U,21,FALSE)&lt;0.1,"Bom",IF(VLOOKUP(BQ41,Fundamentus!A:U,21,FALSE)&gt;0.1,"Muito bom","n/a"))))</f>
        <v>Fraco</v>
      </c>
      <c r="EY41" s="29" t="str">
        <f>IF(VLOOKUP(BQ41,Fundamentus!A:U,15,FALSE)&gt;1,"Bom",IF(VLOOKUP(BQ41,Fundamentus!A:U,15,FALSE)&lt;1,"Ruim","n/a"))</f>
        <v>Bom</v>
      </c>
      <c r="EZ41" s="17" t="str">
        <f>IF(VLOOKUP(BQ41,Fundamentus!A:U,20,FALSE)&lt;0.5,"Baixa",IF(VLOOKUP(BQ41,Fundamentus!A:U,20,FALSE)&lt;1,"Moderada",IF(VLOOKUP(BQ41,Fundamentus!A:U,20,FALSE)&lt;2,"Alerta",IF(VLOOKUP(BQ41,Fundamentus!A:U,20,FALSE)&gt;2,"Alta","n/a"))))</f>
        <v>Moderada</v>
      </c>
    </row>
    <row r="42" spans="1:156" s="2" customFormat="1" ht="11.25" hidden="1" x14ac:dyDescent="0.2">
      <c r="A42" s="4">
        <v>4.68</v>
      </c>
      <c r="B42" s="4">
        <v>4.54</v>
      </c>
      <c r="C42" s="4">
        <v>4.57</v>
      </c>
      <c r="D42" s="4">
        <v>4.4800000000000004</v>
      </c>
      <c r="E42" s="4">
        <v>4.25</v>
      </c>
      <c r="F42" s="4">
        <v>4.18</v>
      </c>
      <c r="G42" s="4">
        <v>4.05</v>
      </c>
      <c r="H42" s="4">
        <v>4.13</v>
      </c>
      <c r="I42" s="4">
        <v>4.1399999999999997</v>
      </c>
      <c r="J42" s="4">
        <v>4.46</v>
      </c>
      <c r="K42" s="4">
        <v>4.32</v>
      </c>
      <c r="L42" s="4">
        <v>4.2300000000000004</v>
      </c>
      <c r="M42" s="4">
        <v>4.17</v>
      </c>
      <c r="N42" s="4">
        <v>4.21</v>
      </c>
      <c r="O42" s="4">
        <v>4.3</v>
      </c>
      <c r="P42" s="4">
        <v>4.51</v>
      </c>
      <c r="Q42" s="4">
        <v>4.99</v>
      </c>
      <c r="R42" s="4">
        <v>4.8600000000000003</v>
      </c>
      <c r="S42" s="4">
        <v>4.82</v>
      </c>
      <c r="T42" s="4">
        <v>4.84</v>
      </c>
      <c r="U42" s="4">
        <v>4.9400000000000004</v>
      </c>
      <c r="V42" s="4">
        <v>4.74</v>
      </c>
      <c r="W42" s="4">
        <v>4.97</v>
      </c>
      <c r="X42" s="4">
        <v>4.88</v>
      </c>
      <c r="Y42" s="4">
        <v>4.7</v>
      </c>
      <c r="Z42" s="4">
        <v>4.68</v>
      </c>
      <c r="AA42" s="4">
        <v>4.5199999999999996</v>
      </c>
      <c r="AB42" s="4">
        <v>4.5999999999999996</v>
      </c>
      <c r="AC42" s="4">
        <v>4.47</v>
      </c>
      <c r="AD42" s="4">
        <v>4.5599999999999996</v>
      </c>
      <c r="AE42" s="4">
        <v>4.54</v>
      </c>
      <c r="AF42" s="4">
        <v>4.53</v>
      </c>
      <c r="AG42" s="4">
        <v>4.3499999999999996</v>
      </c>
      <c r="AH42" s="4">
        <v>4.05</v>
      </c>
      <c r="AI42" s="4">
        <v>4.3499999999999996</v>
      </c>
      <c r="AJ42" s="4">
        <v>4.34</v>
      </c>
      <c r="AK42" s="4">
        <v>4.25</v>
      </c>
      <c r="AL42" s="4">
        <v>4.4000000000000004</v>
      </c>
      <c r="AM42" s="4">
        <v>4.38</v>
      </c>
      <c r="AN42" s="4">
        <v>4.45</v>
      </c>
      <c r="AO42" s="4">
        <v>4.38</v>
      </c>
      <c r="AP42" s="4">
        <v>4.3899999999999997</v>
      </c>
      <c r="AQ42" s="4">
        <v>4.25</v>
      </c>
      <c r="AR42" s="4">
        <v>4.3600000000000003</v>
      </c>
      <c r="AS42" s="4">
        <v>4.47</v>
      </c>
      <c r="AT42" s="4">
        <v>4.4800000000000004</v>
      </c>
      <c r="AU42" s="4">
        <v>4.46</v>
      </c>
      <c r="AV42" s="4">
        <v>4.4400000000000004</v>
      </c>
      <c r="AW42" s="4">
        <v>4.3099999999999996</v>
      </c>
      <c r="AX42" s="4">
        <v>4.33</v>
      </c>
      <c r="AY42" s="12">
        <v>4.3</v>
      </c>
      <c r="AZ42" s="12">
        <v>4.51</v>
      </c>
      <c r="BA42" s="12">
        <v>4.8</v>
      </c>
      <c r="BB42" s="15">
        <v>4.95</v>
      </c>
      <c r="BC42" s="52">
        <v>5.3</v>
      </c>
      <c r="BD42" s="52">
        <v>5.3</v>
      </c>
      <c r="BE42" s="52">
        <v>5.3</v>
      </c>
      <c r="BF42" s="52">
        <v>5.18</v>
      </c>
      <c r="BG42" s="67">
        <v>5.68</v>
      </c>
      <c r="BH42" s="52">
        <v>6</v>
      </c>
      <c r="BI42" s="52">
        <v>5.86</v>
      </c>
      <c r="BJ42" s="52">
        <v>5.9</v>
      </c>
      <c r="BK42" s="52">
        <v>6.07</v>
      </c>
      <c r="BL42" s="52">
        <v>5.74</v>
      </c>
      <c r="BM42" s="52">
        <v>5.96</v>
      </c>
      <c r="BN42" s="52">
        <v>5.87</v>
      </c>
      <c r="BO42" s="52">
        <v>5.8</v>
      </c>
      <c r="BP42" s="52" cm="1">
        <f t="array" aca="1" ref="BP42" ca="1">_FV(ED42,"Preço")</f>
        <v>6.12</v>
      </c>
      <c r="BQ42" s="69" t="s">
        <v>39</v>
      </c>
      <c r="BR42" s="36" cm="1">
        <f t="array" aca="1" ref="BR42" ca="1">_FV(ED42,"Média de volume",TRUE)</f>
        <v>249230</v>
      </c>
      <c r="BS42" s="36">
        <v>111100</v>
      </c>
      <c r="BT42" s="36" cm="1">
        <f t="array" aca="1" ref="BT42" ca="1">_FV(ED42,"Volume")</f>
        <v>248700</v>
      </c>
      <c r="BU42" s="24" cm="1">
        <f t="array" aca="1" ref="BU42" ca="1">_FV(ED42,"Beta")</f>
        <v>1.2259</v>
      </c>
      <c r="BV42" s="71" cm="1">
        <f t="array" aca="1" ref="BV42" ca="1">_FV(ED42,"Variação (%)",TRUE)</f>
        <v>-6.4939999999999998E-3</v>
      </c>
      <c r="BX42" s="17" cm="1">
        <f t="array" aca="1" ref="BX42" ca="1">_FV(ED42,"Baixo")</f>
        <v>6.05</v>
      </c>
      <c r="BY42" s="17" cm="1">
        <f t="array" aca="1" ref="BY42" ca="1">_FV(ED42,"Alto")</f>
        <v>6.24</v>
      </c>
      <c r="BZ42" s="24"/>
      <c r="CA42" s="63">
        <f ca="1">SQRT(22.5*(BP42/VLOOKUP(BQ42,Fundamentus!A:U,3,FALSE))*(BP42/VLOOKUP(BQ42,Fundamentus!A:U,4,FALSE)))</f>
        <v>12.011550681276551</v>
      </c>
      <c r="CC42" s="62">
        <f t="shared" ca="1" si="24"/>
        <v>5.5172413793103496E-2</v>
      </c>
      <c r="CD42" s="8"/>
      <c r="CE42" s="61">
        <f t="shared" si="25"/>
        <v>4.05</v>
      </c>
      <c r="CF42" s="61">
        <f t="shared" si="26"/>
        <v>6.07</v>
      </c>
      <c r="CG42" s="61">
        <f t="shared" si="27"/>
        <v>4.713731343283583</v>
      </c>
      <c r="CH42" s="14"/>
      <c r="CI42" s="35">
        <f t="shared" si="1"/>
        <v>5.6312822214721372</v>
      </c>
      <c r="CJ42" s="15">
        <f t="shared" si="28"/>
        <v>5.865000000000002</v>
      </c>
      <c r="CK42" s="35">
        <f t="shared" si="2"/>
        <v>6.0987177785278668</v>
      </c>
      <c r="CM42" s="14"/>
      <c r="CN42" s="17">
        <f t="shared" si="3"/>
        <v>2.5233333333333343</v>
      </c>
      <c r="CO42" s="17">
        <f t="shared" si="4"/>
        <v>3.2866666666666671</v>
      </c>
      <c r="CP42" s="17">
        <f t="shared" si="5"/>
        <v>4.5433333333333348</v>
      </c>
      <c r="CQ42" s="38">
        <f t="shared" si="29"/>
        <v>5.3066666666666675</v>
      </c>
      <c r="CR42" s="17">
        <f t="shared" si="6"/>
        <v>6.5633333333333352</v>
      </c>
      <c r="CS42" s="17">
        <f t="shared" si="7"/>
        <v>7.326666666666668</v>
      </c>
      <c r="CT42" s="17">
        <f t="shared" si="8"/>
        <v>8.5833333333333357</v>
      </c>
      <c r="CU42" s="2" cm="1">
        <f t="array" aca="1" ref="CU42" ca="1">MAX(_xlfn._xlws.FILTER(CN42:CT42,CN42:CT42&lt;BP42))</f>
        <v>5.3066666666666675</v>
      </c>
      <c r="CV42" s="2" cm="1">
        <f t="array" aca="1" ref="CV42" ca="1">MIN(_xlfn._xlws.FILTER($CN42:$CT42,$CN42:$CT42&gt;BP42))</f>
        <v>6.5633333333333352</v>
      </c>
      <c r="CW42" s="16">
        <f t="shared" ca="1" si="63"/>
        <v>0.23680904522613089</v>
      </c>
      <c r="CX42" s="20">
        <f t="shared" ca="1" si="64"/>
        <v>-0.11840452261306544</v>
      </c>
      <c r="CY42" s="20">
        <f t="shared" ca="1" si="65"/>
        <v>-7.8936348408710291E-2</v>
      </c>
      <c r="CZ42" s="20">
        <f t="shared" ca="1" si="66"/>
        <v>-4.7361809045226175E-2</v>
      </c>
      <c r="DA42" s="20">
        <f t="shared" ca="1" si="67"/>
        <v>-2.6312116136236765E-2</v>
      </c>
      <c r="DB42" s="20">
        <f t="shared" ca="1" si="68"/>
        <v>-1.3929943836831229E-2</v>
      </c>
      <c r="DC42" s="20">
        <f t="shared" ca="1" si="69"/>
        <v>-7.1760316735191175E-3</v>
      </c>
      <c r="DD42" s="20">
        <f t="shared" ca="1" si="70"/>
        <v>-3.6432160804020135E-3</v>
      </c>
      <c r="DE42" s="21">
        <f t="shared" ca="1" si="71"/>
        <v>3.6432160804020135E-3</v>
      </c>
      <c r="DF42" s="21">
        <f t="shared" ca="1" si="72"/>
        <v>7.1760316735191175E-3</v>
      </c>
      <c r="DG42" s="21">
        <f t="shared" ca="1" si="73"/>
        <v>1.3929943836831229E-2</v>
      </c>
      <c r="DH42" s="21">
        <f t="shared" ca="1" si="74"/>
        <v>2.6312116136236765E-2</v>
      </c>
      <c r="DI42" s="21">
        <f t="shared" ca="1" si="75"/>
        <v>4.7361809045226175E-2</v>
      </c>
      <c r="DJ42" s="21">
        <f t="shared" ca="1" si="76"/>
        <v>7.8936348408710291E-2</v>
      </c>
      <c r="DK42" s="21">
        <f t="shared" ca="1" si="77"/>
        <v>0.11840452261306544</v>
      </c>
      <c r="DM42" s="16" cm="1">
        <f t="array" aca="1" ref="DM42" ca="1">MAX(_xlfn._xlws.FILTER(CX42:DK42,CX42:DK42&lt;BV42))</f>
        <v>-7.1760316735191175E-3</v>
      </c>
      <c r="DN42" s="16" cm="1">
        <f t="array" aca="1" ref="DN42" ca="1">MIN(_xlfn._xlws.FILTER(CX42:DK42,CX42:DK42&gt;BV42))</f>
        <v>-3.6432160804020135E-3</v>
      </c>
      <c r="DO42" s="2" cm="1">
        <f t="array" aca="1" ref="DO42" ca="1">_FV(ED42,"Fechamento anterior",TRUE)</f>
        <v>6.16</v>
      </c>
      <c r="DP42" s="28">
        <f t="shared" ca="1" si="15"/>
        <v>0.19319581280788864</v>
      </c>
      <c r="DQ42" s="15">
        <f t="shared" ca="1" si="78"/>
        <v>6.1157956448911222</v>
      </c>
      <c r="DR42" s="15">
        <f t="shared" ca="1" si="79"/>
        <v>6.1375577889447239</v>
      </c>
      <c r="DS42" s="9"/>
      <c r="DT42" s="9"/>
      <c r="DU42" s="9"/>
      <c r="DV42" s="89">
        <v>2.104969290898941E-2</v>
      </c>
      <c r="DW42" s="89">
        <f t="shared" ca="1" si="18"/>
        <v>3.532815593117104E-3</v>
      </c>
      <c r="DX42" s="72">
        <f t="shared" ca="1" si="19"/>
        <v>1.0910594889536653</v>
      </c>
      <c r="DY42" s="37"/>
      <c r="DZ42" s="35">
        <f t="shared" si="39"/>
        <v>0.11685888926393238</v>
      </c>
      <c r="EA42" s="56"/>
      <c r="EB42" s="56"/>
      <c r="ED42" s="2" t="e" vm="42">
        <v>#VALUE!</v>
      </c>
      <c r="EF42" s="10" cm="1">
        <f t="array" aca="1" ref="EF42" ca="1">_FV(ED42,"Ações em circulação",TRUE)</f>
        <v>226739600</v>
      </c>
      <c r="EG42" s="18">
        <f>VLOOKUP(BQ42,Fundamentus!A:U,5,FALSE)</f>
        <v>0</v>
      </c>
      <c r="EH42" s="2" t="e">
        <f t="shared" ca="1" si="20"/>
        <v>#DIV/0!</v>
      </c>
      <c r="EI42" s="17" t="e">
        <v>#DIV/0!</v>
      </c>
      <c r="EJ42" s="17" t="e">
        <f t="shared" ca="1" si="21"/>
        <v>#DIV/0!</v>
      </c>
      <c r="EL42" s="16" t="e">
        <f t="shared" ca="1" si="22"/>
        <v>#DIV/0!</v>
      </c>
      <c r="EM42" s="32" t="str">
        <f>IF(VLOOKUP(BQ42,Fundamentus!A:U,3,FALSE)&lt;15,"Bom",IF(VLOOKUP(BQ42,Fundamentus!A:U,3,FALSE)&gt;15,"Ruim","n/a"))</f>
        <v>Bom</v>
      </c>
      <c r="EN42" s="28" t="str">
        <f>IF(VLOOKUP(BQ42,Fundamentus!A:U,4,FALSE)&lt;1,"Baixo",IF(VLOOKUP(BQ42,Fundamentus!A:U,4,FALSE)&lt;1.5,"Moderado",IF(VLOOKUP(BQ42,Fundamentus!A:U,4,FALSE)&gt;1.5,"Alto","n/a")))</f>
        <v>Moderado</v>
      </c>
      <c r="EO42" s="17" t="str">
        <f>IF(VLOOKUP(BQ42,Fundamentus!A:U,8,FALSE)&lt;0,"Risco elevado",IF(VLOOKUP(BQ42,Fundamentus!A:U,8,FALSE)&lt;1,"Saudável",IF(VLOOKUP(BQ42,Fundamentus!A:U,8,FALSE)&lt;3,"Estável",IF(VLOOKUP(BQ42,Fundamentus!A:U,8,FALSE)&gt;3,"Alerta","n/a"))))</f>
        <v>Saudável</v>
      </c>
      <c r="EP42" s="28" t="str">
        <f t="shared" si="23"/>
        <v>Ruim</v>
      </c>
      <c r="EQ42" s="17" t="str">
        <f>IF(VLOOKUP(BQ42,Fundamentus!A:U,12,FALSE)&lt;2,"Subvalorizada",IF(VLOOKUP(BQ42,Fundamentus!A:U,12,FALSE)&lt;6,"Muita barata",IF(VLOOKUP(BQ42,Fundamentus!A:U,12,FALSE)&lt;6,"Barata",IF(VLOOKUP(BQ42,Fundamentus!A:U,12,FALSE)&lt;8,"Atrativa",IF(VLOOKUP(BQ42,Fundamentus!A:U,12,FALSE)&gt;8,"Supervalorizada","n/a")))))</f>
        <v>Subvalorizada</v>
      </c>
      <c r="ES42" s="17" t="str">
        <f>IF(VLOOKUP(BQ42,Fundamentus!A:U,17,FALSE)&lt;0.1,"Fraco retorno",IF(VLOOKUP(BQ42,Fundamentus!A:U,17,FALSE)&gt;0.1,"Bom retorno","n/a"))</f>
        <v>Bom retorno</v>
      </c>
      <c r="ET42" s="17" t="str">
        <f>IF(VLOOKUP(BQ42,Fundamentus!A:U,16,FALSE)&lt;0.1,"Ineficiente",IF(VLOOKUP(BQ42,Fundamentus!A:U,16,FALSE)&gt;0.1,"Eficiente","n/a"))</f>
        <v>Ineficiente</v>
      </c>
      <c r="EU42" s="33" t="str">
        <f>IF(VLOOKUP(BQ42,Fundamentus!A:U,16,FALSE)&lt;0.1,"Oper. Ineficiente",IF(VLOOKUP(BQ42,Fundamentus!A:U,16,FALSE)&gt;0.1,"Oper.Eficiente","n/a"))</f>
        <v>Oper. Ineficiente</v>
      </c>
      <c r="EV42" s="34">
        <f>VLOOKUP(BQ42,Fundamentus!A:U,14,FALSE)</f>
        <v>0</v>
      </c>
      <c r="EW42" s="17" t="str">
        <f>IF(VLOOKUP(BQ42,Fundamentus!A:U,21,FALSE)&lt;0,"Negativo",IF(VLOOKUP(BQ42,Fundamentus!A:U,21,FALSE)&lt;0.05,"Fraco",IF(VLOOKUP(BQ42,Fundamentus!A:U,21,FALSE)&lt;0.1,"Bom",IF(VLOOKUP(BQ42,Fundamentus!A:U,21,FALSE)&gt;0.1,"Muito bom","n/a"))))</f>
        <v>Muito bom</v>
      </c>
      <c r="EY42" s="29" t="str">
        <f>IF(VLOOKUP(BQ42,Fundamentus!A:U,15,FALSE)&gt;1,"Bom",IF(VLOOKUP(BQ42,Fundamentus!A:U,15,FALSE)&lt;1,"Ruim","n/a"))</f>
        <v>Ruim</v>
      </c>
      <c r="EZ42" s="17" t="str">
        <f>IF(VLOOKUP(BQ42,Fundamentus!A:U,20,FALSE)&lt;0.5,"Baixa",IF(VLOOKUP(BQ42,Fundamentus!A:U,20,FALSE)&lt;1,"Moderada",IF(VLOOKUP(BQ42,Fundamentus!A:U,20,FALSE)&lt;2,"Alerta",IF(VLOOKUP(BQ42,Fundamentus!A:U,20,FALSE)&gt;2,"Alta","n/a"))))</f>
        <v>Baixa</v>
      </c>
    </row>
    <row r="43" spans="1:156" s="2" customFormat="1" ht="11.25" hidden="1" x14ac:dyDescent="0.2">
      <c r="A43" s="4">
        <v>9.83</v>
      </c>
      <c r="B43" s="4">
        <v>9.94</v>
      </c>
      <c r="C43" s="4">
        <v>10.29</v>
      </c>
      <c r="D43" s="4">
        <v>10.07</v>
      </c>
      <c r="E43" s="4">
        <v>9.8000000000000007</v>
      </c>
      <c r="F43" s="4">
        <v>9.74</v>
      </c>
      <c r="G43" s="4">
        <v>9.6199999999999992</v>
      </c>
      <c r="H43" s="4">
        <v>9.6999999999999993</v>
      </c>
      <c r="I43" s="4">
        <v>9.84</v>
      </c>
      <c r="J43" s="4">
        <v>9.94</v>
      </c>
      <c r="K43" s="4">
        <v>10.19</v>
      </c>
      <c r="L43" s="4">
        <v>10.34</v>
      </c>
      <c r="M43" s="4">
        <v>10.24</v>
      </c>
      <c r="N43" s="4">
        <v>9.86</v>
      </c>
      <c r="O43" s="4">
        <v>10.31</v>
      </c>
      <c r="P43" s="4">
        <v>10.94</v>
      </c>
      <c r="Q43" s="4">
        <v>10.96</v>
      </c>
      <c r="R43" s="4">
        <v>10.92</v>
      </c>
      <c r="S43" s="4">
        <v>11.18</v>
      </c>
      <c r="T43" s="4">
        <v>11.17</v>
      </c>
      <c r="U43" s="4">
        <v>10.91</v>
      </c>
      <c r="V43" s="4">
        <v>11.15</v>
      </c>
      <c r="W43" s="4">
        <v>10.63</v>
      </c>
      <c r="X43" s="4">
        <v>10.49</v>
      </c>
      <c r="Y43" s="4">
        <v>10.56</v>
      </c>
      <c r="Z43" s="4">
        <v>10.61</v>
      </c>
      <c r="AA43" s="4">
        <v>10.49</v>
      </c>
      <c r="AB43" s="4">
        <v>10.74</v>
      </c>
      <c r="AC43" s="4">
        <v>10.49</v>
      </c>
      <c r="AD43" s="4">
        <v>10.27</v>
      </c>
      <c r="AE43" s="4">
        <v>9.93</v>
      </c>
      <c r="AF43" s="4">
        <v>9.4499999999999993</v>
      </c>
      <c r="AG43" s="4">
        <v>9.31</v>
      </c>
      <c r="AH43" s="4">
        <v>8.94</v>
      </c>
      <c r="AI43" s="4">
        <v>9</v>
      </c>
      <c r="AJ43" s="4">
        <v>8.74</v>
      </c>
      <c r="AK43" s="4">
        <v>8.84</v>
      </c>
      <c r="AL43" s="4">
        <v>9.18</v>
      </c>
      <c r="AM43" s="4">
        <v>9.3000000000000007</v>
      </c>
      <c r="AN43" s="4">
        <v>9.6199999999999992</v>
      </c>
      <c r="AO43" s="4">
        <v>9.6300000000000008</v>
      </c>
      <c r="AP43" s="4">
        <v>9.9600000000000009</v>
      </c>
      <c r="AQ43" s="4">
        <v>9.1999999999999993</v>
      </c>
      <c r="AR43" s="4">
        <v>9.14</v>
      </c>
      <c r="AS43" s="4">
        <v>9.39</v>
      </c>
      <c r="AT43" s="4">
        <v>9.6</v>
      </c>
      <c r="AU43" s="4">
        <v>9.9600000000000009</v>
      </c>
      <c r="AV43" s="4">
        <v>9.8699999999999992</v>
      </c>
      <c r="AW43" s="4">
        <v>9.49</v>
      </c>
      <c r="AX43" s="4">
        <v>9.73</v>
      </c>
      <c r="AY43" s="12">
        <v>9.9700000000000006</v>
      </c>
      <c r="AZ43" s="12">
        <v>10.57</v>
      </c>
      <c r="BA43" s="12">
        <v>10.7</v>
      </c>
      <c r="BB43" s="15">
        <v>10.61</v>
      </c>
      <c r="BC43" s="52">
        <v>11.12</v>
      </c>
      <c r="BD43" s="52">
        <v>11.08</v>
      </c>
      <c r="BE43" s="52">
        <v>11.07</v>
      </c>
      <c r="BF43" s="52">
        <v>10.87</v>
      </c>
      <c r="BG43" s="67">
        <v>10.73</v>
      </c>
      <c r="BH43" s="52">
        <v>10.87</v>
      </c>
      <c r="BI43" s="52">
        <v>10.8</v>
      </c>
      <c r="BJ43" s="52">
        <v>11.14</v>
      </c>
      <c r="BK43" s="52">
        <v>10.5</v>
      </c>
      <c r="BL43" s="52">
        <v>10.41</v>
      </c>
      <c r="BM43" s="52">
        <v>10.41</v>
      </c>
      <c r="BN43" s="52">
        <v>10.34</v>
      </c>
      <c r="BO43" s="52">
        <v>10.89</v>
      </c>
      <c r="BP43" s="52" cm="1">
        <f t="array" aca="1" ref="BP43" ca="1">_FV(ED43,"Preço")</f>
        <v>10.97</v>
      </c>
      <c r="BQ43" s="69" t="s">
        <v>40</v>
      </c>
      <c r="BR43" s="36" cm="1">
        <f t="array" aca="1" ref="BR43" ca="1">_FV(ED43,"Média de volume",TRUE)</f>
        <v>18287870</v>
      </c>
      <c r="BS43" s="36">
        <v>75300</v>
      </c>
      <c r="BT43" s="36" cm="1">
        <f t="array" aca="1" ref="BT43" ca="1">_FV(ED43,"Volume")</f>
        <v>96000</v>
      </c>
      <c r="BU43" s="24" cm="1">
        <f t="array" aca="1" ref="BU43" ca="1">_FV(ED43,"Beta")</f>
        <v>1.1744000000000001</v>
      </c>
      <c r="BV43" s="71" cm="1">
        <f t="array" aca="1" ref="BV43" ca="1">_FV(ED43,"Variação (%)",TRUE)</f>
        <v>-9.1069999999999996E-4</v>
      </c>
      <c r="BX43" s="17" cm="1">
        <f t="array" aca="1" ref="BX43" ca="1">_FV(ED43,"Baixo")</f>
        <v>10.94</v>
      </c>
      <c r="BY43" s="17" cm="1">
        <f t="array" aca="1" ref="BY43" ca="1">_FV(ED43,"Alto")</f>
        <v>11.08</v>
      </c>
      <c r="BZ43" s="24"/>
      <c r="CA43" s="63">
        <f ca="1">SQRT(22.5*(BP43/VLOOKUP(BQ43,Fundamentus!A:U,3,FALSE))*(BP43/VLOOKUP(BQ43,Fundamentus!A:U,4,FALSE)))</f>
        <v>16.234490897467534</v>
      </c>
      <c r="CC43" s="62">
        <f t="shared" ca="1" si="24"/>
        <v>7.3461891643709885E-3</v>
      </c>
      <c r="CD43" s="8"/>
      <c r="CE43" s="61">
        <f t="shared" si="25"/>
        <v>8.74</v>
      </c>
      <c r="CF43" s="61">
        <f t="shared" si="26"/>
        <v>11.18</v>
      </c>
      <c r="CG43" s="61">
        <f t="shared" si="27"/>
        <v>10.172835820895523</v>
      </c>
      <c r="CH43" s="14"/>
      <c r="CI43" s="35">
        <f t="shared" si="1"/>
        <v>10.461655367394068</v>
      </c>
      <c r="CJ43" s="15">
        <f t="shared" si="28"/>
        <v>10.855000000000132</v>
      </c>
      <c r="CK43" s="35">
        <f t="shared" si="2"/>
        <v>11.248344632606196</v>
      </c>
      <c r="CM43" s="14"/>
      <c r="CN43" s="17">
        <f t="shared" si="3"/>
        <v>6.9200000000000035</v>
      </c>
      <c r="CO43" s="17">
        <f t="shared" si="4"/>
        <v>7.8300000000000018</v>
      </c>
      <c r="CP43" s="17">
        <f t="shared" si="5"/>
        <v>9.360000000000003</v>
      </c>
      <c r="CQ43" s="38">
        <f t="shared" si="29"/>
        <v>10.270000000000001</v>
      </c>
      <c r="CR43" s="17">
        <f t="shared" si="6"/>
        <v>11.800000000000002</v>
      </c>
      <c r="CS43" s="17">
        <f t="shared" si="7"/>
        <v>12.71</v>
      </c>
      <c r="CT43" s="17">
        <f t="shared" si="8"/>
        <v>14.240000000000002</v>
      </c>
      <c r="CU43" s="2" cm="1">
        <f t="array" aca="1" ref="CU43" ca="1">MAX(_xlfn._xlws.FILTER(CN43:CT43,CN43:CT43&lt;BP43))</f>
        <v>10.270000000000001</v>
      </c>
      <c r="CV43" s="2" cm="1">
        <f t="array" aca="1" ref="CV43" ca="1">MIN(_xlfn._xlws.FILTER($CN43:$CT43,$CN43:$CT43&gt;BP43))</f>
        <v>11.800000000000002</v>
      </c>
      <c r="CW43" s="16">
        <f t="shared" ca="1" si="63"/>
        <v>0.14897760467380738</v>
      </c>
      <c r="CX43" s="20">
        <f t="shared" ca="1" si="64"/>
        <v>-7.4488802336903692E-2</v>
      </c>
      <c r="CY43" s="20">
        <f t="shared" ca="1" si="65"/>
        <v>-4.9659201557935795E-2</v>
      </c>
      <c r="CZ43" s="20">
        <f t="shared" ca="1" si="66"/>
        <v>-2.9795520934761476E-2</v>
      </c>
      <c r="DA43" s="20">
        <f t="shared" ca="1" si="67"/>
        <v>-1.6553067185978598E-2</v>
      </c>
      <c r="DB43" s="20">
        <f t="shared" ca="1" si="68"/>
        <v>-8.7633885102239642E-3</v>
      </c>
      <c r="DC43" s="20">
        <f t="shared" ca="1" si="69"/>
        <v>-4.5144728689032543E-3</v>
      </c>
      <c r="DD43" s="20">
        <f t="shared" ca="1" si="70"/>
        <v>-2.2919631488278057E-3</v>
      </c>
      <c r="DE43" s="21">
        <f t="shared" ca="1" si="71"/>
        <v>2.2919631488278057E-3</v>
      </c>
      <c r="DF43" s="21">
        <f t="shared" ca="1" si="72"/>
        <v>4.5144728689032543E-3</v>
      </c>
      <c r="DG43" s="21">
        <f t="shared" ca="1" si="73"/>
        <v>8.7633885102239642E-3</v>
      </c>
      <c r="DH43" s="21">
        <f t="shared" ca="1" si="74"/>
        <v>1.6553067185978598E-2</v>
      </c>
      <c r="DI43" s="21">
        <f t="shared" ca="1" si="75"/>
        <v>2.9795520934761476E-2</v>
      </c>
      <c r="DJ43" s="21">
        <f t="shared" ca="1" si="76"/>
        <v>4.9659201557935795E-2</v>
      </c>
      <c r="DK43" s="21">
        <f t="shared" ca="1" si="77"/>
        <v>7.4488802336903692E-2</v>
      </c>
      <c r="DM43" s="16" cm="1">
        <f t="array" aca="1" ref="DM43" ca="1">MAX(_xlfn._xlws.FILTER(CX43:DK43,CX43:DK43&lt;BV43))</f>
        <v>-2.2919631488278057E-3</v>
      </c>
      <c r="DN43" s="16" cm="1">
        <f t="array" aca="1" ref="DN43" ca="1">MIN(_xlfn._xlws.FILTER(CX43:DK43,CX43:DK43&gt;BV43))</f>
        <v>2.2919631488278057E-3</v>
      </c>
      <c r="DO43" s="2" cm="1">
        <f t="array" aca="1" ref="DO43" ca="1">_FV(ED43,"Fechamento anterior",TRUE)</f>
        <v>10.98</v>
      </c>
      <c r="DP43" s="28">
        <f t="shared" ca="1" si="15"/>
        <v>0.30131730895151149</v>
      </c>
      <c r="DQ43" s="15">
        <f t="shared" ca="1" si="78"/>
        <v>10.954834244625872</v>
      </c>
      <c r="DR43" s="15">
        <f t="shared" ca="1" si="79"/>
        <v>11.005165755374129</v>
      </c>
      <c r="DS43" s="9"/>
      <c r="DT43" s="9"/>
      <c r="DU43" s="9"/>
      <c r="DV43" s="89">
        <v>4.2489156413207099E-3</v>
      </c>
      <c r="DW43" s="89">
        <f t="shared" ca="1" si="18"/>
        <v>4.5839262976556114E-3</v>
      </c>
      <c r="DX43" s="72">
        <f t="shared" ca="1" si="19"/>
        <v>0.29236448261146492</v>
      </c>
      <c r="DY43" s="37"/>
      <c r="DZ43" s="35">
        <f t="shared" si="39"/>
        <v>0.19667231630303256</v>
      </c>
      <c r="EA43" s="56"/>
      <c r="EB43" s="56"/>
      <c r="ED43" s="2" t="e" vm="43">
        <v>#VALUE!</v>
      </c>
      <c r="EF43" s="10" cm="1">
        <f t="array" aca="1" ref="EF43" ca="1">_FV(ED43,"Ações em circulação",TRUE)</f>
        <v>10993810000</v>
      </c>
      <c r="EG43" s="18">
        <f>VLOOKUP(BQ43,Fundamentus!A:U,5,FALSE)</f>
        <v>14.114000000000001</v>
      </c>
      <c r="EH43" s="2">
        <f t="shared" ca="1" si="20"/>
        <v>8544855866.5155163</v>
      </c>
      <c r="EI43" s="17">
        <v>15913247876.463085</v>
      </c>
      <c r="EJ43" s="17">
        <f t="shared" ca="1" si="21"/>
        <v>16030149605.583107</v>
      </c>
      <c r="EL43" s="16">
        <f t="shared" ca="1" si="22"/>
        <v>7.3461891643709087E-3</v>
      </c>
      <c r="EM43" s="32" t="str">
        <f>IF(VLOOKUP(BQ43,Fundamentus!A:U,3,FALSE)&lt;15,"Bom",IF(VLOOKUP(BQ43,Fundamentus!A:U,3,FALSE)&gt;15,"Ruim","n/a"))</f>
        <v>Bom</v>
      </c>
      <c r="EN43" s="28" t="str">
        <f>IF(VLOOKUP(BQ43,Fundamentus!A:U,4,FALSE)&lt;1,"Baixo",IF(VLOOKUP(BQ43,Fundamentus!A:U,4,FALSE)&lt;1.5,"Moderado",IF(VLOOKUP(BQ43,Fundamentus!A:U,4,FALSE)&gt;1.5,"Alto","n/a")))</f>
        <v>Moderado</v>
      </c>
      <c r="EO43" s="17" t="str">
        <f>IF(VLOOKUP(BQ43,Fundamentus!A:U,8,FALSE)&lt;0,"Risco elevado",IF(VLOOKUP(BQ43,Fundamentus!A:U,8,FALSE)&lt;1,"Saudável",IF(VLOOKUP(BQ43,Fundamentus!A:U,8,FALSE)&lt;3,"Estável",IF(VLOOKUP(BQ43,Fundamentus!A:U,8,FALSE)&gt;3,"Alerta","n/a"))))</f>
        <v>Alerta</v>
      </c>
      <c r="EP43" s="28" t="str">
        <f t="shared" si="23"/>
        <v>Bom</v>
      </c>
      <c r="EQ43" s="17" t="str">
        <f>IF(VLOOKUP(BQ43,Fundamentus!A:U,12,FALSE)&lt;2,"Subvalorizada",IF(VLOOKUP(BQ43,Fundamentus!A:U,12,FALSE)&lt;6,"Muita barata",IF(VLOOKUP(BQ43,Fundamentus!A:U,12,FALSE)&lt;6,"Barata",IF(VLOOKUP(BQ43,Fundamentus!A:U,12,FALSE)&lt;8,"Atrativa",IF(VLOOKUP(BQ43,Fundamentus!A:U,12,FALSE)&gt;8,"Supervalorizada","n/a")))))</f>
        <v>Supervalorizada</v>
      </c>
      <c r="ES43" s="17" t="str">
        <f>IF(VLOOKUP(BQ43,Fundamentus!A:U,17,FALSE)&lt;0.1,"Fraco retorno",IF(VLOOKUP(BQ43,Fundamentus!A:U,17,FALSE)&gt;0.1,"Bom retorno","n/a"))</f>
        <v>Bom retorno</v>
      </c>
      <c r="ET43" s="17" t="str">
        <f>IF(VLOOKUP(BQ43,Fundamentus!A:U,16,FALSE)&lt;0.1,"Ineficiente",IF(VLOOKUP(BQ43,Fundamentus!A:U,16,FALSE)&gt;0.1,"Eficiente","n/a"))</f>
        <v>Ineficiente</v>
      </c>
      <c r="EU43" s="33" t="str">
        <f>IF(VLOOKUP(BQ43,Fundamentus!A:U,16,FALSE)&lt;0.1,"Oper. Ineficiente",IF(VLOOKUP(BQ43,Fundamentus!A:U,16,FALSE)&gt;0.1,"Oper.Eficiente","n/a"))</f>
        <v>Oper. Ineficiente</v>
      </c>
      <c r="EV43" s="34">
        <f>VLOOKUP(BQ43,Fundamentus!A:U,14,FALSE)</f>
        <v>1.8759999999999999</v>
      </c>
      <c r="EW43" s="17" t="str">
        <f>IF(VLOOKUP(BQ43,Fundamentus!A:U,21,FALSE)&lt;0,"Negativo",IF(VLOOKUP(BQ43,Fundamentus!A:U,21,FALSE)&lt;0.05,"Fraco",IF(VLOOKUP(BQ43,Fundamentus!A:U,21,FALSE)&lt;0.1,"Bom",IF(VLOOKUP(BQ43,Fundamentus!A:U,21,FALSE)&gt;0.1,"Muito bom","n/a"))))</f>
        <v>Fraco</v>
      </c>
      <c r="EY43" s="29" t="str">
        <f>IF(VLOOKUP(BQ43,Fundamentus!A:U,15,FALSE)&gt;1,"Bom",IF(VLOOKUP(BQ43,Fundamentus!A:U,15,FALSE)&lt;1,"Ruim","n/a"))</f>
        <v>Bom</v>
      </c>
      <c r="EZ43" s="17" t="str">
        <f>IF(VLOOKUP(BQ43,Fundamentus!A:U,20,FALSE)&lt;0.5,"Baixa",IF(VLOOKUP(BQ43,Fundamentus!A:U,20,FALSE)&lt;1,"Moderada",IF(VLOOKUP(BQ43,Fundamentus!A:U,20,FALSE)&lt;2,"Alerta",IF(VLOOKUP(BQ43,Fundamentus!A:U,20,FALSE)&gt;2,"Alta","n/a"))))</f>
        <v>Baixa</v>
      </c>
    </row>
    <row r="44" spans="1:156" s="2" customFormat="1" ht="11.25" hidden="1" x14ac:dyDescent="0.2">
      <c r="A44" s="4">
        <v>1.58</v>
      </c>
      <c r="B44" s="4">
        <v>1.5</v>
      </c>
      <c r="C44" s="4">
        <v>1.4</v>
      </c>
      <c r="D44" s="4">
        <v>1.38</v>
      </c>
      <c r="E44" s="4">
        <v>1.32</v>
      </c>
      <c r="F44" s="4">
        <v>1.28</v>
      </c>
      <c r="G44" s="4">
        <v>1.25</v>
      </c>
      <c r="H44" s="4">
        <v>1.24</v>
      </c>
      <c r="I44" s="4">
        <v>1.25</v>
      </c>
      <c r="J44" s="4">
        <v>1.42</v>
      </c>
      <c r="K44" s="4">
        <v>1.55</v>
      </c>
      <c r="L44" s="4">
        <v>1.44</v>
      </c>
      <c r="M44" s="4">
        <v>1.57</v>
      </c>
      <c r="N44" s="4">
        <v>1.55</v>
      </c>
      <c r="O44" s="4">
        <v>1.59</v>
      </c>
      <c r="P44" s="4">
        <v>1.59</v>
      </c>
      <c r="Q44" s="4">
        <v>1.74</v>
      </c>
      <c r="R44" s="4">
        <v>1.59</v>
      </c>
      <c r="S44" s="4">
        <v>1.46</v>
      </c>
      <c r="T44" s="4">
        <v>1.43</v>
      </c>
      <c r="U44" s="4">
        <v>1.33</v>
      </c>
      <c r="V44" s="4">
        <v>1.36</v>
      </c>
      <c r="W44" s="4">
        <v>1.43</v>
      </c>
      <c r="X44" s="4">
        <v>1.37</v>
      </c>
      <c r="Y44" s="4">
        <v>1.36</v>
      </c>
      <c r="Z44" s="4">
        <v>1.4</v>
      </c>
      <c r="AA44" s="4">
        <v>1.27</v>
      </c>
      <c r="AB44" s="4">
        <v>1.32</v>
      </c>
      <c r="AC44" s="4">
        <v>1.27</v>
      </c>
      <c r="AD44" s="4">
        <v>1.32</v>
      </c>
      <c r="AE44" s="4">
        <v>1.26</v>
      </c>
      <c r="AF44" s="4">
        <v>1.2</v>
      </c>
      <c r="AG44" s="4">
        <v>1.07</v>
      </c>
      <c r="AH44" s="4">
        <v>0.98</v>
      </c>
      <c r="AI44" s="4">
        <v>0.97</v>
      </c>
      <c r="AJ44" s="4">
        <v>0.97</v>
      </c>
      <c r="AK44" s="4">
        <v>0.94</v>
      </c>
      <c r="AL44" s="4">
        <v>0.91</v>
      </c>
      <c r="AM44" s="4">
        <v>0.97</v>
      </c>
      <c r="AN44" s="4">
        <v>1.01</v>
      </c>
      <c r="AO44" s="4">
        <v>0.98</v>
      </c>
      <c r="AP44" s="4">
        <v>1</v>
      </c>
      <c r="AQ44" s="4">
        <v>0.99</v>
      </c>
      <c r="AR44" s="4">
        <v>0.95</v>
      </c>
      <c r="AS44" s="4">
        <v>0.95</v>
      </c>
      <c r="AT44" s="4">
        <v>1.1000000000000001</v>
      </c>
      <c r="AU44" s="4">
        <v>1.1000000000000001</v>
      </c>
      <c r="AV44" s="4">
        <v>1.34</v>
      </c>
      <c r="AW44" s="4">
        <v>1.26</v>
      </c>
      <c r="AX44" s="4">
        <v>1.22</v>
      </c>
      <c r="AY44" s="12">
        <v>1.28</v>
      </c>
      <c r="AZ44" s="12">
        <v>1.31</v>
      </c>
      <c r="BA44" s="12">
        <v>1.19</v>
      </c>
      <c r="BB44" s="15">
        <v>1.44</v>
      </c>
      <c r="BC44" s="52">
        <v>1.36</v>
      </c>
      <c r="BD44" s="52">
        <v>1.2</v>
      </c>
      <c r="BE44" s="52">
        <v>1.19</v>
      </c>
      <c r="BF44" s="52">
        <v>1.1399999999999999</v>
      </c>
      <c r="BG44" s="67">
        <v>1.1299999999999999</v>
      </c>
      <c r="BH44" s="52">
        <v>1.1499999999999999</v>
      </c>
      <c r="BI44" s="52">
        <v>1.19</v>
      </c>
      <c r="BJ44" s="52">
        <v>1.23</v>
      </c>
      <c r="BK44" s="52">
        <v>1.21</v>
      </c>
      <c r="BL44" s="52">
        <v>1.35</v>
      </c>
      <c r="BM44" s="52">
        <v>1.34</v>
      </c>
      <c r="BN44" s="52">
        <v>1.34</v>
      </c>
      <c r="BO44" s="52">
        <v>1.37</v>
      </c>
      <c r="BP44" s="52" cm="1">
        <f t="array" aca="1" ref="BP44" ca="1">_FV(ED44,"Preço")</f>
        <v>1.29</v>
      </c>
      <c r="BQ44" s="69" t="s">
        <v>41</v>
      </c>
      <c r="BR44" s="36" cm="1">
        <f t="array" aca="1" ref="BR44" ca="1">_FV(ED44,"Média de volume",TRUE)</f>
        <v>239370</v>
      </c>
      <c r="BS44" s="36">
        <v>162800</v>
      </c>
      <c r="BT44" s="36" cm="1">
        <f t="array" aca="1" ref="BT44" ca="1">_FV(ED44,"Volume")</f>
        <v>308400</v>
      </c>
      <c r="BU44" s="24" cm="1">
        <f t="array" aca="1" ref="BU44" ca="1">_FV(ED44,"Beta")</f>
        <v>2.06</v>
      </c>
      <c r="BV44" s="71" cm="1">
        <f t="array" aca="1" ref="BV44" ca="1">_FV(ED44,"Variação (%)",TRUE)</f>
        <v>-7.6920000000000001E-3</v>
      </c>
      <c r="BX44" s="17" cm="1">
        <f t="array" aca="1" ref="BX44" ca="1">_FV(ED44,"Baixo")</f>
        <v>1.25</v>
      </c>
      <c r="BY44" s="17" cm="1">
        <f t="array" aca="1" ref="BY44" ca="1">_FV(ED44,"Alto")</f>
        <v>1.31</v>
      </c>
      <c r="BZ44" s="24"/>
      <c r="CA44" s="63" t="e">
        <f ca="1">SQRT(22.5*(BP44/VLOOKUP(BQ44,Fundamentus!A:U,3,FALSE))*(BP44/VLOOKUP(BQ44,Fundamentus!A:U,4,FALSE)))</f>
        <v>#NUM!</v>
      </c>
      <c r="CC44" s="62">
        <f t="shared" ca="1" si="24"/>
        <v>-5.8394160583941652E-2</v>
      </c>
      <c r="CD44" s="8"/>
      <c r="CE44" s="61">
        <f t="shared" si="25"/>
        <v>0.91</v>
      </c>
      <c r="CF44" s="61">
        <f t="shared" si="26"/>
        <v>1.74</v>
      </c>
      <c r="CG44" s="61">
        <f t="shared" si="27"/>
        <v>1.2708955223880596</v>
      </c>
      <c r="CH44" s="14"/>
      <c r="CI44" s="35">
        <f t="shared" si="1"/>
        <v>1.2508772590585051</v>
      </c>
      <c r="CJ44" s="15">
        <f t="shared" si="28"/>
        <v>1.365000000000002</v>
      </c>
      <c r="CK44" s="35">
        <f t="shared" si="2"/>
        <v>1.4791227409414989</v>
      </c>
      <c r="CM44" s="14"/>
      <c r="CN44" s="17">
        <f t="shared" si="3"/>
        <v>0.10999999999999976</v>
      </c>
      <c r="CO44" s="17">
        <f t="shared" si="4"/>
        <v>0.5099999999999999</v>
      </c>
      <c r="CP44" s="17">
        <f t="shared" si="5"/>
        <v>0.93999999999999972</v>
      </c>
      <c r="CQ44" s="38">
        <f t="shared" si="29"/>
        <v>1.3399999999999999</v>
      </c>
      <c r="CR44" s="17">
        <f t="shared" si="6"/>
        <v>1.7699999999999996</v>
      </c>
      <c r="CS44" s="17">
        <f t="shared" si="7"/>
        <v>2.17</v>
      </c>
      <c r="CT44" s="17">
        <f t="shared" si="8"/>
        <v>2.5999999999999996</v>
      </c>
      <c r="CU44" s="2" cm="1">
        <f t="array" aca="1" ref="CU44" ca="1">MAX(_xlfn._xlws.FILTER(CN44:CT44,CN44:CT44&lt;BP44))</f>
        <v>0.93999999999999972</v>
      </c>
      <c r="CV44" s="2" cm="1">
        <f t="array" aca="1" ref="CV44" ca="1">MIN(_xlfn._xlws.FILTER($CN44:$CT44,$CN44:$CT44&gt;BP44))</f>
        <v>1.3399999999999999</v>
      </c>
      <c r="CW44" s="16">
        <f t="shared" ca="1" si="63"/>
        <v>0.42553191489361719</v>
      </c>
      <c r="CX44" s="20">
        <f t="shared" ca="1" si="64"/>
        <v>-0.2127659574468086</v>
      </c>
      <c r="CY44" s="20">
        <f t="shared" ca="1" si="65"/>
        <v>-0.14184397163120574</v>
      </c>
      <c r="CZ44" s="20">
        <f t="shared" ca="1" si="66"/>
        <v>-8.5106382978723444E-2</v>
      </c>
      <c r="DA44" s="20">
        <f t="shared" ca="1" si="67"/>
        <v>-4.7281323877068578E-2</v>
      </c>
      <c r="DB44" s="20">
        <f t="shared" ca="1" si="68"/>
        <v>-2.5031289111389247E-2</v>
      </c>
      <c r="DC44" s="20">
        <f t="shared" ca="1" si="69"/>
        <v>-1.2894906511927793E-2</v>
      </c>
      <c r="DD44" s="20">
        <f t="shared" ca="1" si="70"/>
        <v>-6.5466448445171879E-3</v>
      </c>
      <c r="DE44" s="21">
        <f t="shared" ca="1" si="71"/>
        <v>6.5466448445171879E-3</v>
      </c>
      <c r="DF44" s="21">
        <f t="shared" ca="1" si="72"/>
        <v>1.2894906511927793E-2</v>
      </c>
      <c r="DG44" s="21">
        <f t="shared" ca="1" si="73"/>
        <v>2.5031289111389247E-2</v>
      </c>
      <c r="DH44" s="21">
        <f t="shared" ca="1" si="74"/>
        <v>4.7281323877068578E-2</v>
      </c>
      <c r="DI44" s="21">
        <f t="shared" ca="1" si="75"/>
        <v>8.5106382978723444E-2</v>
      </c>
      <c r="DJ44" s="21">
        <f t="shared" ca="1" si="76"/>
        <v>0.14184397163120574</v>
      </c>
      <c r="DK44" s="21">
        <f t="shared" ca="1" si="77"/>
        <v>0.2127659574468086</v>
      </c>
      <c r="DM44" s="16" cm="1">
        <f t="array" aca="1" ref="DM44" ca="1">MAX(_xlfn._xlws.FILTER(CX44:DK44,CX44:DK44&lt;BV44))</f>
        <v>-1.2894906511927793E-2</v>
      </c>
      <c r="DN44" s="16" cm="1">
        <f t="array" aca="1" ref="DN44" ca="1">MIN(_xlfn._xlws.FILTER(CX44:DK44,CX44:DK44&gt;BV44))</f>
        <v>-6.5466448445171879E-3</v>
      </c>
      <c r="DO44" s="2" cm="1">
        <f t="array" aca="1" ref="DO44" ca="1">_FV(ED44,"Fechamento anterior",TRUE)</f>
        <v>1.3</v>
      </c>
      <c r="DP44" s="28">
        <f t="shared" ca="1" si="15"/>
        <v>0.81953125000000027</v>
      </c>
      <c r="DQ44" s="15">
        <f t="shared" ca="1" si="78"/>
        <v>1.2832366215344939</v>
      </c>
      <c r="DR44" s="15">
        <f t="shared" ca="1" si="79"/>
        <v>1.2914893617021277</v>
      </c>
      <c r="DS44" s="9"/>
      <c r="DT44" s="9"/>
      <c r="DU44" s="9"/>
      <c r="DV44" s="89">
        <v>9.1521004602655165E-3</v>
      </c>
      <c r="DW44" s="89">
        <f t="shared" ca="1" si="18"/>
        <v>6.3482616674106051E-3</v>
      </c>
      <c r="DX44" s="72">
        <f t="shared" ca="1" si="19"/>
        <v>-0.65718715990574961</v>
      </c>
      <c r="DY44" s="37"/>
      <c r="DZ44" s="35">
        <f t="shared" si="39"/>
        <v>5.7061370470748475E-2</v>
      </c>
      <c r="EA44" s="56"/>
      <c r="EB44" s="56"/>
      <c r="ED44" s="2" t="e" vm="44">
        <v>#VALUE!</v>
      </c>
      <c r="EF44" s="10" cm="1">
        <f t="array" aca="1" ref="EF44" ca="1">_FV(ED44,"Ações em circulação",TRUE)</f>
        <v>286676500</v>
      </c>
      <c r="EG44" s="18">
        <f>VLOOKUP(BQ44,Fundamentus!A:U,5,FALSE)</f>
        <v>0.17499999999999999</v>
      </c>
      <c r="EH44" s="2">
        <f t="shared" ca="1" si="20"/>
        <v>2113215342.8571429</v>
      </c>
      <c r="EI44" s="17">
        <v>-87975284.320000008</v>
      </c>
      <c r="EJ44" s="17">
        <f t="shared" ca="1" si="21"/>
        <v>-82838041.439999998</v>
      </c>
      <c r="EL44" s="16">
        <f t="shared" ca="1" si="22"/>
        <v>-5.8394160583941757E-2</v>
      </c>
      <c r="EM44" s="32" t="str">
        <f>IF(VLOOKUP(BQ44,Fundamentus!A:U,3,FALSE)&lt;15,"Bom",IF(VLOOKUP(BQ44,Fundamentus!A:U,3,FALSE)&gt;15,"Ruim","n/a"))</f>
        <v>Bom</v>
      </c>
      <c r="EN44" s="28" t="str">
        <f>IF(VLOOKUP(BQ44,Fundamentus!A:U,4,FALSE)&lt;1,"Baixo",IF(VLOOKUP(BQ44,Fundamentus!A:U,4,FALSE)&lt;1.5,"Moderado",IF(VLOOKUP(BQ44,Fundamentus!A:U,4,FALSE)&gt;1.5,"Alto","n/a")))</f>
        <v>Baixo</v>
      </c>
      <c r="EO44" s="17" t="str">
        <f>IF(VLOOKUP(BQ44,Fundamentus!A:U,8,FALSE)&lt;0,"Risco elevado",IF(VLOOKUP(BQ44,Fundamentus!A:U,8,FALSE)&lt;1,"Saudável",IF(VLOOKUP(BQ44,Fundamentus!A:U,8,FALSE)&lt;3,"Estável",IF(VLOOKUP(BQ44,Fundamentus!A:U,8,FALSE)&gt;3,"Alerta","n/a"))))</f>
        <v>Risco elevado</v>
      </c>
      <c r="EP44" s="28" t="str">
        <f t="shared" si="23"/>
        <v>Ruim</v>
      </c>
      <c r="EQ44" s="17" t="str">
        <f>IF(VLOOKUP(BQ44,Fundamentus!A:U,12,FALSE)&lt;2,"Subvalorizada",IF(VLOOKUP(BQ44,Fundamentus!A:U,12,FALSE)&lt;6,"Muita barata",IF(VLOOKUP(BQ44,Fundamentus!A:U,12,FALSE)&lt;6,"Barata",IF(VLOOKUP(BQ44,Fundamentus!A:U,12,FALSE)&lt;8,"Atrativa",IF(VLOOKUP(BQ44,Fundamentus!A:U,12,FALSE)&gt;8,"Supervalorizada","n/a")))))</f>
        <v>Muita barata</v>
      </c>
      <c r="ES44" s="17" t="str">
        <f>IF(VLOOKUP(BQ44,Fundamentus!A:U,17,FALSE)&lt;0.1,"Fraco retorno",IF(VLOOKUP(BQ44,Fundamentus!A:U,17,FALSE)&gt;0.1,"Bom retorno","n/a"))</f>
        <v>Fraco retorno</v>
      </c>
      <c r="ET44" s="17" t="str">
        <f>IF(VLOOKUP(BQ44,Fundamentus!A:U,16,FALSE)&lt;0.1,"Ineficiente",IF(VLOOKUP(BQ44,Fundamentus!A:U,16,FALSE)&gt;0.1,"Eficiente","n/a"))</f>
        <v>Ineficiente</v>
      </c>
      <c r="EU44" s="33" t="str">
        <f>IF(VLOOKUP(BQ44,Fundamentus!A:U,16,FALSE)&lt;0.1,"Oper. Ineficiente",IF(VLOOKUP(BQ44,Fundamentus!A:U,16,FALSE)&gt;0.1,"Oper.Eficiente","n/a"))</f>
        <v>Oper. Ineficiente</v>
      </c>
      <c r="EV44" s="34">
        <f>VLOOKUP(BQ44,Fundamentus!A:U,14,FALSE)</f>
        <v>-3.9199999999999999E-2</v>
      </c>
      <c r="EW44" s="17" t="str">
        <f>IF(VLOOKUP(BQ44,Fundamentus!A:U,21,FALSE)&lt;0,"Negativo",IF(VLOOKUP(BQ44,Fundamentus!A:U,21,FALSE)&lt;0.05,"Fraco",IF(VLOOKUP(BQ44,Fundamentus!A:U,21,FALSE)&lt;0.1,"Bom",IF(VLOOKUP(BQ44,Fundamentus!A:U,21,FALSE)&gt;0.1,"Muito bom","n/a"))))</f>
        <v>Muito bom</v>
      </c>
      <c r="EY44" s="29" t="str">
        <f>IF(VLOOKUP(BQ44,Fundamentus!A:U,15,FALSE)&gt;1,"Bom",IF(VLOOKUP(BQ44,Fundamentus!A:U,15,FALSE)&lt;1,"Ruim","n/a"))</f>
        <v>Ruim</v>
      </c>
      <c r="EZ44" s="17" t="str">
        <f>IF(VLOOKUP(BQ44,Fundamentus!A:U,20,FALSE)&lt;0.5,"Baixa",IF(VLOOKUP(BQ44,Fundamentus!A:U,20,FALSE)&lt;1,"Moderada",IF(VLOOKUP(BQ44,Fundamentus!A:U,20,FALSE)&lt;2,"Alerta",IF(VLOOKUP(BQ44,Fundamentus!A:U,20,FALSE)&gt;2,"Alta","n/a"))))</f>
        <v>Moderada</v>
      </c>
    </row>
    <row r="45" spans="1:156" s="2" customFormat="1" ht="11.25" hidden="1" x14ac:dyDescent="0.2">
      <c r="A45" s="4">
        <v>32.840000000000003</v>
      </c>
      <c r="B45" s="4">
        <v>32.619999999999997</v>
      </c>
      <c r="C45" s="4">
        <v>34.17</v>
      </c>
      <c r="D45" s="4">
        <v>32.69</v>
      </c>
      <c r="E45" s="4">
        <v>32.200000000000003</v>
      </c>
      <c r="F45" s="4">
        <v>32.69</v>
      </c>
      <c r="G45" s="4">
        <v>32.46</v>
      </c>
      <c r="H45" s="4">
        <v>32.9</v>
      </c>
      <c r="I45" s="4">
        <v>32.950000000000003</v>
      </c>
      <c r="J45" s="4">
        <v>33.17</v>
      </c>
      <c r="K45" s="4">
        <v>33.96</v>
      </c>
      <c r="L45" s="4">
        <v>34.1</v>
      </c>
      <c r="M45" s="4">
        <v>34.6</v>
      </c>
      <c r="N45" s="4">
        <v>34.9</v>
      </c>
      <c r="O45" s="4">
        <v>36.159999999999997</v>
      </c>
      <c r="P45" s="4">
        <v>37.33</v>
      </c>
      <c r="Q45" s="4">
        <v>36.99</v>
      </c>
      <c r="R45" s="4">
        <v>36.729999999999997</v>
      </c>
      <c r="S45" s="4">
        <v>36.71</v>
      </c>
      <c r="T45" s="4">
        <v>36.19</v>
      </c>
      <c r="U45" s="4">
        <v>35.01</v>
      </c>
      <c r="V45" s="4">
        <v>35.369999999999997</v>
      </c>
      <c r="W45" s="4">
        <v>35.08</v>
      </c>
      <c r="X45" s="4">
        <v>33.86</v>
      </c>
      <c r="Y45" s="4">
        <v>34.07</v>
      </c>
      <c r="Z45" s="4">
        <v>34.299999999999997</v>
      </c>
      <c r="AA45" s="4">
        <v>34.28</v>
      </c>
      <c r="AB45" s="4">
        <v>34.44</v>
      </c>
      <c r="AC45" s="4">
        <v>33.409999999999997</v>
      </c>
      <c r="AD45" s="4">
        <v>33.950000000000003</v>
      </c>
      <c r="AE45" s="4">
        <v>33.53</v>
      </c>
      <c r="AF45" s="4">
        <v>35.42</v>
      </c>
      <c r="AG45" s="4">
        <v>36.64</v>
      </c>
      <c r="AH45" s="4">
        <v>36.49</v>
      </c>
      <c r="AI45" s="4">
        <v>36.28</v>
      </c>
      <c r="AJ45" s="4">
        <v>35.99</v>
      </c>
      <c r="AK45" s="4">
        <v>36.14</v>
      </c>
      <c r="AL45" s="4">
        <v>37.83</v>
      </c>
      <c r="AM45" s="4">
        <v>37.83</v>
      </c>
      <c r="AN45" s="4">
        <v>38.54</v>
      </c>
      <c r="AO45" s="4">
        <v>39.299999999999997</v>
      </c>
      <c r="AP45" s="4">
        <v>38.880000000000003</v>
      </c>
      <c r="AQ45" s="4">
        <v>37.03</v>
      </c>
      <c r="AR45" s="4">
        <v>37.840000000000003</v>
      </c>
      <c r="AS45" s="4">
        <v>39.020000000000003</v>
      </c>
      <c r="AT45" s="4">
        <v>39.81</v>
      </c>
      <c r="AU45" s="4">
        <v>40.39</v>
      </c>
      <c r="AV45" s="4">
        <v>40.26</v>
      </c>
      <c r="AW45" s="4">
        <v>40.25</v>
      </c>
      <c r="AX45" s="4">
        <v>39.979999999999997</v>
      </c>
      <c r="AY45" s="12">
        <v>40.74</v>
      </c>
      <c r="AZ45" s="12">
        <v>42.05</v>
      </c>
      <c r="BA45" s="12">
        <v>42.77</v>
      </c>
      <c r="BB45" s="15">
        <v>38.19</v>
      </c>
      <c r="BC45" s="52">
        <v>38.51</v>
      </c>
      <c r="BD45" s="52">
        <v>38.1</v>
      </c>
      <c r="BE45" s="52">
        <v>37.51</v>
      </c>
      <c r="BF45" s="52">
        <v>36.44</v>
      </c>
      <c r="BG45" s="67">
        <v>35.51</v>
      </c>
      <c r="BH45" s="52">
        <v>35.19</v>
      </c>
      <c r="BI45" s="52">
        <v>35.229999999999997</v>
      </c>
      <c r="BJ45" s="52">
        <v>36.51</v>
      </c>
      <c r="BK45" s="52">
        <v>35.22</v>
      </c>
      <c r="BL45" s="52">
        <v>34.32</v>
      </c>
      <c r="BM45" s="52">
        <v>33.53</v>
      </c>
      <c r="BN45" s="52">
        <v>33.44</v>
      </c>
      <c r="BO45" s="52">
        <v>34.5</v>
      </c>
      <c r="BP45" s="52" cm="1">
        <f t="array" aca="1" ref="BP45" ca="1">_FV(ED45,"Preço")</f>
        <v>32.79</v>
      </c>
      <c r="BQ45" s="69" t="s">
        <v>42</v>
      </c>
      <c r="BR45" s="36" cm="1">
        <f t="array" aca="1" ref="BR45" ca="1">_FV(ED45,"Média de volume",TRUE)</f>
        <v>8079210</v>
      </c>
      <c r="BS45" s="36">
        <v>6354400</v>
      </c>
      <c r="BT45" s="36" cm="1">
        <f t="array" aca="1" ref="BT45" ca="1">_FV(ED45,"Volume")</f>
        <v>9398300</v>
      </c>
      <c r="BU45" s="24" cm="1">
        <f t="array" aca="1" ref="BU45" ca="1">_FV(ED45,"Beta")</f>
        <v>0.55789999999999995</v>
      </c>
      <c r="BV45" s="71" cm="1">
        <f t="array" aca="1" ref="BV45" ca="1">_FV(ED45,"Variação (%)",TRUE)</f>
        <v>-1.7675E-2</v>
      </c>
      <c r="BX45" s="17" cm="1">
        <f t="array" aca="1" ref="BX45" ca="1">_FV(ED45,"Baixo")</f>
        <v>32.729999999999997</v>
      </c>
      <c r="BY45" s="17" cm="1">
        <f t="array" aca="1" ref="BY45" ca="1">_FV(ED45,"Alto")</f>
        <v>33.130000000000003</v>
      </c>
      <c r="BZ45" s="24"/>
      <c r="CA45" s="63">
        <f ca="1">SQRT(22.5*(BP45/VLOOKUP(BQ45,Fundamentus!A:U,3,FALSE))*(BP45/VLOOKUP(BQ45,Fundamentus!A:U,4,FALSE)))</f>
        <v>23.114793467253349</v>
      </c>
      <c r="CC45" s="62">
        <f t="shared" ca="1" si="24"/>
        <v>-4.9565217391304373E-2</v>
      </c>
      <c r="CD45" s="8"/>
      <c r="CE45" s="61">
        <f t="shared" si="25"/>
        <v>32.200000000000003</v>
      </c>
      <c r="CF45" s="61">
        <f t="shared" si="26"/>
        <v>42.77</v>
      </c>
      <c r="CG45" s="61">
        <f t="shared" si="27"/>
        <v>36.049850746268675</v>
      </c>
      <c r="CH45" s="14"/>
      <c r="CI45" s="35">
        <f t="shared" si="1"/>
        <v>32.742037936813055</v>
      </c>
      <c r="CJ45" s="15">
        <f t="shared" si="28"/>
        <v>34.06</v>
      </c>
      <c r="CK45" s="35">
        <f t="shared" si="2"/>
        <v>35.377962063186949</v>
      </c>
      <c r="CM45" s="14"/>
      <c r="CN45" s="17">
        <f t="shared" si="3"/>
        <v>19.64</v>
      </c>
      <c r="CO45" s="17">
        <f t="shared" si="4"/>
        <v>25.92</v>
      </c>
      <c r="CP45" s="17">
        <f t="shared" si="5"/>
        <v>30.21</v>
      </c>
      <c r="CQ45" s="38">
        <f t="shared" si="29"/>
        <v>36.49</v>
      </c>
      <c r="CR45" s="17">
        <f t="shared" si="6"/>
        <v>40.78</v>
      </c>
      <c r="CS45" s="17">
        <f t="shared" si="7"/>
        <v>47.06</v>
      </c>
      <c r="CT45" s="17">
        <f t="shared" si="8"/>
        <v>51.35</v>
      </c>
      <c r="CU45" s="2" cm="1">
        <f t="array" aca="1" ref="CU45" ca="1">MAX(_xlfn._xlws.FILTER(CN45:CT45,CN45:CT45&lt;BP45))</f>
        <v>30.21</v>
      </c>
      <c r="CV45" s="2" cm="1">
        <f t="array" aca="1" ref="CV45" ca="1">MIN(_xlfn._xlws.FILTER($CN45:$CT45,$CN45:$CT45&gt;BP45))</f>
        <v>36.49</v>
      </c>
      <c r="CW45" s="16">
        <f t="shared" ca="1" si="63"/>
        <v>0.20787818603111563</v>
      </c>
      <c r="CX45" s="20">
        <f t="shared" ca="1" si="64"/>
        <v>-0.10393909301555782</v>
      </c>
      <c r="CY45" s="20">
        <f t="shared" ca="1" si="65"/>
        <v>-6.9292728677038548E-2</v>
      </c>
      <c r="CZ45" s="20">
        <f t="shared" ca="1" si="66"/>
        <v>-4.1575637206223127E-2</v>
      </c>
      <c r="DA45" s="20">
        <f t="shared" ca="1" si="67"/>
        <v>-2.3097576225679515E-2</v>
      </c>
      <c r="DB45" s="20">
        <f t="shared" ca="1" si="68"/>
        <v>-1.2228128590065626E-2</v>
      </c>
      <c r="DC45" s="20">
        <f t="shared" ca="1" si="69"/>
        <v>-6.2993389706398678E-3</v>
      </c>
      <c r="DD45" s="20">
        <f t="shared" ca="1" si="70"/>
        <v>-3.1981259389402407E-3</v>
      </c>
      <c r="DE45" s="21">
        <f t="shared" ca="1" si="71"/>
        <v>3.1981259389402407E-3</v>
      </c>
      <c r="DF45" s="21">
        <f t="shared" ca="1" si="72"/>
        <v>6.2993389706398678E-3</v>
      </c>
      <c r="DG45" s="21">
        <f t="shared" ca="1" si="73"/>
        <v>1.2228128590065626E-2</v>
      </c>
      <c r="DH45" s="21">
        <f t="shared" ca="1" si="74"/>
        <v>2.3097576225679515E-2</v>
      </c>
      <c r="DI45" s="21">
        <f t="shared" ca="1" si="75"/>
        <v>4.1575637206223127E-2</v>
      </c>
      <c r="DJ45" s="21">
        <f t="shared" ca="1" si="76"/>
        <v>6.9292728677038548E-2</v>
      </c>
      <c r="DK45" s="21">
        <f t="shared" ca="1" si="77"/>
        <v>0.10393909301555782</v>
      </c>
      <c r="DM45" s="16" cm="1">
        <f t="array" aca="1" ref="DM45" ca="1">MAX(_xlfn._xlws.FILTER(CX45:DK45,CX45:DK45&lt;BV45))</f>
        <v>-2.3097576225679515E-2</v>
      </c>
      <c r="DN45" s="16" cm="1">
        <f t="array" aca="1" ref="DN45" ca="1">MIN(_xlfn._xlws.FILTER(CX45:DK45,CX45:DK45&gt;BV45))</f>
        <v>-1.2228128590065626E-2</v>
      </c>
      <c r="DO45" s="2" cm="1">
        <f t="array" aca="1" ref="DO45" ca="1">_FV(ED45,"Fechamento anterior",TRUE)</f>
        <v>33.380000000000003</v>
      </c>
      <c r="DP45" s="28">
        <f t="shared" ca="1" si="15"/>
        <v>0.49885898197936518</v>
      </c>
      <c r="DQ45" s="15">
        <f t="shared" ca="1" si="78"/>
        <v>32.60900290558682</v>
      </c>
      <c r="DR45" s="15">
        <f t="shared" ca="1" si="79"/>
        <v>32.971825067663609</v>
      </c>
      <c r="DS45" s="9"/>
      <c r="DT45" s="9"/>
      <c r="DU45" s="9"/>
      <c r="DV45" s="89">
        <v>6.3962518778804813E-3</v>
      </c>
      <c r="DW45" s="89">
        <f t="shared" ca="1" si="18"/>
        <v>1.0869447635613889E-2</v>
      </c>
      <c r="DX45" s="72">
        <f t="shared" ca="1" si="19"/>
        <v>-0.96360891976589425</v>
      </c>
      <c r="DY45" s="37"/>
      <c r="DZ45" s="35">
        <f t="shared" si="39"/>
        <v>0.65898103159347454</v>
      </c>
      <c r="EA45" s="56"/>
      <c r="EB45" s="56"/>
      <c r="ED45" s="2" t="e" vm="45">
        <v>#VALUE!</v>
      </c>
      <c r="EF45" s="10" cm="1">
        <f t="array" aca="1" ref="EF45" ca="1">_FV(ED45,"Ações em circulação",TRUE)</f>
        <v>2000000000</v>
      </c>
      <c r="EG45" s="18">
        <f>VLOOKUP(BQ45,Fundamentus!A:U,5,FALSE)</f>
        <v>0</v>
      </c>
      <c r="EH45" s="2" t="e">
        <f t="shared" ca="1" si="20"/>
        <v>#DIV/0!</v>
      </c>
      <c r="EI45" s="17" t="e">
        <v>#DIV/0!</v>
      </c>
      <c r="EJ45" s="17" t="e">
        <f t="shared" ca="1" si="21"/>
        <v>#DIV/0!</v>
      </c>
      <c r="EL45" s="16" t="e">
        <f t="shared" ca="1" si="22"/>
        <v>#DIV/0!</v>
      </c>
      <c r="EM45" s="32" t="str">
        <f>IF(VLOOKUP(BQ45,Fundamentus!A:U,3,FALSE)&lt;15,"Bom",IF(VLOOKUP(BQ45,Fundamentus!A:U,3,FALSE)&gt;15,"Ruim","n/a"))</f>
        <v>Bom</v>
      </c>
      <c r="EN45" s="28" t="str">
        <f>IF(VLOOKUP(BQ45,Fundamentus!A:U,4,FALSE)&lt;1,"Baixo",IF(VLOOKUP(BQ45,Fundamentus!A:U,4,FALSE)&lt;1.5,"Moderado",IF(VLOOKUP(BQ45,Fundamentus!A:U,4,FALSE)&gt;1.5,"Alto","n/a")))</f>
        <v>Alto</v>
      </c>
      <c r="EO45" s="17" t="str">
        <f>IF(VLOOKUP(BQ45,Fundamentus!A:U,8,FALSE)&lt;0,"Risco elevado",IF(VLOOKUP(BQ45,Fundamentus!A:U,8,FALSE)&lt;1,"Saudável",IF(VLOOKUP(BQ45,Fundamentus!A:U,8,FALSE)&lt;3,"Estável",IF(VLOOKUP(BQ45,Fundamentus!A:U,8,FALSE)&gt;3,"Alerta","n/a"))))</f>
        <v>Saudável</v>
      </c>
      <c r="EP45" s="28" t="str">
        <f t="shared" si="23"/>
        <v>Ruim</v>
      </c>
      <c r="EQ45" s="17" t="str">
        <f>IF(VLOOKUP(BQ45,Fundamentus!A:U,12,FALSE)&lt;2,"Subvalorizada",IF(VLOOKUP(BQ45,Fundamentus!A:U,12,FALSE)&lt;6,"Muita barata",IF(VLOOKUP(BQ45,Fundamentus!A:U,12,FALSE)&lt;6,"Barata",IF(VLOOKUP(BQ45,Fundamentus!A:U,12,FALSE)&lt;8,"Atrativa",IF(VLOOKUP(BQ45,Fundamentus!A:U,12,FALSE)&gt;8,"Supervalorizada","n/a")))))</f>
        <v>Subvalorizada</v>
      </c>
      <c r="ES45" s="17" t="str">
        <f>IF(VLOOKUP(BQ45,Fundamentus!A:U,17,FALSE)&lt;0.1,"Fraco retorno",IF(VLOOKUP(BQ45,Fundamentus!A:U,17,FALSE)&gt;0.1,"Bom retorno","n/a"))</f>
        <v>Bom retorno</v>
      </c>
      <c r="ET45" s="17" t="str">
        <f>IF(VLOOKUP(BQ45,Fundamentus!A:U,16,FALSE)&lt;0.1,"Ineficiente",IF(VLOOKUP(BQ45,Fundamentus!A:U,16,FALSE)&gt;0.1,"Eficiente","n/a"))</f>
        <v>Ineficiente</v>
      </c>
      <c r="EU45" s="33" t="str">
        <f>IF(VLOOKUP(BQ45,Fundamentus!A:U,16,FALSE)&lt;0.1,"Oper. Ineficiente",IF(VLOOKUP(BQ45,Fundamentus!A:U,16,FALSE)&gt;0.1,"Oper.Eficiente","n/a"))</f>
        <v>Oper. Ineficiente</v>
      </c>
      <c r="EV45" s="34">
        <f>VLOOKUP(BQ45,Fundamentus!A:U,14,FALSE)</f>
        <v>0</v>
      </c>
      <c r="EW45" s="17" t="str">
        <f>IF(VLOOKUP(BQ45,Fundamentus!A:U,21,FALSE)&lt;0,"Negativo",IF(VLOOKUP(BQ45,Fundamentus!A:U,21,FALSE)&lt;0.05,"Fraco",IF(VLOOKUP(BQ45,Fundamentus!A:U,21,FALSE)&lt;0.1,"Bom",IF(VLOOKUP(BQ45,Fundamentus!A:U,21,FALSE)&gt;0.1,"Muito bom","n/a"))))</f>
        <v>Fraco</v>
      </c>
      <c r="EY45" s="29" t="str">
        <f>IF(VLOOKUP(BQ45,Fundamentus!A:U,15,FALSE)&gt;1,"Bom",IF(VLOOKUP(BQ45,Fundamentus!A:U,15,FALSE)&lt;1,"Ruim","n/a"))</f>
        <v>Ruim</v>
      </c>
      <c r="EZ45" s="17" t="str">
        <f>IF(VLOOKUP(BQ45,Fundamentus!A:U,20,FALSE)&lt;0.5,"Baixa",IF(VLOOKUP(BQ45,Fundamentus!A:U,20,FALSE)&lt;1,"Moderada",IF(VLOOKUP(BQ45,Fundamentus!A:U,20,FALSE)&lt;2,"Alerta",IF(VLOOKUP(BQ45,Fundamentus!A:U,20,FALSE)&gt;2,"Alta","n/a"))))</f>
        <v>Baixa</v>
      </c>
    </row>
    <row r="46" spans="1:156" s="2" customFormat="1" ht="11.25" hidden="1" x14ac:dyDescent="0.2">
      <c r="A46" s="4">
        <v>11.34</v>
      </c>
      <c r="B46" s="4">
        <v>11.25</v>
      </c>
      <c r="C46" s="4">
        <v>11.46</v>
      </c>
      <c r="D46" s="4">
        <v>10.96</v>
      </c>
      <c r="E46" s="4">
        <v>10.85</v>
      </c>
      <c r="F46" s="4">
        <v>10.26</v>
      </c>
      <c r="G46" s="4">
        <v>10.199999999999999</v>
      </c>
      <c r="H46" s="4">
        <v>10.43</v>
      </c>
      <c r="I46" s="4">
        <v>10.7</v>
      </c>
      <c r="J46" s="4">
        <v>10.8</v>
      </c>
      <c r="K46" s="4">
        <v>10.85</v>
      </c>
      <c r="L46" s="4">
        <v>11.11</v>
      </c>
      <c r="M46" s="4">
        <v>10.71</v>
      </c>
      <c r="N46" s="4">
        <v>10.41</v>
      </c>
      <c r="O46" s="4">
        <v>10.33</v>
      </c>
      <c r="P46" s="4">
        <v>10.33</v>
      </c>
      <c r="Q46" s="4">
        <v>10.72</v>
      </c>
      <c r="R46" s="4">
        <v>10.55</v>
      </c>
      <c r="S46" s="4">
        <v>10.73</v>
      </c>
      <c r="T46" s="4">
        <v>10.88</v>
      </c>
      <c r="U46" s="4">
        <v>10.69</v>
      </c>
      <c r="V46" s="4">
        <v>10.76</v>
      </c>
      <c r="W46" s="4">
        <v>10.48</v>
      </c>
      <c r="X46" s="4">
        <v>10.28</v>
      </c>
      <c r="Y46" s="4">
        <v>10.11</v>
      </c>
      <c r="Z46" s="4">
        <v>10.06</v>
      </c>
      <c r="AA46" s="4">
        <v>10.01</v>
      </c>
      <c r="AB46" s="4">
        <v>10.95</v>
      </c>
      <c r="AC46" s="4">
        <v>10.51</v>
      </c>
      <c r="AD46" s="4">
        <v>10.96</v>
      </c>
      <c r="AE46" s="4">
        <v>11.38</v>
      </c>
      <c r="AF46" s="4">
        <v>11.45</v>
      </c>
      <c r="AG46" s="4">
        <v>11.29</v>
      </c>
      <c r="AH46" s="4">
        <v>10.62</v>
      </c>
      <c r="AI46" s="4">
        <v>10.4</v>
      </c>
      <c r="AJ46" s="4">
        <v>9.94</v>
      </c>
      <c r="AK46" s="4">
        <v>9.6</v>
      </c>
      <c r="AL46" s="4">
        <v>9.77</v>
      </c>
      <c r="AM46" s="4">
        <v>9.8699999999999992</v>
      </c>
      <c r="AN46" s="4">
        <v>9.7899999999999991</v>
      </c>
      <c r="AO46" s="4">
        <v>9.64</v>
      </c>
      <c r="AP46" s="4">
        <v>9.6999999999999993</v>
      </c>
      <c r="AQ46" s="4">
        <v>9.18</v>
      </c>
      <c r="AR46" s="4">
        <v>9.33</v>
      </c>
      <c r="AS46" s="4">
        <v>9.4</v>
      </c>
      <c r="AT46" s="4">
        <v>9.61</v>
      </c>
      <c r="AU46" s="4">
        <v>9.5749999999999993</v>
      </c>
      <c r="AV46" s="4">
        <v>9.5</v>
      </c>
      <c r="AW46" s="4">
        <v>8.61</v>
      </c>
      <c r="AX46" s="4">
        <v>8.5</v>
      </c>
      <c r="AY46" s="12">
        <v>8.6199999999999992</v>
      </c>
      <c r="AZ46" s="12">
        <v>8.67</v>
      </c>
      <c r="BA46" s="12">
        <v>8.67</v>
      </c>
      <c r="BB46" s="15">
        <v>8.6</v>
      </c>
      <c r="BC46" s="52">
        <v>8.81</v>
      </c>
      <c r="BD46" s="52">
        <v>8.7200000000000006</v>
      </c>
      <c r="BE46" s="52">
        <v>8.57</v>
      </c>
      <c r="BF46" s="52">
        <v>9.25</v>
      </c>
      <c r="BG46" s="67">
        <v>9.2200000000000006</v>
      </c>
      <c r="BH46" s="52">
        <v>9.2799999999999994</v>
      </c>
      <c r="BI46" s="52">
        <v>8.86</v>
      </c>
      <c r="BJ46" s="52">
        <v>9.39</v>
      </c>
      <c r="BK46" s="52">
        <v>9.31</v>
      </c>
      <c r="BL46" s="52">
        <v>9</v>
      </c>
      <c r="BM46" s="52">
        <v>9.52</v>
      </c>
      <c r="BN46" s="52">
        <v>9.09</v>
      </c>
      <c r="BO46" s="52">
        <v>9.15</v>
      </c>
      <c r="BP46" s="52" cm="1">
        <f t="array" aca="1" ref="BP46" ca="1">_FV(ED46,"Preço")</f>
        <v>9.01</v>
      </c>
      <c r="BQ46" s="69" t="s">
        <v>43</v>
      </c>
      <c r="BR46" s="36" cm="1">
        <f t="array" aca="1" ref="BR46" ca="1">_FV(ED46,"Média de volume",TRUE)</f>
        <v>7424690</v>
      </c>
      <c r="BS46" s="36">
        <v>35400</v>
      </c>
      <c r="BT46" s="36" cm="1">
        <f t="array" aca="1" ref="BT46" ca="1">_FV(ED46,"Volume")</f>
        <v>66400</v>
      </c>
      <c r="BU46" s="24" cm="1">
        <f t="array" aca="1" ref="BU46" ca="1">_FV(ED46,"Beta")</f>
        <v>0.68500000000000005</v>
      </c>
      <c r="BV46" s="71" cm="1">
        <f t="array" aca="1" ref="BV46" ca="1">_FV(ED46,"Variação (%)",TRUE)</f>
        <v>-1.3143E-2</v>
      </c>
      <c r="BX46" s="17" cm="1">
        <f t="array" aca="1" ref="BX46" ca="1">_FV(ED46,"Baixo")</f>
        <v>8.89</v>
      </c>
      <c r="BY46" s="17" cm="1">
        <f t="array" aca="1" ref="BY46" ca="1">_FV(ED46,"Alto")</f>
        <v>9.16</v>
      </c>
      <c r="BZ46" s="24"/>
      <c r="CA46" s="63">
        <f ca="1">SQRT(22.5*(BP46/VLOOKUP(BQ46,Fundamentus!A:U,3,FALSE))*(BP46/VLOOKUP(BQ46,Fundamentus!A:U,4,FALSE)))</f>
        <v>20.819427569206717</v>
      </c>
      <c r="CC46" s="62">
        <f t="shared" ca="1" si="24"/>
        <v>-1.5300546448087492E-2</v>
      </c>
      <c r="CD46" s="8"/>
      <c r="CE46" s="61">
        <f t="shared" si="25"/>
        <v>8.5</v>
      </c>
      <c r="CF46" s="61">
        <f t="shared" si="26"/>
        <v>11.46</v>
      </c>
      <c r="CG46" s="61">
        <f t="shared" si="27"/>
        <v>9.9935074626865639</v>
      </c>
      <c r="CH46" s="14"/>
      <c r="CI46" s="35">
        <f t="shared" si="1"/>
        <v>8.8282630370415323</v>
      </c>
      <c r="CJ46" s="15">
        <f t="shared" si="28"/>
        <v>9.1949999999999985</v>
      </c>
      <c r="CK46" s="35">
        <f t="shared" si="2"/>
        <v>9.5617369629584648</v>
      </c>
      <c r="CM46" s="14"/>
      <c r="CN46" s="17">
        <f t="shared" si="3"/>
        <v>4.9866666666666646</v>
      </c>
      <c r="CO46" s="17">
        <f t="shared" si="4"/>
        <v>6.7433333333333323</v>
      </c>
      <c r="CP46" s="17">
        <f t="shared" si="5"/>
        <v>7.9466666666666654</v>
      </c>
      <c r="CQ46" s="38">
        <f t="shared" si="29"/>
        <v>9.7033333333333331</v>
      </c>
      <c r="CR46" s="17">
        <f t="shared" si="6"/>
        <v>10.906666666666666</v>
      </c>
      <c r="CS46" s="17">
        <f t="shared" si="7"/>
        <v>12.663333333333334</v>
      </c>
      <c r="CT46" s="17">
        <f t="shared" si="8"/>
        <v>13.866666666666667</v>
      </c>
      <c r="CU46" s="2" cm="1">
        <f t="array" aca="1" ref="CU46" ca="1">MAX(_xlfn._xlws.FILTER(CN46:CT46,CN46:CT46&lt;BP46))</f>
        <v>7.9466666666666654</v>
      </c>
      <c r="CV46" s="2" cm="1">
        <f t="array" aca="1" ref="CV46" ca="1">MIN(_xlfn._xlws.FILTER($CN46:$CT46,$CN46:$CT46&gt;BP46))</f>
        <v>9.7033333333333331</v>
      </c>
      <c r="CW46" s="16">
        <f t="shared" ca="1" si="63"/>
        <v>0.22105704697986583</v>
      </c>
      <c r="CX46" s="20">
        <f t="shared" ca="1" si="64"/>
        <v>-0.11052852348993292</v>
      </c>
      <c r="CY46" s="20">
        <f t="shared" ca="1" si="65"/>
        <v>-7.368568232662194E-2</v>
      </c>
      <c r="CZ46" s="20">
        <f t="shared" ca="1" si="66"/>
        <v>-4.4211409395973164E-2</v>
      </c>
      <c r="DA46" s="20">
        <f t="shared" ca="1" si="67"/>
        <v>-2.456189410887398E-2</v>
      </c>
      <c r="DB46" s="20">
        <f t="shared" ca="1" si="68"/>
        <v>-1.300335570469799E-2</v>
      </c>
      <c r="DC46" s="20">
        <f t="shared" ca="1" si="69"/>
        <v>-6.6986983933292679E-3</v>
      </c>
      <c r="DD46" s="20">
        <f t="shared" ca="1" si="70"/>
        <v>-3.4008776458440896E-3</v>
      </c>
      <c r="DE46" s="21">
        <f t="shared" ca="1" si="71"/>
        <v>3.4008776458440896E-3</v>
      </c>
      <c r="DF46" s="21">
        <f t="shared" ca="1" si="72"/>
        <v>6.6986983933292679E-3</v>
      </c>
      <c r="DG46" s="21">
        <f t="shared" ca="1" si="73"/>
        <v>1.300335570469799E-2</v>
      </c>
      <c r="DH46" s="21">
        <f t="shared" ca="1" si="74"/>
        <v>2.456189410887398E-2</v>
      </c>
      <c r="DI46" s="21">
        <f t="shared" ca="1" si="75"/>
        <v>4.4211409395973164E-2</v>
      </c>
      <c r="DJ46" s="21">
        <f t="shared" ca="1" si="76"/>
        <v>7.368568232662194E-2</v>
      </c>
      <c r="DK46" s="21">
        <f t="shared" ca="1" si="77"/>
        <v>0.11052852348993292</v>
      </c>
      <c r="DM46" s="16" cm="1">
        <f t="array" aca="1" ref="DM46" ca="1">MAX(_xlfn._xlws.FILTER(CX46:DK46,CX46:DK46&lt;BV46))</f>
        <v>-2.456189410887398E-2</v>
      </c>
      <c r="DN46" s="16" cm="1">
        <f t="array" aca="1" ref="DN46" ca="1">MIN(_xlfn._xlws.FILTER(CX46:DK46,CX46:DK46&gt;BV46))</f>
        <v>-1.300335570469799E-2</v>
      </c>
      <c r="DO46" s="2" cm="1">
        <f t="array" aca="1" ref="DO46" ca="1">_FV(ED46,"Fechamento anterior",TRUE)</f>
        <v>9.1300000000000008</v>
      </c>
      <c r="DP46" s="28">
        <f t="shared" ca="1" si="15"/>
        <v>0.98787672684873762</v>
      </c>
      <c r="DQ46" s="15">
        <f t="shared" ca="1" si="78"/>
        <v>8.9057499067859816</v>
      </c>
      <c r="DR46" s="15">
        <f t="shared" ca="1" si="79"/>
        <v>9.0112793624161078</v>
      </c>
      <c r="DS46" s="9"/>
      <c r="DT46" s="9"/>
      <c r="DU46" s="9"/>
      <c r="DV46" s="89">
        <v>1.155853840417599E-2</v>
      </c>
      <c r="DW46" s="89">
        <f t="shared" ca="1" si="18"/>
        <v>1.155853840417599E-2</v>
      </c>
      <c r="DX46" s="72">
        <f t="shared" ca="1" si="19"/>
        <v>-0.50444874306534071</v>
      </c>
      <c r="DY46" s="37"/>
      <c r="DZ46" s="35">
        <f t="shared" si="39"/>
        <v>0.1833684814792334</v>
      </c>
      <c r="EA46" s="56"/>
      <c r="EB46" s="56"/>
      <c r="ED46" s="2" t="e" vm="46">
        <v>#VALUE!</v>
      </c>
      <c r="EF46" s="10" cm="1">
        <f t="array" aca="1" ref="EF46" ca="1">_FV(ED46,"Ações em circulação",TRUE)</f>
        <v>993705800</v>
      </c>
      <c r="EG46" s="18">
        <f>VLOOKUP(BQ46,Fundamentus!A:U,5,FALSE)</f>
        <v>0.14099999999999999</v>
      </c>
      <c r="EH46" s="2">
        <f t="shared" ca="1" si="20"/>
        <v>63498505375.886528</v>
      </c>
      <c r="EI46" s="17">
        <v>3133978951.7872343</v>
      </c>
      <c r="EJ46" s="17">
        <f t="shared" ca="1" si="21"/>
        <v>3086027361.268085</v>
      </c>
      <c r="EL46" s="16">
        <f t="shared" ca="1" si="22"/>
        <v>-1.5300546448087537E-2</v>
      </c>
      <c r="EM46" s="32" t="str">
        <f>IF(VLOOKUP(BQ46,Fundamentus!A:U,3,FALSE)&lt;15,"Bom",IF(VLOOKUP(BQ46,Fundamentus!A:U,3,FALSE)&gt;15,"Ruim","n/a"))</f>
        <v>Bom</v>
      </c>
      <c r="EN46" s="28" t="str">
        <f>IF(VLOOKUP(BQ46,Fundamentus!A:U,4,FALSE)&lt;1,"Baixo",IF(VLOOKUP(BQ46,Fundamentus!A:U,4,FALSE)&lt;1.5,"Moderado",IF(VLOOKUP(BQ46,Fundamentus!A:U,4,FALSE)&gt;1.5,"Alto","n/a")))</f>
        <v>Baixo</v>
      </c>
      <c r="EO46" s="17" t="str">
        <f>IF(VLOOKUP(BQ46,Fundamentus!A:U,8,FALSE)&lt;0,"Risco elevado",IF(VLOOKUP(BQ46,Fundamentus!A:U,8,FALSE)&lt;1,"Saudável",IF(VLOOKUP(BQ46,Fundamentus!A:U,8,FALSE)&lt;3,"Estável",IF(VLOOKUP(BQ46,Fundamentus!A:U,8,FALSE)&gt;3,"Alerta","n/a"))))</f>
        <v>Saudável</v>
      </c>
      <c r="EP46" s="28" t="str">
        <f t="shared" si="23"/>
        <v>Ruim</v>
      </c>
      <c r="EQ46" s="17" t="str">
        <f>IF(VLOOKUP(BQ46,Fundamentus!A:U,12,FALSE)&lt;2,"Subvalorizada",IF(VLOOKUP(BQ46,Fundamentus!A:U,12,FALSE)&lt;6,"Muita barata",IF(VLOOKUP(BQ46,Fundamentus!A:U,12,FALSE)&lt;6,"Barata",IF(VLOOKUP(BQ46,Fundamentus!A:U,12,FALSE)&lt;8,"Atrativa",IF(VLOOKUP(BQ46,Fundamentus!A:U,12,FALSE)&gt;8,"Supervalorizada","n/a")))))</f>
        <v>Subvalorizada</v>
      </c>
      <c r="ES46" s="17" t="str">
        <f>IF(VLOOKUP(BQ46,Fundamentus!A:U,17,FALSE)&lt;0.1,"Fraco retorno",IF(VLOOKUP(BQ46,Fundamentus!A:U,17,FALSE)&gt;0.1,"Bom retorno","n/a"))</f>
        <v>Fraco retorno</v>
      </c>
      <c r="ET46" s="17" t="str">
        <f>IF(VLOOKUP(BQ46,Fundamentus!A:U,16,FALSE)&lt;0.1,"Ineficiente",IF(VLOOKUP(BQ46,Fundamentus!A:U,16,FALSE)&gt;0.1,"Eficiente","n/a"))</f>
        <v>Ineficiente</v>
      </c>
      <c r="EU46" s="33" t="str">
        <f>IF(VLOOKUP(BQ46,Fundamentus!A:U,16,FALSE)&lt;0.1,"Oper. Ineficiente",IF(VLOOKUP(BQ46,Fundamentus!A:U,16,FALSE)&gt;0.1,"Oper.Eficiente","n/a"))</f>
        <v>Oper. Ineficiente</v>
      </c>
      <c r="EV46" s="34">
        <f>VLOOKUP(BQ46,Fundamentus!A:U,14,FALSE)</f>
        <v>4.8599999999999997E-2</v>
      </c>
      <c r="EW46" s="17" t="str">
        <f>IF(VLOOKUP(BQ46,Fundamentus!A:U,21,FALSE)&lt;0,"Negativo",IF(VLOOKUP(BQ46,Fundamentus!A:U,21,FALSE)&lt;0.05,"Fraco",IF(VLOOKUP(BQ46,Fundamentus!A:U,21,FALSE)&lt;0.1,"Bom",IF(VLOOKUP(BQ46,Fundamentus!A:U,21,FALSE)&gt;0.1,"Muito bom","n/a"))))</f>
        <v>Fraco</v>
      </c>
      <c r="EY46" s="29" t="str">
        <f>IF(VLOOKUP(BQ46,Fundamentus!A:U,15,FALSE)&gt;1,"Bom",IF(VLOOKUP(BQ46,Fundamentus!A:U,15,FALSE)&lt;1,"Ruim","n/a"))</f>
        <v>Bom</v>
      </c>
      <c r="EZ46" s="17" t="str">
        <f>IF(VLOOKUP(BQ46,Fundamentus!A:U,20,FALSE)&lt;0.5,"Baixa",IF(VLOOKUP(BQ46,Fundamentus!A:U,20,FALSE)&lt;1,"Moderada",IF(VLOOKUP(BQ46,Fundamentus!A:U,20,FALSE)&lt;2,"Alerta",IF(VLOOKUP(BQ46,Fundamentus!A:U,20,FALSE)&gt;2,"Alta","n/a"))))</f>
        <v>Moderada</v>
      </c>
    </row>
    <row r="47" spans="1:156" s="5" customFormat="1" ht="11.25" hidden="1" x14ac:dyDescent="0.2">
      <c r="A47" s="4">
        <v>32.200000000000003</v>
      </c>
      <c r="B47" s="4">
        <v>32.28</v>
      </c>
      <c r="C47" s="4">
        <v>33.229999999999997</v>
      </c>
      <c r="D47" s="4">
        <v>31.56</v>
      </c>
      <c r="E47" s="4">
        <v>31</v>
      </c>
      <c r="F47" s="4">
        <v>31.45</v>
      </c>
      <c r="G47" s="4">
        <v>31.14</v>
      </c>
      <c r="H47" s="4">
        <v>31.88</v>
      </c>
      <c r="I47" s="4">
        <v>32.270000000000003</v>
      </c>
      <c r="J47" s="4">
        <v>32.93</v>
      </c>
      <c r="K47" s="4">
        <v>33.46</v>
      </c>
      <c r="L47" s="4">
        <v>34.26</v>
      </c>
      <c r="M47" s="4">
        <v>34.24</v>
      </c>
      <c r="N47" s="4">
        <v>32.950000000000003</v>
      </c>
      <c r="O47" s="4">
        <v>34.56</v>
      </c>
      <c r="P47" s="4">
        <v>36.89</v>
      </c>
      <c r="Q47" s="4">
        <v>36.46</v>
      </c>
      <c r="R47" s="4">
        <v>36.700000000000003</v>
      </c>
      <c r="S47" s="4">
        <v>36.950000000000003</v>
      </c>
      <c r="T47" s="4">
        <v>37.01</v>
      </c>
      <c r="U47" s="4">
        <v>35.93</v>
      </c>
      <c r="V47" s="4">
        <v>36.76</v>
      </c>
      <c r="W47" s="4">
        <v>34.909999999999997</v>
      </c>
      <c r="X47" s="4">
        <v>34.630000000000003</v>
      </c>
      <c r="Y47" s="4">
        <v>35.1</v>
      </c>
      <c r="Z47" s="4">
        <v>35.299999999999997</v>
      </c>
      <c r="AA47" s="4">
        <v>34.81</v>
      </c>
      <c r="AB47" s="4">
        <v>35.090000000000003</v>
      </c>
      <c r="AC47" s="4">
        <v>34.42</v>
      </c>
      <c r="AD47" s="4">
        <v>34.11</v>
      </c>
      <c r="AE47" s="4">
        <v>32.6</v>
      </c>
      <c r="AF47" s="4">
        <v>32.700000000000003</v>
      </c>
      <c r="AG47" s="4">
        <v>32.06</v>
      </c>
      <c r="AH47" s="4">
        <v>30.89</v>
      </c>
      <c r="AI47" s="4">
        <v>30.78</v>
      </c>
      <c r="AJ47" s="4">
        <v>29.82</v>
      </c>
      <c r="AK47" s="4">
        <v>30.64</v>
      </c>
      <c r="AL47" s="4">
        <v>32.35</v>
      </c>
      <c r="AM47" s="4">
        <v>32.46</v>
      </c>
      <c r="AN47" s="4">
        <v>33.81</v>
      </c>
      <c r="AO47" s="4">
        <v>33.92</v>
      </c>
      <c r="AP47" s="4">
        <v>34.770000000000003</v>
      </c>
      <c r="AQ47" s="4">
        <v>32.700000000000003</v>
      </c>
      <c r="AR47" s="4">
        <v>31.94</v>
      </c>
      <c r="AS47" s="4">
        <v>32.6</v>
      </c>
      <c r="AT47" s="4">
        <v>34.31</v>
      </c>
      <c r="AU47" s="4">
        <v>32.14</v>
      </c>
      <c r="AV47" s="4">
        <v>31.69</v>
      </c>
      <c r="AW47" s="4">
        <v>31.14</v>
      </c>
      <c r="AX47" s="4">
        <v>31.81</v>
      </c>
      <c r="AY47" s="12">
        <v>32.75</v>
      </c>
      <c r="AZ47" s="12">
        <v>34.619999999999997</v>
      </c>
      <c r="BA47" s="12">
        <v>35.58</v>
      </c>
      <c r="BB47" s="15">
        <v>35.32</v>
      </c>
      <c r="BC47" s="52">
        <v>37.68</v>
      </c>
      <c r="BD47" s="52">
        <v>37.72</v>
      </c>
      <c r="BE47" s="52">
        <v>37.43</v>
      </c>
      <c r="BF47" s="52">
        <v>36.58</v>
      </c>
      <c r="BG47" s="67">
        <v>36.17</v>
      </c>
      <c r="BH47" s="52">
        <v>36.64</v>
      </c>
      <c r="BI47" s="52">
        <v>36.270000000000003</v>
      </c>
      <c r="BJ47" s="52">
        <v>37.729999999999997</v>
      </c>
      <c r="BK47" s="52">
        <v>34.96</v>
      </c>
      <c r="BL47" s="52">
        <v>35.07</v>
      </c>
      <c r="BM47" s="52">
        <v>35.21</v>
      </c>
      <c r="BN47" s="52">
        <v>34.93</v>
      </c>
      <c r="BO47" s="52">
        <v>36.950000000000003</v>
      </c>
      <c r="BP47" s="52" cm="1">
        <f t="array" aca="1" ref="BP47" ca="1">_FV(ED47,"Preço")</f>
        <v>37.49</v>
      </c>
      <c r="BQ47" s="69" t="s">
        <v>44</v>
      </c>
      <c r="BR47" s="36" cm="1">
        <f t="array" aca="1" ref="BR47" ca="1">_FV(ED47,"Média de volume",TRUE)</f>
        <v>26180200</v>
      </c>
      <c r="BS47" s="36">
        <v>17795400</v>
      </c>
      <c r="BT47" s="36" cm="1">
        <f t="array" aca="1" ref="BT47" ca="1">_FV(ED47,"Volume")</f>
        <v>16990400</v>
      </c>
      <c r="BU47" s="24" cm="1">
        <f t="array" aca="1" ref="BU47" ca="1">_FV(ED47,"Beta")</f>
        <v>1.2503</v>
      </c>
      <c r="BV47" s="71" cm="1">
        <f t="array" aca="1" ref="BV47" ca="1">_FV(ED47,"Variação (%)",TRUE)</f>
        <v>-3.4560000000000003E-3</v>
      </c>
      <c r="BX47" s="17" cm="1">
        <f t="array" aca="1" ref="BX47" ca="1">_FV(ED47,"Baixo")</f>
        <v>37.35</v>
      </c>
      <c r="BY47" s="17" cm="1">
        <f t="array" aca="1" ref="BY47" ca="1">_FV(ED47,"Alto")</f>
        <v>37.83</v>
      </c>
      <c r="BZ47" s="24"/>
      <c r="CA47" s="63">
        <f ca="1">SQRT(22.5*(BP47/VLOOKUP(BQ47,Fundamentus!A:U,3,FALSE))*(BP47/VLOOKUP(BQ47,Fundamentus!A:U,4,FALSE)))</f>
        <v>40.701620241381164</v>
      </c>
      <c r="CC47" s="62">
        <f t="shared" ca="1" si="24"/>
        <v>1.4614343707713102E-2</v>
      </c>
      <c r="CD47" s="8"/>
      <c r="CE47" s="61">
        <f t="shared" si="25"/>
        <v>29.82</v>
      </c>
      <c r="CF47" s="61">
        <f t="shared" si="26"/>
        <v>37.729999999999997</v>
      </c>
      <c r="CG47" s="61">
        <f t="shared" si="27"/>
        <v>34.048059701492534</v>
      </c>
      <c r="CH47" s="14"/>
      <c r="CI47" s="35">
        <f t="shared" si="1"/>
        <v>35.34139803717801</v>
      </c>
      <c r="CJ47" s="15">
        <f t="shared" si="28"/>
        <v>36.880000000000109</v>
      </c>
      <c r="CK47" s="35">
        <f t="shared" si="2"/>
        <v>38.418601962822208</v>
      </c>
      <c r="CM47" s="14"/>
      <c r="CN47" s="17">
        <f t="shared" si="3"/>
        <v>24.026666666666678</v>
      </c>
      <c r="CO47" s="17">
        <f t="shared" si="4"/>
        <v>26.923333333333339</v>
      </c>
      <c r="CP47" s="17">
        <f t="shared" si="5"/>
        <v>31.936666666666675</v>
      </c>
      <c r="CQ47" s="38">
        <f t="shared" si="29"/>
        <v>34.833333333333336</v>
      </c>
      <c r="CR47" s="17">
        <f t="shared" si="6"/>
        <v>39.846666666666671</v>
      </c>
      <c r="CS47" s="17">
        <f t="shared" si="7"/>
        <v>42.743333333333332</v>
      </c>
      <c r="CT47" s="17">
        <f t="shared" si="8"/>
        <v>47.756666666666668</v>
      </c>
      <c r="CU47" s="2" cm="1">
        <f t="array" aca="1" ref="CU47" ca="1">MAX(_xlfn._xlws.FILTER(CN47:CT47,CN47:CT47&lt;BP47))</f>
        <v>34.833333333333336</v>
      </c>
      <c r="CV47" s="2" cm="1">
        <f t="array" aca="1" ref="CV47" ca="1">MIN(_xlfn._xlws.FILTER($CN47:$CT47,$CN47:$CT47&gt;BP47))</f>
        <v>39.846666666666671</v>
      </c>
      <c r="CW47" s="16">
        <f t="shared" ca="1" si="63"/>
        <v>0.14392344497607668</v>
      </c>
      <c r="CX47" s="20">
        <f t="shared" ca="1" si="64"/>
        <v>-7.1961722488038338E-2</v>
      </c>
      <c r="CY47" s="20">
        <f t="shared" ca="1" si="65"/>
        <v>-4.7974481658692225E-2</v>
      </c>
      <c r="CZ47" s="20">
        <f t="shared" ca="1" si="66"/>
        <v>-2.8784688995215336E-2</v>
      </c>
      <c r="DA47" s="20">
        <f t="shared" ca="1" si="67"/>
        <v>-1.5991493886230741E-2</v>
      </c>
      <c r="DB47" s="20">
        <f t="shared" ca="1" si="68"/>
        <v>-8.4660849985927454E-3</v>
      </c>
      <c r="DC47" s="20">
        <f t="shared" ca="1" si="69"/>
        <v>-4.3613165144265661E-3</v>
      </c>
      <c r="DD47" s="20">
        <f t="shared" ca="1" si="70"/>
        <v>-2.2142068457857949E-3</v>
      </c>
      <c r="DE47" s="21">
        <f t="shared" ca="1" si="71"/>
        <v>2.2142068457857949E-3</v>
      </c>
      <c r="DF47" s="21">
        <f t="shared" ca="1" si="72"/>
        <v>4.3613165144265661E-3</v>
      </c>
      <c r="DG47" s="21">
        <f t="shared" ca="1" si="73"/>
        <v>8.4660849985927454E-3</v>
      </c>
      <c r="DH47" s="21">
        <f t="shared" ca="1" si="74"/>
        <v>1.5991493886230741E-2</v>
      </c>
      <c r="DI47" s="21">
        <f t="shared" ca="1" si="75"/>
        <v>2.8784688995215336E-2</v>
      </c>
      <c r="DJ47" s="21">
        <f t="shared" ca="1" si="76"/>
        <v>4.7974481658692225E-2</v>
      </c>
      <c r="DK47" s="21">
        <f t="shared" ca="1" si="77"/>
        <v>7.1961722488038338E-2</v>
      </c>
      <c r="DM47" s="16" cm="1">
        <f t="array" aca="1" ref="DM47" ca="1">MAX(_xlfn._xlws.FILTER(CX47:DK47,CX47:DK47&lt;BV47))</f>
        <v>-4.3613165144265661E-3</v>
      </c>
      <c r="DN47" s="16" cm="1">
        <f t="array" aca="1" ref="DN47" ca="1">MIN(_xlfn._xlws.FILTER(CX47:DK47,CX47:DK47&gt;BV47))</f>
        <v>-2.2142068457857949E-3</v>
      </c>
      <c r="DO47" s="2" cm="1">
        <f t="array" aca="1" ref="DO47" ca="1">_FV(ED47,"Fechamento anterior",TRUE)</f>
        <v>37.619999999999997</v>
      </c>
      <c r="DP47" s="28">
        <f t="shared" ca="1" si="15"/>
        <v>0.42182651817379796</v>
      </c>
      <c r="DQ47" s="15">
        <f t="shared" ca="1" si="78"/>
        <v>37.455927272727273</v>
      </c>
      <c r="DR47" s="15">
        <f t="shared" ca="1" si="79"/>
        <v>37.536701538461536</v>
      </c>
      <c r="DS47" s="9"/>
      <c r="DT47" s="9"/>
      <c r="DU47" s="9"/>
      <c r="DV47" s="89">
        <v>4.1047684841661793E-3</v>
      </c>
      <c r="DW47" s="89">
        <f t="shared" ca="1" si="18"/>
        <v>2.1471096686407711E-3</v>
      </c>
      <c r="DX47" s="72">
        <f t="shared" ca="1" si="19"/>
        <v>0.39646381243465506</v>
      </c>
      <c r="DY47" s="37"/>
      <c r="DZ47" s="35">
        <f t="shared" si="39"/>
        <v>0.76930098141104786</v>
      </c>
      <c r="EA47" s="56"/>
      <c r="EB47" s="56"/>
      <c r="ED47" s="5" t="e" vm="47">
        <v>#VALUE!</v>
      </c>
      <c r="EF47" s="10" cm="1">
        <f t="array" aca="1" ref="EF47" ca="1">_FV(ED47,"Ações em circulação",TRUE)</f>
        <v>10784550000</v>
      </c>
      <c r="EG47" s="18">
        <f>VLOOKUP(BQ47,Fundamentus!A:U,5,FALSE)</f>
        <v>0</v>
      </c>
      <c r="EH47" s="2" t="e">
        <f t="shared" ca="1" si="20"/>
        <v>#DIV/0!</v>
      </c>
      <c r="EI47" s="17" t="e">
        <v>#DIV/0!</v>
      </c>
      <c r="EJ47" s="17" t="e">
        <f t="shared" ca="1" si="21"/>
        <v>#DIV/0!</v>
      </c>
      <c r="EK47" s="2"/>
      <c r="EL47" s="16" t="e">
        <f t="shared" ca="1" si="22"/>
        <v>#DIV/0!</v>
      </c>
      <c r="EM47" s="32" t="str">
        <f>IF(VLOOKUP(BQ47,Fundamentus!A:U,3,FALSE)&lt;15,"Bom",IF(VLOOKUP(BQ47,Fundamentus!A:U,3,FALSE)&gt;15,"Ruim","n/a"))</f>
        <v>Bom</v>
      </c>
      <c r="EN47" s="28" t="str">
        <f>IF(VLOOKUP(BQ47,Fundamentus!A:U,4,FALSE)&lt;1,"Baixo",IF(VLOOKUP(BQ47,Fundamentus!A:U,4,FALSE)&lt;1.5,"Moderado",IF(VLOOKUP(BQ47,Fundamentus!A:U,4,FALSE)&gt;1.5,"Alto","n/a")))</f>
        <v>Alto</v>
      </c>
      <c r="EO47" s="17" t="str">
        <f>IF(VLOOKUP(BQ47,Fundamentus!A:U,8,FALSE)&lt;0,"Risco elevado",IF(VLOOKUP(BQ47,Fundamentus!A:U,8,FALSE)&lt;1,"Saudável",IF(VLOOKUP(BQ47,Fundamentus!A:U,8,FALSE)&lt;3,"Estável",IF(VLOOKUP(BQ47,Fundamentus!A:U,8,FALSE)&gt;3,"Alerta","n/a"))))</f>
        <v>Saudável</v>
      </c>
      <c r="EP47" s="28" t="str">
        <f t="shared" si="23"/>
        <v>Ruim</v>
      </c>
      <c r="EQ47" s="17" t="str">
        <f>IF(VLOOKUP(BQ47,Fundamentus!A:U,12,FALSE)&lt;2,"Subvalorizada",IF(VLOOKUP(BQ47,Fundamentus!A:U,12,FALSE)&lt;6,"Muita barata",IF(VLOOKUP(BQ47,Fundamentus!A:U,12,FALSE)&lt;6,"Barata",IF(VLOOKUP(BQ47,Fundamentus!A:U,12,FALSE)&lt;8,"Atrativa",IF(VLOOKUP(BQ47,Fundamentus!A:U,12,FALSE)&gt;8,"Supervalorizada","n/a")))))</f>
        <v>Subvalorizada</v>
      </c>
      <c r="ER47" s="2"/>
      <c r="ES47" s="17" t="str">
        <f>IF(VLOOKUP(BQ47,Fundamentus!A:U,17,FALSE)&lt;0.1,"Fraco retorno",IF(VLOOKUP(BQ47,Fundamentus!A:U,17,FALSE)&gt;0.1,"Bom retorno","n/a"))</f>
        <v>Bom retorno</v>
      </c>
      <c r="ET47" s="17" t="str">
        <f>IF(VLOOKUP(BQ47,Fundamentus!A:U,16,FALSE)&lt;0.1,"Ineficiente",IF(VLOOKUP(BQ47,Fundamentus!A:U,16,FALSE)&gt;0.1,"Eficiente","n/a"))</f>
        <v>Ineficiente</v>
      </c>
      <c r="EU47" s="33" t="str">
        <f>IF(VLOOKUP(BQ47,Fundamentus!A:U,16,FALSE)&lt;0.1,"Oper. Ineficiente",IF(VLOOKUP(BQ47,Fundamentus!A:U,16,FALSE)&gt;0.1,"Oper.Eficiente","n/a"))</f>
        <v>Oper. Ineficiente</v>
      </c>
      <c r="EV47" s="34">
        <f>VLOOKUP(BQ47,Fundamentus!A:U,14,FALSE)</f>
        <v>0</v>
      </c>
      <c r="EW47" s="17" t="str">
        <f>IF(VLOOKUP(BQ47,Fundamentus!A:U,21,FALSE)&lt;0,"Negativo",IF(VLOOKUP(BQ47,Fundamentus!A:U,21,FALSE)&lt;0.05,"Fraco",IF(VLOOKUP(BQ47,Fundamentus!A:U,21,FALSE)&lt;0.1,"Bom",IF(VLOOKUP(BQ47,Fundamentus!A:U,21,FALSE)&gt;0.1,"Muito bom","n/a"))))</f>
        <v>Muito bom</v>
      </c>
      <c r="EY47" s="29" t="str">
        <f>IF(VLOOKUP(BQ47,Fundamentus!A:U,15,FALSE)&gt;1,"Bom",IF(VLOOKUP(BQ47,Fundamentus!A:U,15,FALSE)&lt;1,"Ruim","n/a"))</f>
        <v>Ruim</v>
      </c>
      <c r="EZ47" s="17" t="str">
        <f>IF(VLOOKUP(BQ47,Fundamentus!A:U,20,FALSE)&lt;0.5,"Baixa",IF(VLOOKUP(BQ47,Fundamentus!A:U,20,FALSE)&lt;1,"Moderada",IF(VLOOKUP(BQ47,Fundamentus!A:U,20,FALSE)&lt;2,"Alerta",IF(VLOOKUP(BQ47,Fundamentus!A:U,20,FALSE)&gt;2,"Alta","n/a"))))</f>
        <v>Baixa</v>
      </c>
    </row>
    <row r="48" spans="1:156" s="2" customFormat="1" ht="11.25" hidden="1" x14ac:dyDescent="0.2">
      <c r="A48" s="4">
        <v>25.67</v>
      </c>
      <c r="B48" s="4">
        <v>25.7</v>
      </c>
      <c r="C48" s="4">
        <v>25.37</v>
      </c>
      <c r="D48" s="4">
        <v>25.34</v>
      </c>
      <c r="E48" s="4">
        <v>25.29</v>
      </c>
      <c r="F48" s="4">
        <v>24.85</v>
      </c>
      <c r="G48" s="4">
        <v>25.54</v>
      </c>
      <c r="H48" s="4">
        <v>25.43</v>
      </c>
      <c r="I48" s="4">
        <v>25.64</v>
      </c>
      <c r="J48" s="4">
        <v>27.06</v>
      </c>
      <c r="K48" s="4">
        <v>27.19</v>
      </c>
      <c r="L48" s="4">
        <v>27.87</v>
      </c>
      <c r="M48" s="4">
        <v>26.66</v>
      </c>
      <c r="N48" s="4">
        <v>25.65</v>
      </c>
      <c r="O48" s="4">
        <v>26.13</v>
      </c>
      <c r="P48" s="4">
        <v>25.95</v>
      </c>
      <c r="Q48" s="4">
        <v>25.9</v>
      </c>
      <c r="R48" s="4">
        <v>25.91</v>
      </c>
      <c r="S48" s="4">
        <v>26.54</v>
      </c>
      <c r="T48" s="4">
        <v>26.62</v>
      </c>
      <c r="U48" s="4">
        <v>24.83</v>
      </c>
      <c r="V48" s="4">
        <v>25.58</v>
      </c>
      <c r="W48" s="4">
        <v>25.15</v>
      </c>
      <c r="X48" s="4">
        <v>24.74</v>
      </c>
      <c r="Y48" s="4">
        <v>24.59</v>
      </c>
      <c r="Z48" s="4">
        <v>23.53</v>
      </c>
      <c r="AA48" s="4">
        <v>23.5</v>
      </c>
      <c r="AB48" s="4">
        <v>23.85</v>
      </c>
      <c r="AC48" s="4">
        <v>23.92</v>
      </c>
      <c r="AD48" s="4">
        <v>24</v>
      </c>
      <c r="AE48" s="4">
        <v>23.63</v>
      </c>
      <c r="AF48" s="4">
        <v>23.05</v>
      </c>
      <c r="AG48" s="4">
        <v>23.47</v>
      </c>
      <c r="AH48" s="4">
        <v>22.55</v>
      </c>
      <c r="AI48" s="4">
        <v>22.29</v>
      </c>
      <c r="AJ48" s="4">
        <v>22.23</v>
      </c>
      <c r="AK48" s="4">
        <v>22.18</v>
      </c>
      <c r="AL48" s="4">
        <v>22.43</v>
      </c>
      <c r="AM48" s="4">
        <v>22.22</v>
      </c>
      <c r="AN48" s="4">
        <v>22.67</v>
      </c>
      <c r="AO48" s="4">
        <v>22.01</v>
      </c>
      <c r="AP48" s="4">
        <v>21.82</v>
      </c>
      <c r="AQ48" s="4">
        <v>20.98</v>
      </c>
      <c r="AR48" s="4">
        <v>20.77</v>
      </c>
      <c r="AS48" s="4">
        <v>21.47</v>
      </c>
      <c r="AT48" s="4">
        <v>21.41</v>
      </c>
      <c r="AU48" s="4">
        <v>22.21</v>
      </c>
      <c r="AV48" s="4">
        <v>22.01</v>
      </c>
      <c r="AW48" s="4">
        <v>22.39</v>
      </c>
      <c r="AX48" s="4">
        <v>22.04</v>
      </c>
      <c r="AY48" s="12">
        <v>21.18</v>
      </c>
      <c r="AZ48" s="12">
        <v>21.56</v>
      </c>
      <c r="BA48" s="12">
        <v>21.18</v>
      </c>
      <c r="BB48" s="15">
        <v>20.27</v>
      </c>
      <c r="BC48" s="52">
        <v>21.41</v>
      </c>
      <c r="BD48" s="52">
        <v>21.3</v>
      </c>
      <c r="BE48" s="52">
        <v>21.02</v>
      </c>
      <c r="BF48" s="52">
        <v>21.25</v>
      </c>
      <c r="BG48" s="67">
        <v>20.82</v>
      </c>
      <c r="BH48" s="52">
        <v>20.76</v>
      </c>
      <c r="BI48" s="52">
        <v>20.05</v>
      </c>
      <c r="BJ48" s="52">
        <v>20.68</v>
      </c>
      <c r="BK48" s="52">
        <v>20.8</v>
      </c>
      <c r="BL48" s="52">
        <v>20.49</v>
      </c>
      <c r="BM48" s="52">
        <v>20.32</v>
      </c>
      <c r="BN48" s="52">
        <v>20.48</v>
      </c>
      <c r="BO48" s="52">
        <v>20.34</v>
      </c>
      <c r="BP48" s="52" cm="1">
        <f t="array" aca="1" ref="BP48" ca="1">_FV(ED48,"Preço")</f>
        <v>20.21</v>
      </c>
      <c r="BQ48" s="69" t="s">
        <v>45</v>
      </c>
      <c r="BR48" s="36" cm="1">
        <f t="array" aca="1" ref="BR48" ca="1">_FV(ED48,"Média de volume",TRUE)</f>
        <v>119310</v>
      </c>
      <c r="BS48" s="36">
        <v>91700</v>
      </c>
      <c r="BT48" s="36" cm="1">
        <f t="array" aca="1" ref="BT48" ca="1">_FV(ED48,"Volume")</f>
        <v>85600</v>
      </c>
      <c r="BU48" s="24" cm="1">
        <f t="array" aca="1" ref="BU48" ca="1">_FV(ED48,"Beta")</f>
        <v>0.67430000000000001</v>
      </c>
      <c r="BV48" s="71" cm="1">
        <f t="array" aca="1" ref="BV48" ca="1">_FV(ED48,"Variação (%)",TRUE)</f>
        <v>4.95E-4</v>
      </c>
      <c r="BX48" s="17" cm="1">
        <f t="array" aca="1" ref="BX48" ca="1">_FV(ED48,"Baixo")</f>
        <v>20.100000000000001</v>
      </c>
      <c r="BY48" s="17" cm="1">
        <f t="array" aca="1" ref="BY48" ca="1">_FV(ED48,"Alto")</f>
        <v>20.329999999999998</v>
      </c>
      <c r="BZ48" s="24"/>
      <c r="CA48" s="63">
        <f ca="1">SQRT(22.5*(BP48/VLOOKUP(BQ48,Fundamentus!A:U,3,FALSE))*(BP48/VLOOKUP(BQ48,Fundamentus!A:U,4,FALSE)))</f>
        <v>37.381511556631217</v>
      </c>
      <c r="CC48" s="62">
        <f t="shared" ca="1" si="24"/>
        <v>-6.3913470993116521E-3</v>
      </c>
      <c r="CD48" s="8"/>
      <c r="CE48" s="61">
        <f t="shared" si="25"/>
        <v>20.05</v>
      </c>
      <c r="CF48" s="61">
        <f t="shared" si="26"/>
        <v>27.87</v>
      </c>
      <c r="CG48" s="61">
        <f t="shared" si="27"/>
        <v>23.309552238805967</v>
      </c>
      <c r="CH48" s="14"/>
      <c r="CI48" s="35">
        <f t="shared" si="1"/>
        <v>19.991465431142636</v>
      </c>
      <c r="CJ48" s="15">
        <f t="shared" si="28"/>
        <v>20.33499999999998</v>
      </c>
      <c r="CK48" s="35">
        <f t="shared" si="2"/>
        <v>20.678534568857323</v>
      </c>
      <c r="CM48" s="14"/>
      <c r="CN48" s="17">
        <f t="shared" si="3"/>
        <v>9.8166666666666664</v>
      </c>
      <c r="CO48" s="17">
        <f t="shared" si="4"/>
        <v>14.933333333333334</v>
      </c>
      <c r="CP48" s="17">
        <f t="shared" si="5"/>
        <v>17.636666666666667</v>
      </c>
      <c r="CQ48" s="38">
        <f t="shared" si="29"/>
        <v>22.753333333333334</v>
      </c>
      <c r="CR48" s="17">
        <f t="shared" si="6"/>
        <v>25.456666666666667</v>
      </c>
      <c r="CS48" s="17">
        <f t="shared" si="7"/>
        <v>30.573333333333334</v>
      </c>
      <c r="CT48" s="17">
        <f t="shared" si="8"/>
        <v>33.276666666666671</v>
      </c>
      <c r="CU48" s="2" cm="1">
        <f t="array" aca="1" ref="CU48" ca="1">MAX(_xlfn._xlws.FILTER(CN48:CT48,CN48:CT48&lt;BP48))</f>
        <v>17.636666666666667</v>
      </c>
      <c r="CV48" s="2" cm="1">
        <f t="array" aca="1" ref="CV48" ca="1">MIN(_xlfn._xlws.FILTER($CN48:$CT48,$CN48:$CT48&gt;BP48))</f>
        <v>22.753333333333334</v>
      </c>
      <c r="CW48" s="16">
        <f t="shared" ca="1" si="63"/>
        <v>0.29011529011529014</v>
      </c>
      <c r="CX48" s="20">
        <f t="shared" ca="1" si="64"/>
        <v>-0.14505764505764507</v>
      </c>
      <c r="CY48" s="20">
        <f t="shared" ca="1" si="65"/>
        <v>-9.6705096705096708E-2</v>
      </c>
      <c r="CZ48" s="20">
        <f t="shared" ca="1" si="66"/>
        <v>-5.802305802305803E-2</v>
      </c>
      <c r="DA48" s="20">
        <f t="shared" ca="1" si="67"/>
        <v>-3.223503223503224E-2</v>
      </c>
      <c r="DB48" s="20">
        <f t="shared" ca="1" si="68"/>
        <v>-1.7065605300899421E-2</v>
      </c>
      <c r="DC48" s="20">
        <f t="shared" ca="1" si="69"/>
        <v>-8.791372427736064E-3</v>
      </c>
      <c r="DD48" s="20">
        <f t="shared" ca="1" si="70"/>
        <v>-4.4633121556198483E-3</v>
      </c>
      <c r="DE48" s="21">
        <f t="shared" ca="1" si="71"/>
        <v>4.4633121556198483E-3</v>
      </c>
      <c r="DF48" s="21">
        <f t="shared" ca="1" si="72"/>
        <v>8.791372427736064E-3</v>
      </c>
      <c r="DG48" s="21">
        <f t="shared" ca="1" si="73"/>
        <v>1.7065605300899421E-2</v>
      </c>
      <c r="DH48" s="21">
        <f t="shared" ca="1" si="74"/>
        <v>3.223503223503224E-2</v>
      </c>
      <c r="DI48" s="21">
        <f t="shared" ca="1" si="75"/>
        <v>5.802305802305803E-2</v>
      </c>
      <c r="DJ48" s="21">
        <f t="shared" ca="1" si="76"/>
        <v>9.6705096705096708E-2</v>
      </c>
      <c r="DK48" s="21">
        <f t="shared" ca="1" si="77"/>
        <v>0.14505764505764507</v>
      </c>
      <c r="DM48" s="16" cm="1">
        <f t="array" aca="1" ref="DM48" ca="1">MAX(_xlfn._xlws.FILTER(CX48:DK48,CX48:DK48&lt;BV48))</f>
        <v>-4.4633121556198483E-3</v>
      </c>
      <c r="DN48" s="16" cm="1">
        <f t="array" aca="1" ref="DN48" ca="1">MIN(_xlfn._xlws.FILTER(CX48:DK48,CX48:DK48&gt;BV48))</f>
        <v>4.4633121556198483E-3</v>
      </c>
      <c r="DO48" s="2" cm="1">
        <f t="array" aca="1" ref="DO48" ca="1">_FV(ED48,"Fechamento anterior",TRUE)</f>
        <v>20.2</v>
      </c>
      <c r="DP48" s="28">
        <f t="shared" ca="1" si="15"/>
        <v>0.55545763859774422</v>
      </c>
      <c r="DQ48" s="15">
        <f t="shared" ca="1" si="78"/>
        <v>20.109841094456478</v>
      </c>
      <c r="DR48" s="15">
        <f t="shared" ca="1" si="79"/>
        <v>20.290158905543521</v>
      </c>
      <c r="DS48" s="9"/>
      <c r="DT48" s="9"/>
      <c r="DU48" s="9"/>
      <c r="DV48" s="89">
        <v>8.274232873163357E-3</v>
      </c>
      <c r="DW48" s="89">
        <f t="shared" ca="1" si="18"/>
        <v>8.9266243112396965E-3</v>
      </c>
      <c r="DX48" s="72">
        <f t="shared" ca="1" si="19"/>
        <v>-0.3638644006504228</v>
      </c>
      <c r="DY48" s="37"/>
      <c r="DZ48" s="35">
        <f t="shared" si="39"/>
        <v>0.17176728442867134</v>
      </c>
      <c r="EA48" s="56"/>
      <c r="EB48" s="56"/>
      <c r="ED48" s="2" t="e" vm="48">
        <v>#VALUE!</v>
      </c>
      <c r="EF48" s="10" cm="1">
        <f t="array" aca="1" ref="EF48" ca="1">_FV(ED48,"Ações em circulação",TRUE)</f>
        <v>102683400</v>
      </c>
      <c r="EG48" s="18">
        <f>VLOOKUP(BQ48,Fundamentus!A:U,5,FALSE)</f>
        <v>1.548</v>
      </c>
      <c r="EH48" s="2">
        <f t="shared" ca="1" si="20"/>
        <v>1340588833.3333333</v>
      </c>
      <c r="EI48" s="17">
        <v>308294968.56976742</v>
      </c>
      <c r="EJ48" s="17">
        <f t="shared" ca="1" si="21"/>
        <v>306324548.41666669</v>
      </c>
      <c r="EL48" s="16">
        <f t="shared" ca="1" si="22"/>
        <v>-6.3913470993115507E-3</v>
      </c>
      <c r="EM48" s="32" t="str">
        <f>IF(VLOOKUP(BQ48,Fundamentus!A:U,3,FALSE)&lt;15,"Bom",IF(VLOOKUP(BQ48,Fundamentus!A:U,3,FALSE)&gt;15,"Ruim","n/a"))</f>
        <v>Bom</v>
      </c>
      <c r="EN48" s="28" t="str">
        <f>IF(VLOOKUP(BQ48,Fundamentus!A:U,4,FALSE)&lt;1,"Baixo",IF(VLOOKUP(BQ48,Fundamentus!A:U,4,FALSE)&lt;1.5,"Moderado",IF(VLOOKUP(BQ48,Fundamentus!A:U,4,FALSE)&gt;1.5,"Alto","n/a")))</f>
        <v>Baixo</v>
      </c>
      <c r="EO48" s="17" t="str">
        <f>IF(VLOOKUP(BQ48,Fundamentus!A:U,8,FALSE)&lt;0,"Risco elevado",IF(VLOOKUP(BQ48,Fundamentus!A:U,8,FALSE)&lt;1,"Saudável",IF(VLOOKUP(BQ48,Fundamentus!A:U,8,FALSE)&lt;3,"Estável",IF(VLOOKUP(BQ48,Fundamentus!A:U,8,FALSE)&gt;3,"Alerta","n/a"))))</f>
        <v>Alerta</v>
      </c>
      <c r="EP48" s="28" t="str">
        <f t="shared" si="23"/>
        <v>Bom</v>
      </c>
      <c r="EQ48" s="17" t="str">
        <f>IF(VLOOKUP(BQ48,Fundamentus!A:U,12,FALSE)&lt;2,"Subvalorizada",IF(VLOOKUP(BQ48,Fundamentus!A:U,12,FALSE)&lt;6,"Muita barata",IF(VLOOKUP(BQ48,Fundamentus!A:U,12,FALSE)&lt;6,"Barata",IF(VLOOKUP(BQ48,Fundamentus!A:U,12,FALSE)&lt;8,"Atrativa",IF(VLOOKUP(BQ48,Fundamentus!A:U,12,FALSE)&gt;8,"Supervalorizada","n/a")))))</f>
        <v>Atrativa</v>
      </c>
      <c r="ES48" s="17" t="str">
        <f>IF(VLOOKUP(BQ48,Fundamentus!A:U,17,FALSE)&lt;0.1,"Fraco retorno",IF(VLOOKUP(BQ48,Fundamentus!A:U,17,FALSE)&gt;0.1,"Bom retorno","n/a"))</f>
        <v>Bom retorno</v>
      </c>
      <c r="ET48" s="17" t="str">
        <f>IF(VLOOKUP(BQ48,Fundamentus!A:U,16,FALSE)&lt;0.1,"Ineficiente",IF(VLOOKUP(BQ48,Fundamentus!A:U,16,FALSE)&gt;0.1,"Eficiente","n/a"))</f>
        <v>Eficiente</v>
      </c>
      <c r="EU48" s="33" t="str">
        <f>IF(VLOOKUP(BQ48,Fundamentus!A:U,16,FALSE)&lt;0.1,"Oper. Ineficiente",IF(VLOOKUP(BQ48,Fundamentus!A:U,16,FALSE)&gt;0.1,"Oper.Eficiente","n/a"))</f>
        <v>Oper.Eficiente</v>
      </c>
      <c r="EV48" s="34">
        <f>VLOOKUP(BQ48,Fundamentus!A:U,14,FALSE)</f>
        <v>0.22850000000000001</v>
      </c>
      <c r="EW48" s="17" t="str">
        <f>IF(VLOOKUP(BQ48,Fundamentus!A:U,21,FALSE)&lt;0,"Negativo",IF(VLOOKUP(BQ48,Fundamentus!A:U,21,FALSE)&lt;0.05,"Fraco",IF(VLOOKUP(BQ48,Fundamentus!A:U,21,FALSE)&lt;0.1,"Bom",IF(VLOOKUP(BQ48,Fundamentus!A:U,21,FALSE)&gt;0.1,"Muito bom","n/a"))))</f>
        <v>Negativo</v>
      </c>
      <c r="EY48" s="29" t="str">
        <f>IF(VLOOKUP(BQ48,Fundamentus!A:U,15,FALSE)&gt;1,"Bom",IF(VLOOKUP(BQ48,Fundamentus!A:U,15,FALSE)&lt;1,"Ruim","n/a"))</f>
        <v>Bom</v>
      </c>
      <c r="EZ48" s="17" t="str">
        <f>IF(VLOOKUP(BQ48,Fundamentus!A:U,20,FALSE)&lt;0.5,"Baixa",IF(VLOOKUP(BQ48,Fundamentus!A:U,20,FALSE)&lt;1,"Moderada",IF(VLOOKUP(BQ48,Fundamentus!A:U,20,FALSE)&lt;2,"Alerta",IF(VLOOKUP(BQ48,Fundamentus!A:U,20,FALSE)&gt;2,"Alta","n/a"))))</f>
        <v>Moderada</v>
      </c>
    </row>
    <row r="49" spans="1:156" s="2" customFormat="1" ht="11.25" hidden="1" x14ac:dyDescent="0.2">
      <c r="A49" s="4">
        <v>3.35</v>
      </c>
      <c r="B49" s="4">
        <v>3.29</v>
      </c>
      <c r="C49" s="4">
        <v>3.38</v>
      </c>
      <c r="D49" s="4">
        <v>3.3</v>
      </c>
      <c r="E49" s="4">
        <v>3.35</v>
      </c>
      <c r="F49" s="4">
        <v>3.26</v>
      </c>
      <c r="G49" s="4">
        <v>3.19</v>
      </c>
      <c r="H49" s="4">
        <v>3.1</v>
      </c>
      <c r="I49" s="4">
        <v>3.42</v>
      </c>
      <c r="J49" s="4">
        <v>3.49</v>
      </c>
      <c r="K49" s="4">
        <v>3.58</v>
      </c>
      <c r="L49" s="4">
        <v>3.73</v>
      </c>
      <c r="M49" s="4">
        <v>3.48</v>
      </c>
      <c r="N49" s="4">
        <v>3.46</v>
      </c>
      <c r="O49" s="4">
        <v>3.55</v>
      </c>
      <c r="P49" s="4">
        <v>3.68</v>
      </c>
      <c r="Q49" s="4">
        <v>3.79</v>
      </c>
      <c r="R49" s="4">
        <v>3.79</v>
      </c>
      <c r="S49" s="4">
        <v>3.84</v>
      </c>
      <c r="T49" s="4">
        <v>3.91</v>
      </c>
      <c r="U49" s="4">
        <v>3.86</v>
      </c>
      <c r="V49" s="4">
        <v>3.78</v>
      </c>
      <c r="W49" s="4">
        <v>4.0999999999999996</v>
      </c>
      <c r="X49" s="4">
        <v>4.24</v>
      </c>
      <c r="Y49" s="4">
        <v>4.2</v>
      </c>
      <c r="Z49" s="4">
        <v>4.09</v>
      </c>
      <c r="AA49" s="4">
        <v>3.98</v>
      </c>
      <c r="AB49" s="4">
        <v>4.0199999999999996</v>
      </c>
      <c r="AC49" s="4">
        <v>4</v>
      </c>
      <c r="AD49" s="4">
        <v>4.01</v>
      </c>
      <c r="AE49" s="4">
        <v>4.05</v>
      </c>
      <c r="AF49" s="4">
        <v>3.94</v>
      </c>
      <c r="AG49" s="4">
        <v>3.89</v>
      </c>
      <c r="AH49" s="4">
        <v>3.71</v>
      </c>
      <c r="AI49" s="4">
        <v>3.76</v>
      </c>
      <c r="AJ49" s="4">
        <v>3.73</v>
      </c>
      <c r="AK49" s="4">
        <v>3.73</v>
      </c>
      <c r="AL49" s="4">
        <v>3.72</v>
      </c>
      <c r="AM49" s="4">
        <v>3.73</v>
      </c>
      <c r="AN49" s="4">
        <v>3.78</v>
      </c>
      <c r="AO49" s="4">
        <v>3.85</v>
      </c>
      <c r="AP49" s="4">
        <v>3.94</v>
      </c>
      <c r="AQ49" s="4">
        <v>3.84</v>
      </c>
      <c r="AR49" s="4">
        <v>3.86</v>
      </c>
      <c r="AS49" s="4">
        <v>3.84</v>
      </c>
      <c r="AT49" s="4">
        <v>3.79</v>
      </c>
      <c r="AU49" s="4">
        <v>3.79</v>
      </c>
      <c r="AV49" s="4">
        <v>3.9</v>
      </c>
      <c r="AW49" s="4">
        <v>3.69</v>
      </c>
      <c r="AX49" s="4">
        <v>3.67</v>
      </c>
      <c r="AY49" s="12">
        <v>3.74</v>
      </c>
      <c r="AZ49" s="12">
        <v>3.8</v>
      </c>
      <c r="BA49" s="12">
        <v>3.81</v>
      </c>
      <c r="BB49" s="15">
        <v>3.78</v>
      </c>
      <c r="BC49" s="52">
        <v>3.87</v>
      </c>
      <c r="BD49" s="52">
        <v>3.75</v>
      </c>
      <c r="BE49" s="52">
        <v>3.71</v>
      </c>
      <c r="BF49" s="52">
        <v>3.71</v>
      </c>
      <c r="BG49" s="67">
        <v>3.67</v>
      </c>
      <c r="BH49" s="52">
        <v>3.66</v>
      </c>
      <c r="BI49" s="52">
        <v>3.68</v>
      </c>
      <c r="BJ49" s="52">
        <v>3.72</v>
      </c>
      <c r="BK49" s="52">
        <v>3.64</v>
      </c>
      <c r="BL49" s="52">
        <v>3.68</v>
      </c>
      <c r="BM49" s="52">
        <v>3.5</v>
      </c>
      <c r="BN49" s="52">
        <v>3.43</v>
      </c>
      <c r="BO49" s="52">
        <v>3.54</v>
      </c>
      <c r="BP49" s="52" cm="1">
        <f t="array" aca="1" ref="BP49" ca="1">_FV(ED49,"Preço")</f>
        <v>3.59</v>
      </c>
      <c r="BQ49" s="69" t="s">
        <v>46</v>
      </c>
      <c r="BR49" s="36" cm="1">
        <f t="array" aca="1" ref="BR49" ca="1">_FV(ED49,"Média de volume",TRUE)</f>
        <v>360660</v>
      </c>
      <c r="BS49" s="36">
        <v>309500</v>
      </c>
      <c r="BT49" s="36" cm="1">
        <f t="array" aca="1" ref="BT49" ca="1">_FV(ED49,"Volume")</f>
        <v>335400</v>
      </c>
      <c r="BU49" s="24" cm="1">
        <f t="array" aca="1" ref="BU49" ca="1">_FV(ED49,"Beta")</f>
        <v>1.2672000000000001</v>
      </c>
      <c r="BV49" s="71" cm="1">
        <f t="array" aca="1" ref="BV49" ca="1">_FV(ED49,"Variação (%)",TRUE)</f>
        <v>0</v>
      </c>
      <c r="BX49" s="17" cm="1">
        <f t="array" aca="1" ref="BX49" ca="1">_FV(ED49,"Baixo")</f>
        <v>3.57</v>
      </c>
      <c r="BY49" s="17" cm="1">
        <f t="array" aca="1" ref="BY49" ca="1">_FV(ED49,"Alto")</f>
        <v>3.62</v>
      </c>
      <c r="BZ49" s="24"/>
      <c r="CA49" s="63">
        <f ca="1">SQRT(22.5*(BP49/VLOOKUP(BQ49,Fundamentus!A:U,3,FALSE))*(BP49/VLOOKUP(BQ49,Fundamentus!A:U,4,FALSE)))</f>
        <v>10.056377488231679</v>
      </c>
      <c r="CC49" s="62">
        <f t="shared" ca="1" si="24"/>
        <v>1.4124293785310684E-2</v>
      </c>
      <c r="CD49" s="8"/>
      <c r="CE49" s="61">
        <f t="shared" si="25"/>
        <v>3.1</v>
      </c>
      <c r="CF49" s="61">
        <f t="shared" si="26"/>
        <v>4.24</v>
      </c>
      <c r="CG49" s="61">
        <f t="shared" si="27"/>
        <v>3.7182089552238797</v>
      </c>
      <c r="CH49" s="14"/>
      <c r="CI49" s="35">
        <f t="shared" si="1"/>
        <v>3.2323966046318073</v>
      </c>
      <c r="CJ49" s="15">
        <f t="shared" si="28"/>
        <v>3.4150000000000205</v>
      </c>
      <c r="CK49" s="35">
        <f t="shared" si="2"/>
        <v>3.5976033953682336</v>
      </c>
      <c r="CM49" s="14"/>
      <c r="CN49" s="17">
        <f t="shared" si="3"/>
        <v>1.8733333333333326</v>
      </c>
      <c r="CO49" s="17">
        <f t="shared" si="4"/>
        <v>2.4866666666666664</v>
      </c>
      <c r="CP49" s="17">
        <f t="shared" si="5"/>
        <v>3.0133333333333328</v>
      </c>
      <c r="CQ49" s="38">
        <f t="shared" si="29"/>
        <v>3.6266666666666665</v>
      </c>
      <c r="CR49" s="17">
        <f t="shared" si="6"/>
        <v>4.1533333333333324</v>
      </c>
      <c r="CS49" s="17">
        <f t="shared" si="7"/>
        <v>4.7666666666666666</v>
      </c>
      <c r="CT49" s="17">
        <f t="shared" si="8"/>
        <v>5.293333333333333</v>
      </c>
      <c r="CU49" s="2" cm="1">
        <f t="array" aca="1" ref="CU49" ca="1">MAX(_xlfn._xlws.FILTER(CN49:CT49,CN49:CT49&lt;BP49))</f>
        <v>3.0133333333333328</v>
      </c>
      <c r="CV49" s="2" cm="1">
        <f t="array" aca="1" ref="CV49" ca="1">MIN(_xlfn._xlws.FILTER($CN49:$CT49,$CN49:$CT49&gt;BP49))</f>
        <v>3.6266666666666665</v>
      </c>
      <c r="CW49" s="16">
        <f t="shared" ca="1" si="63"/>
        <v>0.20353982300884965</v>
      </c>
      <c r="CX49" s="20">
        <f t="shared" ca="1" si="64"/>
        <v>-0.10176991150442483</v>
      </c>
      <c r="CY49" s="20">
        <f t="shared" ca="1" si="65"/>
        <v>-6.7846607669616546E-2</v>
      </c>
      <c r="CZ49" s="20">
        <f t="shared" ca="1" si="66"/>
        <v>-4.0707964601769932E-2</v>
      </c>
      <c r="DA49" s="20">
        <f t="shared" ca="1" si="67"/>
        <v>-2.2615535889872182E-2</v>
      </c>
      <c r="DB49" s="20">
        <f t="shared" ca="1" si="68"/>
        <v>-1.197293076522645E-2</v>
      </c>
      <c r="DC49" s="20">
        <f t="shared" ca="1" si="69"/>
        <v>-6.1678734245105959E-3</v>
      </c>
      <c r="DD49" s="20">
        <f t="shared" ca="1" si="70"/>
        <v>-3.131381892443841E-3</v>
      </c>
      <c r="DE49" s="21">
        <f t="shared" ca="1" si="71"/>
        <v>3.131381892443841E-3</v>
      </c>
      <c r="DF49" s="21">
        <f t="shared" ca="1" si="72"/>
        <v>6.1678734245105959E-3</v>
      </c>
      <c r="DG49" s="21">
        <f t="shared" ca="1" si="73"/>
        <v>1.197293076522645E-2</v>
      </c>
      <c r="DH49" s="21">
        <f t="shared" ca="1" si="74"/>
        <v>2.2615535889872182E-2</v>
      </c>
      <c r="DI49" s="21">
        <f t="shared" ca="1" si="75"/>
        <v>4.0707964601769932E-2</v>
      </c>
      <c r="DJ49" s="21">
        <f t="shared" ca="1" si="76"/>
        <v>6.7846607669616546E-2</v>
      </c>
      <c r="DK49" s="21">
        <f t="shared" ca="1" si="77"/>
        <v>0.10176991150442483</v>
      </c>
      <c r="DM49" s="16" cm="1">
        <f t="array" aca="1" ref="DM49" ca="1">MAX(_xlfn._xlws.FILTER(CX49:DK49,CX49:DK49&lt;BV49))</f>
        <v>-3.131381892443841E-3</v>
      </c>
      <c r="DN49" s="16" cm="1">
        <f t="array" aca="1" ref="DN49" ca="1">MIN(_xlfn._xlws.FILTER(CX49:DK49,CX49:DK49&gt;BV49))</f>
        <v>3.131381892443841E-3</v>
      </c>
      <c r="DO49" s="2" cm="1">
        <f t="array" aca="1" ref="DO49" ca="1">_FV(ED49,"Fechamento anterior",TRUE)</f>
        <v>3.59</v>
      </c>
      <c r="DP49" s="28">
        <f t="shared" ca="1" si="15"/>
        <v>0.5</v>
      </c>
      <c r="DQ49" s="15">
        <f t="shared" ca="1" si="78"/>
        <v>3.5787583390061264</v>
      </c>
      <c r="DR49" s="15">
        <f t="shared" ca="1" si="79"/>
        <v>3.6012416609938733</v>
      </c>
      <c r="DS49" s="9"/>
      <c r="DT49" s="9"/>
      <c r="DU49" s="9"/>
      <c r="DV49" s="89">
        <v>3.0364915320667549E-3</v>
      </c>
      <c r="DW49" s="89">
        <f t="shared" ca="1" si="18"/>
        <v>6.2627637848876819E-3</v>
      </c>
      <c r="DX49" s="72">
        <f t="shared" ca="1" si="19"/>
        <v>0.95836115011497036</v>
      </c>
      <c r="DY49" s="37"/>
      <c r="DZ49" s="35">
        <f t="shared" si="39"/>
        <v>9.1301697684106647E-2</v>
      </c>
      <c r="EA49" s="56"/>
      <c r="EB49" s="56"/>
      <c r="ED49" s="2" t="e" vm="49">
        <v>#VALUE!</v>
      </c>
      <c r="EF49" s="10" cm="1">
        <f t="array" aca="1" ref="EF49" ca="1">_FV(ED49,"Ações em circulação",TRUE)</f>
        <v>216251500</v>
      </c>
      <c r="EG49" s="18">
        <f>VLOOKUP(BQ49,Fundamentus!A:U,5,FALSE)</f>
        <v>0</v>
      </c>
      <c r="EH49" s="2" t="e">
        <f t="shared" ca="1" si="20"/>
        <v>#DIV/0!</v>
      </c>
      <c r="EI49" s="17" t="e">
        <v>#DIV/0!</v>
      </c>
      <c r="EJ49" s="17" t="e">
        <f t="shared" ca="1" si="21"/>
        <v>#DIV/0!</v>
      </c>
      <c r="EL49" s="16" t="e">
        <f t="shared" ca="1" si="22"/>
        <v>#DIV/0!</v>
      </c>
      <c r="EM49" s="32" t="str">
        <f>IF(VLOOKUP(BQ49,Fundamentus!A:U,3,FALSE)&lt;15,"Bom",IF(VLOOKUP(BQ49,Fundamentus!A:U,3,FALSE)&gt;15,"Ruim","n/a"))</f>
        <v>Bom</v>
      </c>
      <c r="EN49" s="28" t="str">
        <f>IF(VLOOKUP(BQ49,Fundamentus!A:U,4,FALSE)&lt;1,"Baixo",IF(VLOOKUP(BQ49,Fundamentus!A:U,4,FALSE)&lt;1.5,"Moderado",IF(VLOOKUP(BQ49,Fundamentus!A:U,4,FALSE)&gt;1.5,"Alto","n/a")))</f>
        <v>Baixo</v>
      </c>
      <c r="EO49" s="17" t="str">
        <f>IF(VLOOKUP(BQ49,Fundamentus!A:U,8,FALSE)&lt;0,"Risco elevado",IF(VLOOKUP(BQ49,Fundamentus!A:U,8,FALSE)&lt;1,"Saudável",IF(VLOOKUP(BQ49,Fundamentus!A:U,8,FALSE)&lt;3,"Estável",IF(VLOOKUP(BQ49,Fundamentus!A:U,8,FALSE)&gt;3,"Alerta","n/a"))))</f>
        <v>Saudável</v>
      </c>
      <c r="EP49" s="28" t="str">
        <f t="shared" si="23"/>
        <v>Ruim</v>
      </c>
      <c r="EQ49" s="17" t="str">
        <f>IF(VLOOKUP(BQ49,Fundamentus!A:U,12,FALSE)&lt;2,"Subvalorizada",IF(VLOOKUP(BQ49,Fundamentus!A:U,12,FALSE)&lt;6,"Muita barata",IF(VLOOKUP(BQ49,Fundamentus!A:U,12,FALSE)&lt;6,"Barata",IF(VLOOKUP(BQ49,Fundamentus!A:U,12,FALSE)&lt;8,"Atrativa",IF(VLOOKUP(BQ49,Fundamentus!A:U,12,FALSE)&gt;8,"Supervalorizada","n/a")))))</f>
        <v>Subvalorizada</v>
      </c>
      <c r="ES49" s="17" t="str">
        <f>IF(VLOOKUP(BQ49,Fundamentus!A:U,17,FALSE)&lt;0.1,"Fraco retorno",IF(VLOOKUP(BQ49,Fundamentus!A:U,17,FALSE)&gt;0.1,"Bom retorno","n/a"))</f>
        <v>Bom retorno</v>
      </c>
      <c r="ET49" s="17" t="str">
        <f>IF(VLOOKUP(BQ49,Fundamentus!A:U,16,FALSE)&lt;0.1,"Ineficiente",IF(VLOOKUP(BQ49,Fundamentus!A:U,16,FALSE)&gt;0.1,"Eficiente","n/a"))</f>
        <v>Ineficiente</v>
      </c>
      <c r="EU49" s="33" t="str">
        <f>IF(VLOOKUP(BQ49,Fundamentus!A:U,16,FALSE)&lt;0.1,"Oper. Ineficiente",IF(VLOOKUP(BQ49,Fundamentus!A:U,16,FALSE)&gt;0.1,"Oper.Eficiente","n/a"))</f>
        <v>Oper. Ineficiente</v>
      </c>
      <c r="EV49" s="34">
        <f>VLOOKUP(BQ49,Fundamentus!A:U,14,FALSE)</f>
        <v>0</v>
      </c>
      <c r="EW49" s="17" t="str">
        <f>IF(VLOOKUP(BQ49,Fundamentus!A:U,21,FALSE)&lt;0,"Negativo",IF(VLOOKUP(BQ49,Fundamentus!A:U,21,FALSE)&lt;0.05,"Fraco",IF(VLOOKUP(BQ49,Fundamentus!A:U,21,FALSE)&lt;0.1,"Bom",IF(VLOOKUP(BQ49,Fundamentus!A:U,21,FALSE)&gt;0.1,"Muito bom","n/a"))))</f>
        <v>Negativo</v>
      </c>
      <c r="EY49" s="29" t="str">
        <f>IF(VLOOKUP(BQ49,Fundamentus!A:U,15,FALSE)&gt;1,"Bom",IF(VLOOKUP(BQ49,Fundamentus!A:U,15,FALSE)&lt;1,"Ruim","n/a"))</f>
        <v>Ruim</v>
      </c>
      <c r="EZ49" s="17" t="str">
        <f>IF(VLOOKUP(BQ49,Fundamentus!A:U,20,FALSE)&lt;0.5,"Baixa",IF(VLOOKUP(BQ49,Fundamentus!A:U,20,FALSE)&lt;1,"Moderada",IF(VLOOKUP(BQ49,Fundamentus!A:U,20,FALSE)&lt;2,"Alerta",IF(VLOOKUP(BQ49,Fundamentus!A:U,20,FALSE)&gt;2,"Alta","n/a"))))</f>
        <v>Baixa</v>
      </c>
    </row>
    <row r="50" spans="1:156" s="2" customFormat="1" ht="11.25" hidden="1" x14ac:dyDescent="0.2">
      <c r="A50" s="4">
        <v>15.58</v>
      </c>
      <c r="B50" s="4">
        <v>15.26</v>
      </c>
      <c r="C50" s="4">
        <v>14.82</v>
      </c>
      <c r="D50" s="4">
        <v>14.81</v>
      </c>
      <c r="E50" s="4">
        <v>15.49</v>
      </c>
      <c r="F50" s="4">
        <v>16</v>
      </c>
      <c r="G50" s="4">
        <v>15.91</v>
      </c>
      <c r="H50" s="4">
        <v>15.62</v>
      </c>
      <c r="I50" s="4">
        <v>14.41</v>
      </c>
      <c r="J50" s="4">
        <v>14.63</v>
      </c>
      <c r="K50" s="4">
        <v>14.23</v>
      </c>
      <c r="L50" s="4">
        <v>14.25</v>
      </c>
      <c r="M50" s="4">
        <v>14.7</v>
      </c>
      <c r="N50" s="4">
        <v>14.53</v>
      </c>
      <c r="O50" s="4">
        <v>13.16</v>
      </c>
      <c r="P50" s="4">
        <v>12</v>
      </c>
      <c r="Q50" s="4">
        <v>13.19</v>
      </c>
      <c r="R50" s="4">
        <v>12.7</v>
      </c>
      <c r="S50" s="4">
        <v>12.28</v>
      </c>
      <c r="T50" s="4">
        <v>13.79</v>
      </c>
      <c r="U50" s="4">
        <v>13.42</v>
      </c>
      <c r="V50" s="4">
        <v>12.75</v>
      </c>
      <c r="W50" s="4">
        <v>12.92</v>
      </c>
      <c r="X50" s="4">
        <v>13.39</v>
      </c>
      <c r="Y50" s="4">
        <v>13.17</v>
      </c>
      <c r="Z50" s="4">
        <v>13.16</v>
      </c>
      <c r="AA50" s="4">
        <v>12.47</v>
      </c>
      <c r="AB50" s="4">
        <v>12.23</v>
      </c>
      <c r="AC50" s="4">
        <v>11.35</v>
      </c>
      <c r="AD50" s="4">
        <v>11.3</v>
      </c>
      <c r="AE50" s="4">
        <v>10.97</v>
      </c>
      <c r="AF50" s="4">
        <v>12.6</v>
      </c>
      <c r="AG50" s="4">
        <v>13.6</v>
      </c>
      <c r="AH50" s="4">
        <v>13.22</v>
      </c>
      <c r="AI50" s="4">
        <v>13.99</v>
      </c>
      <c r="AJ50" s="4">
        <v>14.46</v>
      </c>
      <c r="AK50" s="4">
        <v>12.77</v>
      </c>
      <c r="AL50" s="4">
        <v>13.8</v>
      </c>
      <c r="AM50" s="4">
        <v>14.19</v>
      </c>
      <c r="AN50" s="4">
        <v>14.9</v>
      </c>
      <c r="AO50" s="4">
        <v>14</v>
      </c>
      <c r="AP50" s="4">
        <v>14.72</v>
      </c>
      <c r="AQ50" s="4">
        <v>15.31</v>
      </c>
      <c r="AR50" s="4">
        <v>15.7</v>
      </c>
      <c r="AS50" s="4">
        <v>15.22</v>
      </c>
      <c r="AT50" s="4">
        <v>15.8</v>
      </c>
      <c r="AU50" s="4">
        <v>14.675000000000001</v>
      </c>
      <c r="AV50" s="4">
        <v>14.48</v>
      </c>
      <c r="AW50" s="4">
        <v>14.7</v>
      </c>
      <c r="AX50" s="4">
        <v>14.16</v>
      </c>
      <c r="AY50" s="12">
        <v>14.27</v>
      </c>
      <c r="AZ50" s="12">
        <v>13.62</v>
      </c>
      <c r="BA50" s="12">
        <v>11.95</v>
      </c>
      <c r="BB50" s="15">
        <v>11.92</v>
      </c>
      <c r="BC50" s="52">
        <v>11.94</v>
      </c>
      <c r="BD50" s="52">
        <v>11.73</v>
      </c>
      <c r="BE50" s="52">
        <v>11.99</v>
      </c>
      <c r="BF50" s="52">
        <v>11.45</v>
      </c>
      <c r="BG50" s="67">
        <v>10.98</v>
      </c>
      <c r="BH50" s="52">
        <v>10.46</v>
      </c>
      <c r="BI50" s="52">
        <v>10.27</v>
      </c>
      <c r="BJ50" s="52">
        <v>10.44</v>
      </c>
      <c r="BK50" s="52">
        <v>10.14</v>
      </c>
      <c r="BL50" s="52">
        <v>9.8800000000000008</v>
      </c>
      <c r="BM50" s="52">
        <v>10.49</v>
      </c>
      <c r="BN50" s="52">
        <v>10.99</v>
      </c>
      <c r="BO50" s="52">
        <v>10.38</v>
      </c>
      <c r="BP50" s="52" cm="1">
        <f t="array" aca="1" ref="BP50" ca="1">_FV(ED50,"Preço")</f>
        <v>10.1</v>
      </c>
      <c r="BQ50" s="69" t="s">
        <v>47</v>
      </c>
      <c r="BR50" s="36" cm="1">
        <f t="array" aca="1" ref="BR50" ca="1">_FV(ED50,"Média de volume",TRUE)</f>
        <v>21220</v>
      </c>
      <c r="BS50" s="36">
        <v>39700</v>
      </c>
      <c r="BT50" s="36" cm="1">
        <f t="array" aca="1" ref="BT50" ca="1">_FV(ED50,"Volume")</f>
        <v>11200</v>
      </c>
      <c r="BU50" s="24" cm="1">
        <f t="array" aca="1" ref="BU50" ca="1">_FV(ED50,"Beta")</f>
        <v>-0.40839999999999999</v>
      </c>
      <c r="BV50" s="71" cm="1">
        <f t="array" aca="1" ref="BV50" ca="1">_FV(ED50,"Variação (%)",TRUE)</f>
        <v>4.9750000000000003E-3</v>
      </c>
      <c r="BX50" s="17" cm="1">
        <f t="array" aca="1" ref="BX50" ca="1">_FV(ED50,"Baixo")</f>
        <v>9.9499999999999993</v>
      </c>
      <c r="BY50" s="17" cm="1">
        <f t="array" aca="1" ref="BY50" ca="1">_FV(ED50,"Alto")</f>
        <v>10.199999999999999</v>
      </c>
      <c r="BZ50" s="24"/>
      <c r="CA50" s="63">
        <f ca="1">SQRT(22.5*(BP50/VLOOKUP(BQ50,Fundamentus!A:U,3,FALSE))*(BP50/VLOOKUP(BQ50,Fundamentus!A:U,4,FALSE)))</f>
        <v>4.2196906641331093</v>
      </c>
      <c r="CC50" s="62">
        <f t="shared" ca="1" si="24"/>
        <v>-2.6974951830443267E-2</v>
      </c>
      <c r="CD50" s="8"/>
      <c r="CE50" s="61">
        <f t="shared" si="25"/>
        <v>9.8800000000000008</v>
      </c>
      <c r="CF50" s="61">
        <f t="shared" si="26"/>
        <v>16</v>
      </c>
      <c r="CG50" s="61">
        <f t="shared" si="27"/>
        <v>13.278880597014931</v>
      </c>
      <c r="CH50" s="14"/>
      <c r="CI50" s="35">
        <f t="shared" si="1"/>
        <v>10.191107534652971</v>
      </c>
      <c r="CJ50" s="15">
        <f t="shared" si="28"/>
        <v>10.934999999999945</v>
      </c>
      <c r="CK50" s="35">
        <f t="shared" si="2"/>
        <v>11.678892465346919</v>
      </c>
      <c r="CM50" s="14"/>
      <c r="CN50" s="17">
        <f t="shared" si="3"/>
        <v>2.0533333333333363</v>
      </c>
      <c r="CO50" s="17">
        <f t="shared" si="4"/>
        <v>5.9666666666666686</v>
      </c>
      <c r="CP50" s="17">
        <f t="shared" si="5"/>
        <v>8.1733333333333356</v>
      </c>
      <c r="CQ50" s="38">
        <f t="shared" si="29"/>
        <v>12.086666666666668</v>
      </c>
      <c r="CR50" s="17">
        <f t="shared" si="6"/>
        <v>14.293333333333335</v>
      </c>
      <c r="CS50" s="17">
        <f t="shared" si="7"/>
        <v>18.206666666666667</v>
      </c>
      <c r="CT50" s="17">
        <f t="shared" si="8"/>
        <v>20.413333333333334</v>
      </c>
      <c r="CU50" s="2" cm="1">
        <f t="array" aca="1" ref="CU50" ca="1">MAX(_xlfn._xlws.FILTER(CN50:CT50,CN50:CT50&lt;BP50))</f>
        <v>8.1733333333333356</v>
      </c>
      <c r="CV50" s="2" cm="1">
        <f t="array" aca="1" ref="CV50" ca="1">MIN(_xlfn._xlws.FILTER($CN50:$CT50,$CN50:$CT50&gt;BP50))</f>
        <v>12.086666666666668</v>
      </c>
      <c r="CW50" s="16">
        <f t="shared" ca="1" si="63"/>
        <v>0.4787928221859703</v>
      </c>
      <c r="CX50" s="20">
        <f t="shared" ca="1" si="64"/>
        <v>-0.23939641109298515</v>
      </c>
      <c r="CY50" s="20">
        <f t="shared" ca="1" si="65"/>
        <v>-0.15959760739532344</v>
      </c>
      <c r="CZ50" s="20">
        <f t="shared" ca="1" si="66"/>
        <v>-9.5758564437194063E-2</v>
      </c>
      <c r="DA50" s="20">
        <f t="shared" ca="1" si="67"/>
        <v>-5.3199202465107814E-2</v>
      </c>
      <c r="DB50" s="20">
        <f t="shared" ca="1" si="68"/>
        <v>-2.8164283657998251E-2</v>
      </c>
      <c r="DC50" s="20">
        <f t="shared" ca="1" si="69"/>
        <v>-1.4508873399574858E-2</v>
      </c>
      <c r="DD50" s="20">
        <f t="shared" ca="1" si="70"/>
        <v>-7.3660434182456968E-3</v>
      </c>
      <c r="DE50" s="21">
        <f t="shared" ca="1" si="71"/>
        <v>7.3660434182456968E-3</v>
      </c>
      <c r="DF50" s="21">
        <f t="shared" ca="1" si="72"/>
        <v>1.4508873399574858E-2</v>
      </c>
      <c r="DG50" s="21">
        <f t="shared" ca="1" si="73"/>
        <v>2.8164283657998251E-2</v>
      </c>
      <c r="DH50" s="21">
        <f t="shared" ca="1" si="74"/>
        <v>5.3199202465107814E-2</v>
      </c>
      <c r="DI50" s="21">
        <f t="shared" ca="1" si="75"/>
        <v>9.5758564437194063E-2</v>
      </c>
      <c r="DJ50" s="21">
        <f t="shared" ca="1" si="76"/>
        <v>0.15959760739532344</v>
      </c>
      <c r="DK50" s="21">
        <f t="shared" ca="1" si="77"/>
        <v>0.23939641109298515</v>
      </c>
      <c r="DM50" s="16" cm="1">
        <f t="array" aca="1" ref="DM50" ca="1">MAX(_xlfn._xlws.FILTER(CX50:DK50,CX50:DK50&lt;BV50))</f>
        <v>-7.3660434182456968E-3</v>
      </c>
      <c r="DN50" s="16" cm="1">
        <f t="array" aca="1" ref="DN50" ca="1">MIN(_xlfn._xlws.FILTER(CX50:DK50,CX50:DK50&gt;BV50))</f>
        <v>7.3660434182456968E-3</v>
      </c>
      <c r="DO50" s="2" cm="1">
        <f t="array" aca="1" ref="DO50" ca="1">_FV(ED50,"Fechamento anterior",TRUE)</f>
        <v>10.050000000000001</v>
      </c>
      <c r="DP50" s="28">
        <f t="shared" ca="1" si="15"/>
        <v>0.83770669650045337</v>
      </c>
      <c r="DQ50" s="15">
        <f t="shared" ca="1" si="78"/>
        <v>9.9759712636466311</v>
      </c>
      <c r="DR50" s="15">
        <f t="shared" ca="1" si="79"/>
        <v>10.12402873635337</v>
      </c>
      <c r="DS50" s="9"/>
      <c r="DT50" s="9"/>
      <c r="DU50" s="9"/>
      <c r="DV50" s="89">
        <v>1.4732086836491394E-2</v>
      </c>
      <c r="DW50" s="89">
        <f t="shared" ca="1" si="18"/>
        <v>1.4732086836491394E-2</v>
      </c>
      <c r="DX50" s="72">
        <f t="shared" ca="1" si="19"/>
        <v>-1.1224740656708714</v>
      </c>
      <c r="DY50" s="37"/>
      <c r="DZ50" s="35">
        <f t="shared" si="39"/>
        <v>0.3719462326734872</v>
      </c>
      <c r="EA50" s="56"/>
      <c r="EB50" s="56"/>
      <c r="ED50" s="2" t="e" vm="50">
        <v>#VALUE!</v>
      </c>
      <c r="EF50" s="10" cm="1">
        <f t="array" aca="1" ref="EF50" ca="1">_FV(ED50,"Ações em circulação",TRUE)</f>
        <v>96226960</v>
      </c>
      <c r="EG50" s="18">
        <f>VLOOKUP(BQ50,Fundamentus!A:U,5,FALSE)</f>
        <v>13.502000000000001</v>
      </c>
      <c r="EH50" s="2">
        <f t="shared" ca="1" si="20"/>
        <v>71981358.021033913</v>
      </c>
      <c r="EI50" s="17">
        <v>10615682.397333728</v>
      </c>
      <c r="EJ50" s="17">
        <f t="shared" ca="1" si="21"/>
        <v>10329324.876018366</v>
      </c>
      <c r="EL50" s="16">
        <f t="shared" ca="1" si="22"/>
        <v>-2.6974951830443294E-2</v>
      </c>
      <c r="EM50" s="32" t="str">
        <f>IF(VLOOKUP(BQ50,Fundamentus!A:U,3,FALSE)&lt;15,"Bom",IF(VLOOKUP(BQ50,Fundamentus!A:U,3,FALSE)&gt;15,"Ruim","n/a"))</f>
        <v>Ruim</v>
      </c>
      <c r="EN50" s="28" t="str">
        <f>IF(VLOOKUP(BQ50,Fundamentus!A:U,4,FALSE)&lt;1,"Baixo",IF(VLOOKUP(BQ50,Fundamentus!A:U,4,FALSE)&lt;1.5,"Moderado",IF(VLOOKUP(BQ50,Fundamentus!A:U,4,FALSE)&gt;1.5,"Alto","n/a")))</f>
        <v>Moderado</v>
      </c>
      <c r="EO50" s="17" t="str">
        <f>IF(VLOOKUP(BQ50,Fundamentus!A:U,8,FALSE)&lt;0,"Risco elevado",IF(VLOOKUP(BQ50,Fundamentus!A:U,8,FALSE)&lt;1,"Saudável",IF(VLOOKUP(BQ50,Fundamentus!A:U,8,FALSE)&lt;3,"Estável",IF(VLOOKUP(BQ50,Fundamentus!A:U,8,FALSE)&gt;3,"Alerta","n/a"))))</f>
        <v>Risco elevado</v>
      </c>
      <c r="EP50" s="28" t="str">
        <f t="shared" si="23"/>
        <v>Bom</v>
      </c>
      <c r="EQ50" s="17" t="str">
        <f>IF(VLOOKUP(BQ50,Fundamentus!A:U,12,FALSE)&lt;2,"Subvalorizada",IF(VLOOKUP(BQ50,Fundamentus!A:U,12,FALSE)&lt;6,"Muita barata",IF(VLOOKUP(BQ50,Fundamentus!A:U,12,FALSE)&lt;6,"Barata",IF(VLOOKUP(BQ50,Fundamentus!A:U,12,FALSE)&lt;8,"Atrativa",IF(VLOOKUP(BQ50,Fundamentus!A:U,12,FALSE)&gt;8,"Supervalorizada","n/a")))))</f>
        <v>Supervalorizada</v>
      </c>
      <c r="ES50" s="17" t="str">
        <f>IF(VLOOKUP(BQ50,Fundamentus!A:U,17,FALSE)&lt;0.1,"Fraco retorno",IF(VLOOKUP(BQ50,Fundamentus!A:U,17,FALSE)&gt;0.1,"Bom retorno","n/a"))</f>
        <v>Fraco retorno</v>
      </c>
      <c r="ET50" s="17" t="str">
        <f>IF(VLOOKUP(BQ50,Fundamentus!A:U,16,FALSE)&lt;0.1,"Ineficiente",IF(VLOOKUP(BQ50,Fundamentus!A:U,16,FALSE)&gt;0.1,"Eficiente","n/a"))</f>
        <v>Ineficiente</v>
      </c>
      <c r="EU50" s="33" t="str">
        <f>IF(VLOOKUP(BQ50,Fundamentus!A:U,16,FALSE)&lt;0.1,"Oper. Ineficiente",IF(VLOOKUP(BQ50,Fundamentus!A:U,16,FALSE)&gt;0.1,"Oper.Eficiente","n/a"))</f>
        <v>Oper. Ineficiente</v>
      </c>
      <c r="EV50" s="34">
        <f>VLOOKUP(BQ50,Fundamentus!A:U,14,FALSE)</f>
        <v>0.14349999999999999</v>
      </c>
      <c r="EW50" s="17" t="str">
        <f>IF(VLOOKUP(BQ50,Fundamentus!A:U,21,FALSE)&lt;0,"Negativo",IF(VLOOKUP(BQ50,Fundamentus!A:U,21,FALSE)&lt;0.05,"Fraco",IF(VLOOKUP(BQ50,Fundamentus!A:U,21,FALSE)&lt;0.1,"Bom",IF(VLOOKUP(BQ50,Fundamentus!A:U,21,FALSE)&gt;0.1,"Muito bom","n/a"))))</f>
        <v>Negativo</v>
      </c>
      <c r="EY50" s="29" t="str">
        <f>IF(VLOOKUP(BQ50,Fundamentus!A:U,15,FALSE)&gt;1,"Bom",IF(VLOOKUP(BQ50,Fundamentus!A:U,15,FALSE)&lt;1,"Ruim","n/a"))</f>
        <v>Ruim</v>
      </c>
      <c r="EZ50" s="17" t="str">
        <f>IF(VLOOKUP(BQ50,Fundamentus!A:U,20,FALSE)&lt;0.5,"Baixa",IF(VLOOKUP(BQ50,Fundamentus!A:U,20,FALSE)&lt;1,"Moderada",IF(VLOOKUP(BQ50,Fundamentus!A:U,20,FALSE)&lt;2,"Alerta",IF(VLOOKUP(BQ50,Fundamentus!A:U,20,FALSE)&gt;2,"Alta","n/a"))))</f>
        <v>Baixa</v>
      </c>
    </row>
    <row r="51" spans="1:156" s="2" customFormat="1" ht="11.25" hidden="1" x14ac:dyDescent="0.2">
      <c r="A51" s="4">
        <v>19.66</v>
      </c>
      <c r="B51" s="4">
        <v>19.350000000000001</v>
      </c>
      <c r="C51" s="4">
        <v>19.55</v>
      </c>
      <c r="D51" s="4">
        <v>18.690000000000001</v>
      </c>
      <c r="E51" s="4">
        <v>18.04</v>
      </c>
      <c r="F51" s="4">
        <v>16.97</v>
      </c>
      <c r="G51" s="4">
        <v>17</v>
      </c>
      <c r="H51" s="4">
        <v>17.739999999999998</v>
      </c>
      <c r="I51" s="4">
        <v>18.399999999999999</v>
      </c>
      <c r="J51" s="4">
        <v>18</v>
      </c>
      <c r="K51" s="4">
        <v>18.27</v>
      </c>
      <c r="L51" s="4">
        <v>18.79</v>
      </c>
      <c r="M51" s="4">
        <v>18.32</v>
      </c>
      <c r="N51" s="4">
        <v>17.329999999999998</v>
      </c>
      <c r="O51" s="4">
        <v>17.510000000000002</v>
      </c>
      <c r="P51" s="4">
        <v>17.21</v>
      </c>
      <c r="Q51" s="4">
        <v>18.28</v>
      </c>
      <c r="R51" s="4">
        <v>18.3</v>
      </c>
      <c r="S51" s="4">
        <v>18.170000000000002</v>
      </c>
      <c r="T51" s="4">
        <v>18.8</v>
      </c>
      <c r="U51" s="4">
        <v>18.05</v>
      </c>
      <c r="V51" s="4">
        <v>19</v>
      </c>
      <c r="W51" s="4">
        <v>19.18</v>
      </c>
      <c r="X51" s="4">
        <v>18.43</v>
      </c>
      <c r="Y51" s="4">
        <v>18.09</v>
      </c>
      <c r="Z51" s="4">
        <v>17.989999999999998</v>
      </c>
      <c r="AA51" s="4">
        <v>18.2</v>
      </c>
      <c r="AB51" s="4">
        <v>20.41</v>
      </c>
      <c r="AC51" s="4">
        <v>20.03</v>
      </c>
      <c r="AD51" s="4">
        <v>19.79</v>
      </c>
      <c r="AE51" s="4">
        <v>20.3</v>
      </c>
      <c r="AF51" s="4">
        <v>20.47</v>
      </c>
      <c r="AG51" s="4">
        <v>20</v>
      </c>
      <c r="AH51" s="4">
        <v>18.760000000000002</v>
      </c>
      <c r="AI51" s="4">
        <v>18.34</v>
      </c>
      <c r="AJ51" s="4">
        <v>17.32</v>
      </c>
      <c r="AK51" s="4">
        <v>16.8</v>
      </c>
      <c r="AL51" s="4">
        <v>17.37</v>
      </c>
      <c r="AM51" s="4">
        <v>17.559999999999999</v>
      </c>
      <c r="AN51" s="4">
        <v>17.22</v>
      </c>
      <c r="AO51" s="4">
        <v>16.7</v>
      </c>
      <c r="AP51" s="4">
        <v>17.579999999999998</v>
      </c>
      <c r="AQ51" s="4">
        <v>16.22</v>
      </c>
      <c r="AR51" s="4">
        <v>16.66</v>
      </c>
      <c r="AS51" s="4">
        <v>16.96</v>
      </c>
      <c r="AT51" s="4">
        <v>16.91</v>
      </c>
      <c r="AU51" s="4">
        <v>17.135000000000002</v>
      </c>
      <c r="AV51" s="4">
        <v>16.899999999999999</v>
      </c>
      <c r="AW51" s="4">
        <v>15.15</v>
      </c>
      <c r="AX51" s="4">
        <v>14.68</v>
      </c>
      <c r="AY51" s="12">
        <v>14.95</v>
      </c>
      <c r="AZ51" s="12">
        <v>15.33</v>
      </c>
      <c r="BA51" s="12">
        <v>14.99</v>
      </c>
      <c r="BB51" s="15">
        <v>14.9</v>
      </c>
      <c r="BC51" s="52">
        <v>15.71</v>
      </c>
      <c r="BD51" s="52">
        <v>15.45</v>
      </c>
      <c r="BE51" s="52">
        <v>15.25</v>
      </c>
      <c r="BF51" s="52">
        <v>16.690000000000001</v>
      </c>
      <c r="BG51" s="67">
        <v>16.760000000000002</v>
      </c>
      <c r="BH51" s="52">
        <v>16.010000000000002</v>
      </c>
      <c r="BI51" s="52">
        <v>15.9</v>
      </c>
      <c r="BJ51" s="52">
        <v>16.78</v>
      </c>
      <c r="BK51" s="52">
        <v>16.690000000000001</v>
      </c>
      <c r="BL51" s="52">
        <v>16.11</v>
      </c>
      <c r="BM51" s="52">
        <v>17.18</v>
      </c>
      <c r="BN51" s="52">
        <v>16.05</v>
      </c>
      <c r="BO51" s="52">
        <v>16.420000000000002</v>
      </c>
      <c r="BP51" s="52" cm="1">
        <f t="array" aca="1" ref="BP51" ca="1">_FV(ED51,"Preço")</f>
        <v>16.23</v>
      </c>
      <c r="BQ51" s="69" t="s">
        <v>48</v>
      </c>
      <c r="BR51" s="36" cm="1">
        <f t="array" aca="1" ref="BR51" ca="1">_FV(ED51,"Média de volume",TRUE)</f>
        <v>9238500</v>
      </c>
      <c r="BS51" s="36">
        <v>9503100</v>
      </c>
      <c r="BT51" s="36" cm="1">
        <f t="array" aca="1" ref="BT51" ca="1">_FV(ED51,"Volume")</f>
        <v>6936800</v>
      </c>
      <c r="BU51" s="24" cm="1">
        <f t="array" aca="1" ref="BU51" ca="1">_FV(ED51,"Beta")</f>
        <v>0.64180000000000004</v>
      </c>
      <c r="BV51" s="71" cm="1">
        <f t="array" aca="1" ref="BV51" ca="1">_FV(ED51,"Variação (%)",TRUE)</f>
        <v>-4.2940000000000001E-3</v>
      </c>
      <c r="BX51" s="17" cm="1">
        <f t="array" aca="1" ref="BX51" ca="1">_FV(ED51,"Baixo")</f>
        <v>16.079999999999998</v>
      </c>
      <c r="BY51" s="17" cm="1">
        <f t="array" aca="1" ref="BY51" ca="1">_FV(ED51,"Alto")</f>
        <v>16.440000000000001</v>
      </c>
      <c r="BZ51" s="24"/>
      <c r="CA51" s="63">
        <f ca="1">SQRT(22.5*(BP51/VLOOKUP(BQ51,Fundamentus!A:U,3,FALSE))*(BP51/VLOOKUP(BQ51,Fundamentus!A:U,4,FALSE)))</f>
        <v>29.931723481327079</v>
      </c>
      <c r="CC51" s="62">
        <f t="shared" ca="1" si="24"/>
        <v>-1.1571254567600563E-2</v>
      </c>
      <c r="CD51" s="8"/>
      <c r="CE51" s="61">
        <f t="shared" si="25"/>
        <v>14.68</v>
      </c>
      <c r="CF51" s="61">
        <f t="shared" si="26"/>
        <v>20.47</v>
      </c>
      <c r="CG51" s="61">
        <f t="shared" si="27"/>
        <v>17.518731343283584</v>
      </c>
      <c r="CH51" s="14"/>
      <c r="CI51" s="35">
        <f t="shared" si="1"/>
        <v>15.561024728957479</v>
      </c>
      <c r="CJ51" s="15">
        <f t="shared" si="28"/>
        <v>16.389999999999986</v>
      </c>
      <c r="CK51" s="35">
        <f t="shared" si="2"/>
        <v>17.218975271042495</v>
      </c>
      <c r="CM51" s="14"/>
      <c r="CN51" s="17">
        <f t="shared" si="3"/>
        <v>8.1200000000000045</v>
      </c>
      <c r="CO51" s="17">
        <f t="shared" si="4"/>
        <v>11.400000000000002</v>
      </c>
      <c r="CP51" s="17">
        <f t="shared" si="5"/>
        <v>13.910000000000004</v>
      </c>
      <c r="CQ51" s="38">
        <f t="shared" si="29"/>
        <v>17.190000000000001</v>
      </c>
      <c r="CR51" s="17">
        <f t="shared" si="6"/>
        <v>19.700000000000003</v>
      </c>
      <c r="CS51" s="17">
        <f t="shared" si="7"/>
        <v>22.98</v>
      </c>
      <c r="CT51" s="17">
        <f t="shared" si="8"/>
        <v>25.490000000000002</v>
      </c>
      <c r="CU51" s="2" cm="1">
        <f t="array" aca="1" ref="CU51" ca="1">MAX(_xlfn._xlws.FILTER(CN51:CT51,CN51:CT51&lt;BP51))</f>
        <v>13.910000000000004</v>
      </c>
      <c r="CV51" s="2" cm="1">
        <f t="array" aca="1" ref="CV51" ca="1">MIN(_xlfn._xlws.FILTER($CN51:$CT51,$CN51:$CT51&gt;BP51))</f>
        <v>17.190000000000001</v>
      </c>
      <c r="CW51" s="16">
        <f t="shared" ref="CW51:CW82" ca="1" si="80">(CV51/CU51)-1</f>
        <v>0.23580158159597397</v>
      </c>
      <c r="CX51" s="20">
        <f t="shared" ref="CX51:CX82" ca="1" si="81">-$CW51/2</f>
        <v>-0.11790079079798699</v>
      </c>
      <c r="CY51" s="20">
        <f t="shared" ref="CY51:CY82" ca="1" si="82">-$CW51/3</f>
        <v>-7.8600527198657996E-2</v>
      </c>
      <c r="CZ51" s="20">
        <f t="shared" ref="CZ51:CZ82" ca="1" si="83">-$CW51/5</f>
        <v>-4.7160316319194796E-2</v>
      </c>
      <c r="DA51" s="20">
        <f t="shared" ref="DA51:DA82" ca="1" si="84">-$CW51/9</f>
        <v>-2.6200175732885998E-2</v>
      </c>
      <c r="DB51" s="20">
        <f t="shared" ref="DB51:DB82" ca="1" si="85">-$CW51/17</f>
        <v>-1.3870681270351411E-2</v>
      </c>
      <c r="DC51" s="20">
        <f t="shared" ref="DC51:DC82" ca="1" si="86">-$CW51/33</f>
        <v>-7.1455024726052724E-3</v>
      </c>
      <c r="DD51" s="20">
        <f t="shared" ref="DD51:DD82" ca="1" si="87">-$CW51/65</f>
        <v>-3.6277166399380613E-3</v>
      </c>
      <c r="DE51" s="21">
        <f t="shared" ref="DE51:DE82" ca="1" si="88">-$CW51/65*-1</f>
        <v>3.6277166399380613E-3</v>
      </c>
      <c r="DF51" s="21">
        <f t="shared" ref="DF51:DF82" ca="1" si="89">-$CW51/33*-1</f>
        <v>7.1455024726052724E-3</v>
      </c>
      <c r="DG51" s="21">
        <f t="shared" ref="DG51:DG82" ca="1" si="90">-$CW51/17*-1</f>
        <v>1.3870681270351411E-2</v>
      </c>
      <c r="DH51" s="21">
        <f t="shared" ref="DH51:DH82" ca="1" si="91">-$CW51/9*-1</f>
        <v>2.6200175732885998E-2</v>
      </c>
      <c r="DI51" s="21">
        <f t="shared" ref="DI51:DI82" ca="1" si="92">-$CW51/5*-1</f>
        <v>4.7160316319194796E-2</v>
      </c>
      <c r="DJ51" s="21">
        <f t="shared" ref="DJ51:DJ82" ca="1" si="93">-$CW51/3*-1</f>
        <v>7.8600527198657996E-2</v>
      </c>
      <c r="DK51" s="21">
        <f t="shared" ref="DK51:DK82" ca="1" si="94">-$CW51/2*-1</f>
        <v>0.11790079079798699</v>
      </c>
      <c r="DM51" s="16" cm="1">
        <f t="array" aca="1" ref="DM51" ca="1">MAX(_xlfn._xlws.FILTER(CX51:DK51,CX51:DK51&lt;BV51))</f>
        <v>-7.1455024726052724E-3</v>
      </c>
      <c r="DN51" s="16" cm="1">
        <f t="array" aca="1" ref="DN51" ca="1">MIN(_xlfn._xlws.FILTER(CX51:DK51,CX51:DK51&gt;BV51))</f>
        <v>-3.6277166399380613E-3</v>
      </c>
      <c r="DO51" s="2" cm="1">
        <f t="array" aca="1" ref="DO51" ca="1">_FV(ED51,"Fechamento anterior",TRUE)</f>
        <v>16.3</v>
      </c>
      <c r="DP51" s="28">
        <f t="shared" ca="1" si="15"/>
        <v>0.81045978368623395</v>
      </c>
      <c r="DQ51" s="15">
        <f t="shared" ref="DQ51:DQ82" ca="1" si="95">DO51+(DO51*DM51)</f>
        <v>16.183528309696534</v>
      </c>
      <c r="DR51" s="15">
        <f t="shared" ref="DR51:DR82" ca="1" si="96">DO51+(DO51*DN51)</f>
        <v>16.240868218769009</v>
      </c>
      <c r="DS51" s="9"/>
      <c r="DT51" s="9"/>
      <c r="DU51" s="9"/>
      <c r="DV51" s="89">
        <v>6.7251787977461383E-3</v>
      </c>
      <c r="DW51" s="89">
        <f t="shared" ca="1" si="18"/>
        <v>3.5177858326672111E-3</v>
      </c>
      <c r="DX51" s="72">
        <f t="shared" ca="1" si="19"/>
        <v>-0.19300937626133557</v>
      </c>
      <c r="DY51" s="37"/>
      <c r="DZ51" s="35">
        <f t="shared" si="39"/>
        <v>0.41448763552125401</v>
      </c>
      <c r="EA51" s="56"/>
      <c r="EB51" s="56"/>
      <c r="ED51" s="2" t="e" vm="51">
        <v>#VALUE!</v>
      </c>
      <c r="EF51" s="10" cm="1">
        <f t="array" aca="1" ref="EF51" ca="1">_FV(ED51,"Ações em circulação",TRUE)</f>
        <v>2013814000</v>
      </c>
      <c r="EG51" s="18">
        <f>VLOOKUP(BQ51,Fundamentus!A:U,5,FALSE)</f>
        <v>0.51200000000000001</v>
      </c>
      <c r="EH51" s="2">
        <f t="shared" ca="1" si="20"/>
        <v>63836330507.8125</v>
      </c>
      <c r="EI51" s="17">
        <v>3132306748.398438</v>
      </c>
      <c r="EJ51" s="17">
        <f t="shared" ca="1" si="21"/>
        <v>3096062029.6289063</v>
      </c>
      <c r="EL51" s="16">
        <f t="shared" ca="1" si="22"/>
        <v>-1.1571254567600664E-2</v>
      </c>
      <c r="EM51" s="32" t="str">
        <f>IF(VLOOKUP(BQ51,Fundamentus!A:U,3,FALSE)&lt;15,"Bom",IF(VLOOKUP(BQ51,Fundamentus!A:U,3,FALSE)&gt;15,"Ruim","n/a"))</f>
        <v>Bom</v>
      </c>
      <c r="EN51" s="28" t="str">
        <f>IF(VLOOKUP(BQ51,Fundamentus!A:U,4,FALSE)&lt;1,"Baixo",IF(VLOOKUP(BQ51,Fundamentus!A:U,4,FALSE)&lt;1.5,"Moderado",IF(VLOOKUP(BQ51,Fundamentus!A:U,4,FALSE)&gt;1.5,"Alto","n/a")))</f>
        <v>Baixo</v>
      </c>
      <c r="EO51" s="17" t="str">
        <f>IF(VLOOKUP(BQ51,Fundamentus!A:U,8,FALSE)&lt;0,"Risco elevado",IF(VLOOKUP(BQ51,Fundamentus!A:U,8,FALSE)&lt;1,"Saudável",IF(VLOOKUP(BQ51,Fundamentus!A:U,8,FALSE)&lt;3,"Estável",IF(VLOOKUP(BQ51,Fundamentus!A:U,8,FALSE)&gt;3,"Alerta","n/a"))))</f>
        <v>Estável</v>
      </c>
      <c r="EP51" s="28" t="str">
        <f t="shared" si="23"/>
        <v>Ruim</v>
      </c>
      <c r="EQ51" s="17" t="str">
        <f>IF(VLOOKUP(BQ51,Fundamentus!A:U,12,FALSE)&lt;2,"Subvalorizada",IF(VLOOKUP(BQ51,Fundamentus!A:U,12,FALSE)&lt;6,"Muita barata",IF(VLOOKUP(BQ51,Fundamentus!A:U,12,FALSE)&lt;6,"Barata",IF(VLOOKUP(BQ51,Fundamentus!A:U,12,FALSE)&lt;8,"Atrativa",IF(VLOOKUP(BQ51,Fundamentus!A:U,12,FALSE)&gt;8,"Supervalorizada","n/a")))))</f>
        <v>Muita barata</v>
      </c>
      <c r="ES51" s="17" t="str">
        <f>IF(VLOOKUP(BQ51,Fundamentus!A:U,17,FALSE)&lt;0.1,"Fraco retorno",IF(VLOOKUP(BQ51,Fundamentus!A:U,17,FALSE)&gt;0.1,"Bom retorno","n/a"))</f>
        <v>Fraco retorno</v>
      </c>
      <c r="ET51" s="17" t="str">
        <f>IF(VLOOKUP(BQ51,Fundamentus!A:U,16,FALSE)&lt;0.1,"Ineficiente",IF(VLOOKUP(BQ51,Fundamentus!A:U,16,FALSE)&gt;0.1,"Eficiente","n/a"))</f>
        <v>Ineficiente</v>
      </c>
      <c r="EU51" s="33" t="str">
        <f>IF(VLOOKUP(BQ51,Fundamentus!A:U,16,FALSE)&lt;0.1,"Oper. Ineficiente",IF(VLOOKUP(BQ51,Fundamentus!A:U,16,FALSE)&gt;0.1,"Oper.Eficiente","n/a"))</f>
        <v>Oper. Ineficiente</v>
      </c>
      <c r="EV51" s="34">
        <f>VLOOKUP(BQ51,Fundamentus!A:U,14,FALSE)</f>
        <v>4.8500000000000001E-2</v>
      </c>
      <c r="EW51" s="17" t="str">
        <f>IF(VLOOKUP(BQ51,Fundamentus!A:U,21,FALSE)&lt;0,"Negativo",IF(VLOOKUP(BQ51,Fundamentus!A:U,21,FALSE)&lt;0.05,"Fraco",IF(VLOOKUP(BQ51,Fundamentus!A:U,21,FALSE)&lt;0.1,"Bom",IF(VLOOKUP(BQ51,Fundamentus!A:U,21,FALSE)&gt;0.1,"Muito bom","n/a"))))</f>
        <v>Fraco</v>
      </c>
      <c r="EY51" s="29" t="str">
        <f>IF(VLOOKUP(BQ51,Fundamentus!A:U,15,FALSE)&gt;1,"Bom",IF(VLOOKUP(BQ51,Fundamentus!A:U,15,FALSE)&lt;1,"Ruim","n/a"))</f>
        <v>Bom</v>
      </c>
      <c r="EZ51" s="17" t="str">
        <f>IF(VLOOKUP(BQ51,Fundamentus!A:U,20,FALSE)&lt;0.5,"Baixa",IF(VLOOKUP(BQ51,Fundamentus!A:U,20,FALSE)&lt;1,"Moderada",IF(VLOOKUP(BQ51,Fundamentus!A:U,20,FALSE)&lt;2,"Alerta",IF(VLOOKUP(BQ51,Fundamentus!A:U,20,FALSE)&gt;2,"Alta","n/a"))))</f>
        <v>Baixa</v>
      </c>
    </row>
    <row r="52" spans="1:156" s="5" customFormat="1" ht="11.25" hidden="1" x14ac:dyDescent="0.2">
      <c r="A52" s="4">
        <v>9.82</v>
      </c>
      <c r="B52" s="4">
        <v>9.93</v>
      </c>
      <c r="C52" s="4">
        <v>10.26</v>
      </c>
      <c r="D52" s="4">
        <v>9.9700000000000006</v>
      </c>
      <c r="E52" s="4">
        <v>9.7100000000000009</v>
      </c>
      <c r="F52" s="4">
        <v>9.6999999999999993</v>
      </c>
      <c r="G52" s="4">
        <v>9.57</v>
      </c>
      <c r="H52" s="4">
        <v>9.68</v>
      </c>
      <c r="I52" s="4">
        <v>9.7799999999999994</v>
      </c>
      <c r="J52" s="4">
        <v>9.9499999999999993</v>
      </c>
      <c r="K52" s="4">
        <v>10.210000000000001</v>
      </c>
      <c r="L52" s="4">
        <v>10.36</v>
      </c>
      <c r="M52" s="4">
        <v>10.29</v>
      </c>
      <c r="N52" s="4">
        <v>9.84</v>
      </c>
      <c r="O52" s="4">
        <v>10.35</v>
      </c>
      <c r="P52" s="4">
        <v>10.91</v>
      </c>
      <c r="Q52" s="4">
        <v>10.96</v>
      </c>
      <c r="R52" s="4">
        <v>10.96</v>
      </c>
      <c r="S52" s="4">
        <v>11.12</v>
      </c>
      <c r="T52" s="4">
        <v>11.2</v>
      </c>
      <c r="U52" s="4">
        <v>10.97</v>
      </c>
      <c r="V52" s="4">
        <v>11.15</v>
      </c>
      <c r="W52" s="4">
        <v>10.62</v>
      </c>
      <c r="X52" s="4">
        <v>10.47</v>
      </c>
      <c r="Y52" s="4">
        <v>10.54</v>
      </c>
      <c r="Z52" s="4">
        <v>10.65</v>
      </c>
      <c r="AA52" s="4">
        <v>10.51</v>
      </c>
      <c r="AB52" s="4">
        <v>10.69</v>
      </c>
      <c r="AC52" s="4">
        <v>10.42</v>
      </c>
      <c r="AD52" s="4">
        <v>10.27</v>
      </c>
      <c r="AE52" s="4">
        <v>9.75</v>
      </c>
      <c r="AF52" s="4">
        <v>9.27</v>
      </c>
      <c r="AG52" s="4">
        <v>9.17</v>
      </c>
      <c r="AH52" s="4">
        <v>8.8000000000000007</v>
      </c>
      <c r="AI52" s="4">
        <v>8.83</v>
      </c>
      <c r="AJ52" s="4">
        <v>8.5299999999999994</v>
      </c>
      <c r="AK52" s="4">
        <v>8.66</v>
      </c>
      <c r="AL52" s="4">
        <v>9.0500000000000007</v>
      </c>
      <c r="AM52" s="4">
        <v>9.15</v>
      </c>
      <c r="AN52" s="4">
        <v>9.5299999999999994</v>
      </c>
      <c r="AO52" s="4">
        <v>9.52</v>
      </c>
      <c r="AP52" s="4">
        <v>9.81</v>
      </c>
      <c r="AQ52" s="4">
        <v>9.08</v>
      </c>
      <c r="AR52" s="4">
        <v>8.7899999999999991</v>
      </c>
      <c r="AS52" s="4">
        <v>8.9600000000000009</v>
      </c>
      <c r="AT52" s="4">
        <v>9.26</v>
      </c>
      <c r="AU52" s="4">
        <v>9.5799999999999983</v>
      </c>
      <c r="AV52" s="4">
        <v>9.6199999999999992</v>
      </c>
      <c r="AW52" s="4">
        <v>9.34</v>
      </c>
      <c r="AX52" s="4">
        <v>9.65</v>
      </c>
      <c r="AY52" s="12">
        <v>9.9499999999999993</v>
      </c>
      <c r="AZ52" s="12">
        <v>10.57</v>
      </c>
      <c r="BA52" s="12">
        <v>10.7</v>
      </c>
      <c r="BB52" s="15">
        <v>10.6</v>
      </c>
      <c r="BC52" s="52">
        <v>11.14</v>
      </c>
      <c r="BD52" s="52">
        <v>11.14</v>
      </c>
      <c r="BE52" s="52">
        <v>11.07</v>
      </c>
      <c r="BF52" s="52">
        <v>10.81</v>
      </c>
      <c r="BG52" s="67">
        <v>10.71</v>
      </c>
      <c r="BH52" s="52">
        <v>10.81</v>
      </c>
      <c r="BI52" s="52">
        <v>10.71</v>
      </c>
      <c r="BJ52" s="52">
        <v>11.12</v>
      </c>
      <c r="BK52" s="52">
        <v>10.48</v>
      </c>
      <c r="BL52" s="52">
        <v>10.45</v>
      </c>
      <c r="BM52" s="52">
        <v>10.44</v>
      </c>
      <c r="BN52" s="52">
        <v>10.34</v>
      </c>
      <c r="BO52" s="52">
        <v>10.88</v>
      </c>
      <c r="BP52" s="52" cm="1">
        <f t="array" aca="1" ref="BP52" ca="1">_FV(ED52,"Preço")</f>
        <v>11.03</v>
      </c>
      <c r="BQ52" s="69" t="s">
        <v>49</v>
      </c>
      <c r="BR52" s="36" cm="1">
        <f t="array" aca="1" ref="BR52" ca="1">_FV(ED52,"Média de volume",TRUE)</f>
        <v>18287870</v>
      </c>
      <c r="BS52" s="36">
        <v>13886700</v>
      </c>
      <c r="BT52" s="36" cm="1">
        <f t="array" aca="1" ref="BT52" ca="1">_FV(ED52,"Volume")</f>
        <v>82046300</v>
      </c>
      <c r="BU52" s="24" cm="1">
        <f t="array" aca="1" ref="BU52" ca="1">_FV(ED52,"Beta")</f>
        <v>1.1744000000000001</v>
      </c>
      <c r="BV52" s="71" cm="1">
        <f t="array" aca="1" ref="BV52" ca="1">_FV(ED52,"Variação (%)",TRUE)</f>
        <v>9.0740000000000005E-4</v>
      </c>
      <c r="BX52" s="17" cm="1">
        <f t="array" aca="1" ref="BX52" ca="1">_FV(ED52,"Baixo")</f>
        <v>10.9</v>
      </c>
      <c r="BY52" s="17" cm="1">
        <f t="array" aca="1" ref="BY52" ca="1">_FV(ED52,"Alto")</f>
        <v>11.08</v>
      </c>
      <c r="BZ52" s="24"/>
      <c r="CA52" s="63">
        <f ca="1">SQRT(22.5*(BP52/VLOOKUP(BQ52,Fundamentus!A:U,3,FALSE))*(BP52/VLOOKUP(BQ52,Fundamentus!A:U,4,FALSE)))</f>
        <v>16.323284831273188</v>
      </c>
      <c r="CC52" s="62">
        <f t="shared" ca="1" si="24"/>
        <v>1.3786764705882221E-2</v>
      </c>
      <c r="CD52" s="8"/>
      <c r="CE52" s="61">
        <f t="shared" si="25"/>
        <v>8.5299999999999994</v>
      </c>
      <c r="CF52" s="61">
        <f t="shared" si="26"/>
        <v>11.2</v>
      </c>
      <c r="CG52" s="61">
        <f t="shared" si="27"/>
        <v>10.106417910447762</v>
      </c>
      <c r="CH52" s="14"/>
      <c r="CI52" s="35">
        <f t="shared" si="1"/>
        <v>10.450962568718094</v>
      </c>
      <c r="CJ52" s="15">
        <f t="shared" si="28"/>
        <v>10.825000000000045</v>
      </c>
      <c r="CK52" s="35">
        <f t="shared" si="2"/>
        <v>11.199037431281997</v>
      </c>
      <c r="CM52" s="14"/>
      <c r="CN52" s="17">
        <f t="shared" si="3"/>
        <v>6.5366666666666671</v>
      </c>
      <c r="CO52" s="17">
        <f t="shared" si="4"/>
        <v>7.5333333333333332</v>
      </c>
      <c r="CP52" s="17">
        <f t="shared" si="5"/>
        <v>9.206666666666667</v>
      </c>
      <c r="CQ52" s="38">
        <f t="shared" si="29"/>
        <v>10.203333333333333</v>
      </c>
      <c r="CR52" s="17">
        <f t="shared" si="6"/>
        <v>11.876666666666667</v>
      </c>
      <c r="CS52" s="17">
        <f t="shared" si="7"/>
        <v>12.873333333333333</v>
      </c>
      <c r="CT52" s="17">
        <f t="shared" si="8"/>
        <v>14.546666666666667</v>
      </c>
      <c r="CU52" s="2" cm="1">
        <f t="array" aca="1" ref="CU52" ca="1">MAX(_xlfn._xlws.FILTER(CN52:CT52,CN52:CT52&lt;BP52))</f>
        <v>10.203333333333333</v>
      </c>
      <c r="CV52" s="2" cm="1">
        <f t="array" aca="1" ref="CV52" ca="1">MIN(_xlfn._xlws.FILTER($CN52:$CT52,$CN52:$CT52&gt;BP52))</f>
        <v>11.876666666666667</v>
      </c>
      <c r="CW52" s="16">
        <f t="shared" ca="1" si="80"/>
        <v>0.16399869323750416</v>
      </c>
      <c r="CX52" s="20">
        <f t="shared" ca="1" si="81"/>
        <v>-8.1999346618752078E-2</v>
      </c>
      <c r="CY52" s="20">
        <f t="shared" ca="1" si="82"/>
        <v>-5.466623107916805E-2</v>
      </c>
      <c r="CZ52" s="20">
        <f t="shared" ca="1" si="83"/>
        <v>-3.2799738647500833E-2</v>
      </c>
      <c r="DA52" s="20">
        <f t="shared" ca="1" si="84"/>
        <v>-1.8222077026389352E-2</v>
      </c>
      <c r="DB52" s="20">
        <f t="shared" ca="1" si="85"/>
        <v>-9.6469819551473039E-3</v>
      </c>
      <c r="DC52" s="20">
        <f t="shared" ca="1" si="86"/>
        <v>-4.9696573708334591E-3</v>
      </c>
      <c r="DD52" s="20">
        <f t="shared" ca="1" si="87"/>
        <v>-2.5230568190385255E-3</v>
      </c>
      <c r="DE52" s="21">
        <f t="shared" ca="1" si="88"/>
        <v>2.5230568190385255E-3</v>
      </c>
      <c r="DF52" s="21">
        <f t="shared" ca="1" si="89"/>
        <v>4.9696573708334591E-3</v>
      </c>
      <c r="DG52" s="21">
        <f t="shared" ca="1" si="90"/>
        <v>9.6469819551473039E-3</v>
      </c>
      <c r="DH52" s="21">
        <f t="shared" ca="1" si="91"/>
        <v>1.8222077026389352E-2</v>
      </c>
      <c r="DI52" s="21">
        <f t="shared" ca="1" si="92"/>
        <v>3.2799738647500833E-2</v>
      </c>
      <c r="DJ52" s="21">
        <f t="shared" ca="1" si="93"/>
        <v>5.466623107916805E-2</v>
      </c>
      <c r="DK52" s="21">
        <f t="shared" ca="1" si="94"/>
        <v>8.1999346618752078E-2</v>
      </c>
      <c r="DM52" s="16" cm="1">
        <f t="array" aca="1" ref="DM52" ca="1">MAX(_xlfn._xlws.FILTER(CX52:DK52,CX52:DK52&lt;BV52))</f>
        <v>-2.5230568190385255E-3</v>
      </c>
      <c r="DN52" s="16" cm="1">
        <f t="array" aca="1" ref="DN52" ca="1">MIN(_xlfn._xlws.FILTER(CX52:DK52,CX52:DK52&gt;BV52))</f>
        <v>2.5230568190385255E-3</v>
      </c>
      <c r="DO52" s="2" cm="1">
        <f t="array" aca="1" ref="DO52" ca="1">_FV(ED52,"Fechamento anterior",TRUE)</f>
        <v>11.02</v>
      </c>
      <c r="DP52" s="28">
        <f t="shared" ca="1" si="15"/>
        <v>0.67982968308254588</v>
      </c>
      <c r="DQ52" s="15">
        <f t="shared" ca="1" si="95"/>
        <v>10.992195913854195</v>
      </c>
      <c r="DR52" s="15">
        <f t="shared" ca="1" si="96"/>
        <v>11.047804086145804</v>
      </c>
      <c r="DS52" s="9"/>
      <c r="DT52" s="9"/>
      <c r="DU52" s="9"/>
      <c r="DV52" s="89">
        <v>5.0461136380770509E-3</v>
      </c>
      <c r="DW52" s="89">
        <f t="shared" ca="1" si="18"/>
        <v>5.0461136380770509E-3</v>
      </c>
      <c r="DX52" s="72">
        <f t="shared" ca="1" si="19"/>
        <v>0.54807348905522646</v>
      </c>
      <c r="DY52" s="37"/>
      <c r="DZ52" s="35">
        <f t="shared" si="39"/>
        <v>0.18701871564097577</v>
      </c>
      <c r="EA52" s="56"/>
      <c r="EB52" s="56"/>
      <c r="ED52" s="5" t="e" vm="52">
        <v>#VALUE!</v>
      </c>
      <c r="EF52" s="10" cm="1">
        <f t="array" aca="1" ref="EF52" ca="1">_FV(ED52,"Ações em circulação",TRUE)</f>
        <v>10993810000</v>
      </c>
      <c r="EG52" s="18">
        <f>VLOOKUP(BQ52,Fundamentus!A:U,5,FALSE)</f>
        <v>14.128</v>
      </c>
      <c r="EH52" s="2">
        <f t="shared" ca="1" si="20"/>
        <v>8583077880.8040771</v>
      </c>
      <c r="EI52" s="17">
        <v>15882880567.157419</v>
      </c>
      <c r="EJ52" s="17">
        <f t="shared" ca="1" si="21"/>
        <v>16101854104.388449</v>
      </c>
      <c r="EK52" s="2"/>
      <c r="EL52" s="16">
        <f t="shared" ca="1" si="22"/>
        <v>1.3786764705882248E-2</v>
      </c>
      <c r="EM52" s="32" t="str">
        <f>IF(VLOOKUP(BQ52,Fundamentus!A:U,3,FALSE)&lt;15,"Bom",IF(VLOOKUP(BQ52,Fundamentus!A:U,3,FALSE)&gt;15,"Ruim","n/a"))</f>
        <v>Bom</v>
      </c>
      <c r="EN52" s="28" t="str">
        <f>IF(VLOOKUP(BQ52,Fundamentus!A:U,4,FALSE)&lt;1,"Baixo",IF(VLOOKUP(BQ52,Fundamentus!A:U,4,FALSE)&lt;1.5,"Moderado",IF(VLOOKUP(BQ52,Fundamentus!A:U,4,FALSE)&gt;1.5,"Alto","n/a")))</f>
        <v>Moderado</v>
      </c>
      <c r="EO52" s="17" t="str">
        <f>IF(VLOOKUP(BQ52,Fundamentus!A:U,8,FALSE)&lt;0,"Risco elevado",IF(VLOOKUP(BQ52,Fundamentus!A:U,8,FALSE)&lt;1,"Saudável",IF(VLOOKUP(BQ52,Fundamentus!A:U,8,FALSE)&lt;3,"Estável",IF(VLOOKUP(BQ52,Fundamentus!A:U,8,FALSE)&gt;3,"Alerta","n/a"))))</f>
        <v>Alerta</v>
      </c>
      <c r="EP52" s="28" t="str">
        <f t="shared" si="23"/>
        <v>Bom</v>
      </c>
      <c r="EQ52" s="17" t="str">
        <f>IF(VLOOKUP(BQ52,Fundamentus!A:U,12,FALSE)&lt;2,"Subvalorizada",IF(VLOOKUP(BQ52,Fundamentus!A:U,12,FALSE)&lt;6,"Muita barata",IF(VLOOKUP(BQ52,Fundamentus!A:U,12,FALSE)&lt;6,"Barata",IF(VLOOKUP(BQ52,Fundamentus!A:U,12,FALSE)&lt;8,"Atrativa",IF(VLOOKUP(BQ52,Fundamentus!A:U,12,FALSE)&gt;8,"Supervalorizada","n/a")))))</f>
        <v>Supervalorizada</v>
      </c>
      <c r="ER52" s="2"/>
      <c r="ES52" s="17" t="str">
        <f>IF(VLOOKUP(BQ52,Fundamentus!A:U,17,FALSE)&lt;0.1,"Fraco retorno",IF(VLOOKUP(BQ52,Fundamentus!A:U,17,FALSE)&gt;0.1,"Bom retorno","n/a"))</f>
        <v>Bom retorno</v>
      </c>
      <c r="ET52" s="17" t="str">
        <f>IF(VLOOKUP(BQ52,Fundamentus!A:U,16,FALSE)&lt;0.1,"Ineficiente",IF(VLOOKUP(BQ52,Fundamentus!A:U,16,FALSE)&gt;0.1,"Eficiente","n/a"))</f>
        <v>Ineficiente</v>
      </c>
      <c r="EU52" s="33" t="str">
        <f>IF(VLOOKUP(BQ52,Fundamentus!A:U,16,FALSE)&lt;0.1,"Oper. Ineficiente",IF(VLOOKUP(BQ52,Fundamentus!A:U,16,FALSE)&gt;0.1,"Oper.Eficiente","n/a"))</f>
        <v>Oper. Ineficiente</v>
      </c>
      <c r="EV52" s="34">
        <f>VLOOKUP(BQ52,Fundamentus!A:U,14,FALSE)</f>
        <v>1.8759999999999999</v>
      </c>
      <c r="EW52" s="17" t="str">
        <f>IF(VLOOKUP(BQ52,Fundamentus!A:U,21,FALSE)&lt;0,"Negativo",IF(VLOOKUP(BQ52,Fundamentus!A:U,21,FALSE)&lt;0.05,"Fraco",IF(VLOOKUP(BQ52,Fundamentus!A:U,21,FALSE)&lt;0.1,"Bom",IF(VLOOKUP(BQ52,Fundamentus!A:U,21,FALSE)&gt;0.1,"Muito bom","n/a"))))</f>
        <v>Fraco</v>
      </c>
      <c r="EY52" s="29" t="str">
        <f>IF(VLOOKUP(BQ52,Fundamentus!A:U,15,FALSE)&gt;1,"Bom",IF(VLOOKUP(BQ52,Fundamentus!A:U,15,FALSE)&lt;1,"Ruim","n/a"))</f>
        <v>Bom</v>
      </c>
      <c r="EZ52" s="17" t="str">
        <f>IF(VLOOKUP(BQ52,Fundamentus!A:U,20,FALSE)&lt;0.5,"Baixa",IF(VLOOKUP(BQ52,Fundamentus!A:U,20,FALSE)&lt;1,"Moderada",IF(VLOOKUP(BQ52,Fundamentus!A:U,20,FALSE)&lt;2,"Alerta",IF(VLOOKUP(BQ52,Fundamentus!A:U,20,FALSE)&gt;2,"Alta","n/a"))))</f>
        <v>Baixa</v>
      </c>
    </row>
    <row r="53" spans="1:156" s="2" customFormat="1" ht="11.25" hidden="1" x14ac:dyDescent="0.2">
      <c r="A53" s="4">
        <v>25.46</v>
      </c>
      <c r="B53" s="4">
        <v>23.53</v>
      </c>
      <c r="C53" s="4">
        <v>23.24</v>
      </c>
      <c r="D53" s="4">
        <v>21.86</v>
      </c>
      <c r="E53" s="4">
        <v>22.55</v>
      </c>
      <c r="F53" s="4">
        <v>22.6</v>
      </c>
      <c r="G53" s="4">
        <v>21.73</v>
      </c>
      <c r="H53" s="4">
        <v>21.9</v>
      </c>
      <c r="I53" s="4">
        <v>21.6</v>
      </c>
      <c r="J53" s="4">
        <v>23.05</v>
      </c>
      <c r="K53" s="4">
        <v>22.97</v>
      </c>
      <c r="L53" s="4">
        <v>22.36</v>
      </c>
      <c r="M53" s="4">
        <v>21.1</v>
      </c>
      <c r="N53" s="4">
        <v>20.68</v>
      </c>
      <c r="O53" s="4">
        <v>22.79</v>
      </c>
      <c r="P53" s="4">
        <v>22.88</v>
      </c>
      <c r="Q53" s="4">
        <v>23.3</v>
      </c>
      <c r="R53" s="4">
        <v>22.05</v>
      </c>
      <c r="S53" s="4">
        <v>22.19</v>
      </c>
      <c r="T53" s="4">
        <v>23.12</v>
      </c>
      <c r="U53" s="4">
        <v>22</v>
      </c>
      <c r="V53" s="4">
        <v>21.53</v>
      </c>
      <c r="W53" s="4">
        <v>22.05</v>
      </c>
      <c r="X53" s="4">
        <v>21.9</v>
      </c>
      <c r="Y53" s="4">
        <v>21.43</v>
      </c>
      <c r="Z53" s="4">
        <v>21.4</v>
      </c>
      <c r="AA53" s="4">
        <v>21.06</v>
      </c>
      <c r="AB53" s="4">
        <v>20.45</v>
      </c>
      <c r="AC53" s="4">
        <v>19.79</v>
      </c>
      <c r="AD53" s="4">
        <v>19.95</v>
      </c>
      <c r="AE53" s="4">
        <v>18.22</v>
      </c>
      <c r="AF53" s="4">
        <v>18.43</v>
      </c>
      <c r="AG53" s="4">
        <v>18.55</v>
      </c>
      <c r="AH53" s="4">
        <v>17.190000000000001</v>
      </c>
      <c r="AI53" s="4">
        <v>16.98</v>
      </c>
      <c r="AJ53" s="4">
        <v>16.7</v>
      </c>
      <c r="AK53" s="4">
        <v>17.5</v>
      </c>
      <c r="AL53" s="4">
        <v>17.91</v>
      </c>
      <c r="AM53" s="4">
        <v>18.68</v>
      </c>
      <c r="AN53" s="4">
        <v>19.48</v>
      </c>
      <c r="AO53" s="4">
        <v>18.38</v>
      </c>
      <c r="AP53" s="4">
        <v>19.37</v>
      </c>
      <c r="AQ53" s="4">
        <v>19.440000000000001</v>
      </c>
      <c r="AR53" s="4">
        <v>17.84</v>
      </c>
      <c r="AS53" s="4">
        <v>18.920000000000002</v>
      </c>
      <c r="AT53" s="4">
        <v>19.7</v>
      </c>
      <c r="AU53" s="4">
        <v>20.7</v>
      </c>
      <c r="AV53" s="4">
        <v>21.35</v>
      </c>
      <c r="AW53" s="4">
        <v>20.2</v>
      </c>
      <c r="AX53" s="4">
        <v>21.61</v>
      </c>
      <c r="AY53" s="12">
        <v>23.1</v>
      </c>
      <c r="AZ53" s="12">
        <v>24.14</v>
      </c>
      <c r="BA53" s="12">
        <v>24.45</v>
      </c>
      <c r="BB53" s="15">
        <v>23.37</v>
      </c>
      <c r="BC53" s="52">
        <v>22.95</v>
      </c>
      <c r="BD53" s="52">
        <v>23.28</v>
      </c>
      <c r="BE53" s="52">
        <v>24.01</v>
      </c>
      <c r="BF53" s="52">
        <v>24.31</v>
      </c>
      <c r="BG53" s="67">
        <v>24.17</v>
      </c>
      <c r="BH53" s="52">
        <v>23.91</v>
      </c>
      <c r="BI53" s="52">
        <v>24.29</v>
      </c>
      <c r="BJ53" s="52">
        <v>23.36</v>
      </c>
      <c r="BK53" s="52">
        <v>22.71</v>
      </c>
      <c r="BL53" s="52">
        <v>21.95</v>
      </c>
      <c r="BM53" s="52">
        <v>20.94</v>
      </c>
      <c r="BN53" s="52">
        <v>20.95</v>
      </c>
      <c r="BO53" s="52">
        <v>23.47</v>
      </c>
      <c r="BP53" s="52" cm="1">
        <f t="array" aca="1" ref="BP53" ca="1">_FV(ED53,"Preço")</f>
        <v>23.57</v>
      </c>
      <c r="BQ53" s="69" t="s">
        <v>50</v>
      </c>
      <c r="BR53" s="36" cm="1">
        <f t="array" aca="1" ref="BR53" ca="1">_FV(ED53,"Média de volume",TRUE)</f>
        <v>5273370</v>
      </c>
      <c r="BS53" s="36">
        <v>5511500</v>
      </c>
      <c r="BT53" s="36" cm="1">
        <f t="array" aca="1" ref="BT53" ca="1">_FV(ED53,"Volume")</f>
        <v>3330900</v>
      </c>
      <c r="BU53" s="24" cm="1">
        <f t="array" aca="1" ref="BU53" ca="1">_FV(ED53,"Beta")</f>
        <v>2.1394000000000002</v>
      </c>
      <c r="BV53" s="71" cm="1">
        <f t="array" aca="1" ref="BV53" ca="1">_FV(ED53,"Variação (%)",TRUE)</f>
        <v>8.9899999999999997E-3</v>
      </c>
      <c r="BX53" s="17" cm="1">
        <f t="array" aca="1" ref="BX53" ca="1">_FV(ED53,"Baixo")</f>
        <v>23.22</v>
      </c>
      <c r="BY53" s="17" cm="1">
        <f t="array" aca="1" ref="BY53" ca="1">_FV(ED53,"Alto")</f>
        <v>23.78</v>
      </c>
      <c r="BZ53" s="24"/>
      <c r="CA53" s="63">
        <f ca="1">SQRT(22.5*(BP53/VLOOKUP(BQ53,Fundamentus!A:U,3,FALSE))*(BP53/VLOOKUP(BQ53,Fundamentus!A:U,4,FALSE)))</f>
        <v>13.886548593730875</v>
      </c>
      <c r="CC53" s="62">
        <f t="shared" ca="1" si="24"/>
        <v>4.26075841499793E-3</v>
      </c>
      <c r="CD53" s="8"/>
      <c r="CE53" s="61">
        <f t="shared" si="25"/>
        <v>16.7</v>
      </c>
      <c r="CF53" s="61">
        <f t="shared" si="26"/>
        <v>25.46</v>
      </c>
      <c r="CG53" s="61">
        <f t="shared" si="27"/>
        <v>21.418358208955226</v>
      </c>
      <c r="CH53" s="14"/>
      <c r="CI53" s="35">
        <f t="shared" si="1"/>
        <v>20.991410603485203</v>
      </c>
      <c r="CJ53" s="15">
        <f t="shared" si="28"/>
        <v>22.9699999999998</v>
      </c>
      <c r="CK53" s="35">
        <f t="shared" si="2"/>
        <v>24.948589396514397</v>
      </c>
      <c r="CM53" s="14"/>
      <c r="CN53" s="17">
        <f t="shared" si="3"/>
        <v>9.5333333333333279</v>
      </c>
      <c r="CO53" s="17">
        <f t="shared" si="4"/>
        <v>13.116666666666664</v>
      </c>
      <c r="CP53" s="17">
        <f t="shared" si="5"/>
        <v>18.293333333333329</v>
      </c>
      <c r="CQ53" s="38">
        <f t="shared" si="29"/>
        <v>21.876666666666665</v>
      </c>
      <c r="CR53" s="17">
        <f t="shared" si="6"/>
        <v>27.053333333333331</v>
      </c>
      <c r="CS53" s="17">
        <f t="shared" si="7"/>
        <v>30.636666666666667</v>
      </c>
      <c r="CT53" s="17">
        <f t="shared" si="8"/>
        <v>35.813333333333333</v>
      </c>
      <c r="CU53" s="2" cm="1">
        <f t="array" aca="1" ref="CU53" ca="1">MAX(_xlfn._xlws.FILTER(CN53:CT53,CN53:CT53&lt;BP53))</f>
        <v>21.876666666666665</v>
      </c>
      <c r="CV53" s="2" cm="1">
        <f t="array" aca="1" ref="CV53" ca="1">MIN(_xlfn._xlws.FILTER($CN53:$CT53,$CN53:$CT53&gt;BP53))</f>
        <v>27.053333333333331</v>
      </c>
      <c r="CW53" s="16">
        <f t="shared" ca="1" si="80"/>
        <v>0.23662959012646656</v>
      </c>
      <c r="CX53" s="20">
        <f t="shared" ca="1" si="81"/>
        <v>-0.11831479506323328</v>
      </c>
      <c r="CY53" s="20">
        <f t="shared" ca="1" si="82"/>
        <v>-7.8876530042155515E-2</v>
      </c>
      <c r="CZ53" s="20">
        <f t="shared" ca="1" si="83"/>
        <v>-4.7325918025293311E-2</v>
      </c>
      <c r="DA53" s="20">
        <f t="shared" ca="1" si="84"/>
        <v>-2.6292176680718506E-2</v>
      </c>
      <c r="DB53" s="20">
        <f t="shared" ca="1" si="85"/>
        <v>-1.3919387654498032E-2</v>
      </c>
      <c r="DC53" s="20">
        <f t="shared" ca="1" si="86"/>
        <v>-7.1705936401959564E-3</v>
      </c>
      <c r="DD53" s="20">
        <f t="shared" ca="1" si="87"/>
        <v>-3.6404552327148703E-3</v>
      </c>
      <c r="DE53" s="21">
        <f t="shared" ca="1" si="88"/>
        <v>3.6404552327148703E-3</v>
      </c>
      <c r="DF53" s="21">
        <f t="shared" ca="1" si="89"/>
        <v>7.1705936401959564E-3</v>
      </c>
      <c r="DG53" s="21">
        <f t="shared" ca="1" si="90"/>
        <v>1.3919387654498032E-2</v>
      </c>
      <c r="DH53" s="21">
        <f t="shared" ca="1" si="91"/>
        <v>2.6292176680718506E-2</v>
      </c>
      <c r="DI53" s="21">
        <f t="shared" ca="1" si="92"/>
        <v>4.7325918025293311E-2</v>
      </c>
      <c r="DJ53" s="21">
        <f t="shared" ca="1" si="93"/>
        <v>7.8876530042155515E-2</v>
      </c>
      <c r="DK53" s="21">
        <f t="shared" ca="1" si="94"/>
        <v>0.11831479506323328</v>
      </c>
      <c r="DM53" s="16" cm="1">
        <f t="array" aca="1" ref="DM53" ca="1">MAX(_xlfn._xlws.FILTER(CX53:DK53,CX53:DK53&lt;BV53))</f>
        <v>7.1705936401959564E-3</v>
      </c>
      <c r="DN53" s="16" cm="1">
        <f t="array" aca="1" ref="DN53" ca="1">MIN(_xlfn._xlws.FILTER(CX53:DK53,CX53:DK53&gt;BV53))</f>
        <v>1.3919387654498032E-2</v>
      </c>
      <c r="DO53" s="2" cm="1">
        <f t="array" aca="1" ref="DO53" ca="1">_FV(ED53,"Fechamento anterior",TRUE)</f>
        <v>23.36</v>
      </c>
      <c r="DP53" s="28">
        <f t="shared" ca="1" si="15"/>
        <v>0.26954925329566409</v>
      </c>
      <c r="DQ53" s="15">
        <f t="shared" ca="1" si="95"/>
        <v>23.527505067434976</v>
      </c>
      <c r="DR53" s="15">
        <f t="shared" ca="1" si="96"/>
        <v>23.685156895609072</v>
      </c>
      <c r="DS53" s="9"/>
      <c r="DT53" s="9"/>
      <c r="DU53" s="9"/>
      <c r="DV53" s="89">
        <v>6.7487940143020758E-3</v>
      </c>
      <c r="DW53" s="89">
        <f t="shared" ca="1" si="18"/>
        <v>6.7487940143020758E-3</v>
      </c>
      <c r="DX53" s="72">
        <f t="shared" ca="1" si="19"/>
        <v>0.30324634361082509</v>
      </c>
      <c r="DY53" s="37"/>
      <c r="DZ53" s="35">
        <f t="shared" si="39"/>
        <v>0.98929469825729854</v>
      </c>
      <c r="EA53" s="56"/>
      <c r="EB53" s="56"/>
      <c r="ED53" s="2" t="e" vm="53">
        <v>#VALUE!</v>
      </c>
      <c r="EF53" s="10" cm="1">
        <f t="array" aca="1" ref="EF53" ca="1">_FV(ED53,"Ações em circulação",TRUE)</f>
        <v>597250100</v>
      </c>
      <c r="EG53" s="18">
        <f>VLOOKUP(BQ53,Fundamentus!A:U,5,FALSE)</f>
        <v>2.1509999999999998</v>
      </c>
      <c r="EH53" s="2">
        <f t="shared" ca="1" si="20"/>
        <v>6544483894.4676905</v>
      </c>
      <c r="EI53" s="17">
        <v>507652311.52082753</v>
      </c>
      <c r="EJ53" s="17">
        <f t="shared" ca="1" si="21"/>
        <v>509815295.37903309</v>
      </c>
      <c r="EL53" s="16">
        <f t="shared" ca="1" si="22"/>
        <v>4.2607584149980671E-3</v>
      </c>
      <c r="EM53" s="32" t="str">
        <f>IF(VLOOKUP(BQ53,Fundamentus!A:U,3,FALSE)&lt;15,"Bom",IF(VLOOKUP(BQ53,Fundamentus!A:U,3,FALSE)&gt;15,"Ruim","n/a"))</f>
        <v>Ruim</v>
      </c>
      <c r="EN53" s="28" t="str">
        <f>IF(VLOOKUP(BQ53,Fundamentus!A:U,4,FALSE)&lt;1,"Baixo",IF(VLOOKUP(BQ53,Fundamentus!A:U,4,FALSE)&lt;1.5,"Moderado",IF(VLOOKUP(BQ53,Fundamentus!A:U,4,FALSE)&gt;1.5,"Alto","n/a")))</f>
        <v>Alto</v>
      </c>
      <c r="EO53" s="17" t="str">
        <f>IF(VLOOKUP(BQ53,Fundamentus!A:U,8,FALSE)&lt;0,"Risco elevado",IF(VLOOKUP(BQ53,Fundamentus!A:U,8,FALSE)&lt;1,"Saudável",IF(VLOOKUP(BQ53,Fundamentus!A:U,8,FALSE)&lt;3,"Estável",IF(VLOOKUP(BQ53,Fundamentus!A:U,8,FALSE)&gt;3,"Alerta","n/a"))))</f>
        <v>Alerta</v>
      </c>
      <c r="EP53" s="28" t="str">
        <f t="shared" si="23"/>
        <v>Bom</v>
      </c>
      <c r="EQ53" s="17" t="str">
        <f>IF(VLOOKUP(BQ53,Fundamentus!A:U,12,FALSE)&lt;2,"Subvalorizada",IF(VLOOKUP(BQ53,Fundamentus!A:U,12,FALSE)&lt;6,"Muita barata",IF(VLOOKUP(BQ53,Fundamentus!A:U,12,FALSE)&lt;6,"Barata",IF(VLOOKUP(BQ53,Fundamentus!A:U,12,FALSE)&lt;8,"Atrativa",IF(VLOOKUP(BQ53,Fundamentus!A:U,12,FALSE)&gt;8,"Supervalorizada","n/a")))))</f>
        <v>Muita barata</v>
      </c>
      <c r="ES53" s="17" t="str">
        <f>IF(VLOOKUP(BQ53,Fundamentus!A:U,17,FALSE)&lt;0.1,"Fraco retorno",IF(VLOOKUP(BQ53,Fundamentus!A:U,17,FALSE)&gt;0.1,"Bom retorno","n/a"))</f>
        <v>Fraco retorno</v>
      </c>
      <c r="ET53" s="17" t="str">
        <f>IF(VLOOKUP(BQ53,Fundamentus!A:U,16,FALSE)&lt;0.1,"Ineficiente",IF(VLOOKUP(BQ53,Fundamentus!A:U,16,FALSE)&gt;0.1,"Eficiente","n/a"))</f>
        <v>Ineficiente</v>
      </c>
      <c r="EU53" s="33" t="str">
        <f>IF(VLOOKUP(BQ53,Fundamentus!A:U,16,FALSE)&lt;0.1,"Oper. Ineficiente",IF(VLOOKUP(BQ53,Fundamentus!A:U,16,FALSE)&gt;0.1,"Oper.Eficiente","n/a"))</f>
        <v>Oper. Ineficiente</v>
      </c>
      <c r="EV53" s="34">
        <f>VLOOKUP(BQ53,Fundamentus!A:U,14,FALSE)</f>
        <v>7.7899999999999997E-2</v>
      </c>
      <c r="EW53" s="17" t="str">
        <f>IF(VLOOKUP(BQ53,Fundamentus!A:U,21,FALSE)&lt;0,"Negativo",IF(VLOOKUP(BQ53,Fundamentus!A:U,21,FALSE)&lt;0.05,"Fraco",IF(VLOOKUP(BQ53,Fundamentus!A:U,21,FALSE)&lt;0.1,"Bom",IF(VLOOKUP(BQ53,Fundamentus!A:U,21,FALSE)&gt;0.1,"Muito bom","n/a"))))</f>
        <v>Muito bom</v>
      </c>
      <c r="EY53" s="29" t="str">
        <f>IF(VLOOKUP(BQ53,Fundamentus!A:U,15,FALSE)&gt;1,"Bom",IF(VLOOKUP(BQ53,Fundamentus!A:U,15,FALSE)&lt;1,"Ruim","n/a"))</f>
        <v>Bom</v>
      </c>
      <c r="EZ53" s="17" t="str">
        <f>IF(VLOOKUP(BQ53,Fundamentus!A:U,20,FALSE)&lt;0.5,"Baixa",IF(VLOOKUP(BQ53,Fundamentus!A:U,20,FALSE)&lt;1,"Moderada",IF(VLOOKUP(BQ53,Fundamentus!A:U,20,FALSE)&lt;2,"Alerta",IF(VLOOKUP(BQ53,Fundamentus!A:U,20,FALSE)&gt;2,"Alta","n/a"))))</f>
        <v>Alerta</v>
      </c>
    </row>
    <row r="54" spans="1:156" s="2" customFormat="1" ht="11.25" hidden="1" x14ac:dyDescent="0.2">
      <c r="A54" s="4">
        <v>14.83</v>
      </c>
      <c r="B54" s="4">
        <v>14.75</v>
      </c>
      <c r="C54" s="4">
        <v>14.56</v>
      </c>
      <c r="D54" s="4">
        <v>14.3</v>
      </c>
      <c r="E54" s="4">
        <v>14.05</v>
      </c>
      <c r="F54" s="4">
        <v>14.42</v>
      </c>
      <c r="G54" s="4">
        <v>14.2</v>
      </c>
      <c r="H54" s="4">
        <v>14.21</v>
      </c>
      <c r="I54" s="4">
        <v>14.99</v>
      </c>
      <c r="J54" s="4">
        <v>15.07</v>
      </c>
      <c r="K54" s="4">
        <v>15.58</v>
      </c>
      <c r="L54" s="4">
        <v>15.61</v>
      </c>
      <c r="M54" s="4">
        <v>15.32</v>
      </c>
      <c r="N54" s="4">
        <v>15.38</v>
      </c>
      <c r="O54" s="4">
        <v>15.85</v>
      </c>
      <c r="P54" s="4">
        <v>15.77</v>
      </c>
      <c r="Q54" s="4">
        <v>16</v>
      </c>
      <c r="R54" s="4">
        <v>15.95</v>
      </c>
      <c r="S54" s="4">
        <v>16.73</v>
      </c>
      <c r="T54" s="4">
        <v>16.670000000000002</v>
      </c>
      <c r="U54" s="4">
        <v>16.45</v>
      </c>
      <c r="V54" s="4">
        <v>15.59</v>
      </c>
      <c r="W54" s="4">
        <v>15.15</v>
      </c>
      <c r="X54" s="4">
        <v>14.81</v>
      </c>
      <c r="Y54" s="4">
        <v>14.95</v>
      </c>
      <c r="Z54" s="4">
        <v>15.03</v>
      </c>
      <c r="AA54" s="4">
        <v>14.24</v>
      </c>
      <c r="AB54" s="4">
        <v>13.59</v>
      </c>
      <c r="AC54" s="4">
        <v>13.77</v>
      </c>
      <c r="AD54" s="4">
        <v>13.58</v>
      </c>
      <c r="AE54" s="4">
        <v>13.18</v>
      </c>
      <c r="AF54" s="4">
        <v>13.09</v>
      </c>
      <c r="AG54" s="4">
        <v>13.13</v>
      </c>
      <c r="AH54" s="4">
        <v>12.37</v>
      </c>
      <c r="AI54" s="4">
        <v>12.24</v>
      </c>
      <c r="AJ54" s="4">
        <v>11.95</v>
      </c>
      <c r="AK54" s="4">
        <v>11.84</v>
      </c>
      <c r="AL54" s="4">
        <v>11.54</v>
      </c>
      <c r="AM54" s="4">
        <v>11.58</v>
      </c>
      <c r="AN54" s="4">
        <v>11.84</v>
      </c>
      <c r="AO54" s="4">
        <v>11.69</v>
      </c>
      <c r="AP54" s="4">
        <v>12.45</v>
      </c>
      <c r="AQ54" s="4">
        <v>11.74</v>
      </c>
      <c r="AR54" s="4">
        <v>11.09</v>
      </c>
      <c r="AS54" s="4">
        <v>11.06</v>
      </c>
      <c r="AT54" s="4">
        <v>11.55</v>
      </c>
      <c r="AU54" s="4">
        <v>11.914999999999999</v>
      </c>
      <c r="AV54" s="4">
        <v>11.75</v>
      </c>
      <c r="AW54" s="4">
        <v>11.7</v>
      </c>
      <c r="AX54" s="4">
        <v>12.02</v>
      </c>
      <c r="AY54" s="12">
        <v>12.29</v>
      </c>
      <c r="AZ54" s="12">
        <v>12.98</v>
      </c>
      <c r="BA54" s="12">
        <v>12.99</v>
      </c>
      <c r="BB54" s="15">
        <v>13.18</v>
      </c>
      <c r="BC54" s="52">
        <v>12.65</v>
      </c>
      <c r="BD54" s="52">
        <v>12.59</v>
      </c>
      <c r="BE54" s="52">
        <v>12.85</v>
      </c>
      <c r="BF54" s="52">
        <v>13.07</v>
      </c>
      <c r="BG54" s="67">
        <v>13.02</v>
      </c>
      <c r="BH54" s="52">
        <v>13.06</v>
      </c>
      <c r="BI54" s="52">
        <v>12.73</v>
      </c>
      <c r="BJ54" s="52">
        <v>13.02</v>
      </c>
      <c r="BK54" s="52">
        <v>12.62</v>
      </c>
      <c r="BL54" s="52">
        <v>12.63</v>
      </c>
      <c r="BM54" s="52">
        <v>14.48</v>
      </c>
      <c r="BN54" s="52">
        <v>14.24</v>
      </c>
      <c r="BO54" s="52">
        <v>14.49</v>
      </c>
      <c r="BP54" s="52" cm="1">
        <f t="array" aca="1" ref="BP54" ca="1">_FV(ED54,"Preço")</f>
        <v>14.08</v>
      </c>
      <c r="BQ54" s="69" t="s">
        <v>51</v>
      </c>
      <c r="BR54" s="36" cm="1">
        <f t="array" aca="1" ref="BR54" ca="1">_FV(ED54,"Média de volume",TRUE)</f>
        <v>3176190</v>
      </c>
      <c r="BS54" s="36">
        <v>2333700</v>
      </c>
      <c r="BT54" s="36" cm="1">
        <f t="array" aca="1" ref="BT54" ca="1">_FV(ED54,"Volume")</f>
        <v>2576200</v>
      </c>
      <c r="BU54" s="24" cm="1">
        <f t="array" aca="1" ref="BU54" ca="1">_FV(ED54,"Beta")</f>
        <v>0.60440000000000005</v>
      </c>
      <c r="BV54" s="71" cm="1">
        <f t="array" aca="1" ref="BV54" ca="1">_FV(ED54,"Variação (%)",TRUE)</f>
        <v>1.0043E-2</v>
      </c>
      <c r="BX54" s="17" cm="1">
        <f t="array" aca="1" ref="BX54" ca="1">_FV(ED54,"Baixo")</f>
        <v>13.72</v>
      </c>
      <c r="BY54" s="17" cm="1">
        <f t="array" aca="1" ref="BY54" ca="1">_FV(ED54,"Alto")</f>
        <v>14.22</v>
      </c>
      <c r="BZ54" s="24"/>
      <c r="CA54" s="63">
        <f ca="1">SQRT(22.5*(BP54/VLOOKUP(BQ54,Fundamentus!A:U,3,FALSE))*(BP54/VLOOKUP(BQ54,Fundamentus!A:U,4,FALSE)))</f>
        <v>15.230945255099712</v>
      </c>
      <c r="CC54" s="62">
        <f t="shared" ca="1" si="24"/>
        <v>-2.8295376121463087E-2</v>
      </c>
      <c r="CD54" s="8"/>
      <c r="CE54" s="61">
        <f t="shared" si="25"/>
        <v>11.06</v>
      </c>
      <c r="CF54" s="61">
        <f t="shared" si="26"/>
        <v>16.73</v>
      </c>
      <c r="CG54" s="61">
        <f t="shared" si="27"/>
        <v>13.642014925373134</v>
      </c>
      <c r="CH54" s="14"/>
      <c r="CI54" s="35">
        <f t="shared" si="1"/>
        <v>13.5434110071139</v>
      </c>
      <c r="CJ54" s="15">
        <f t="shared" si="28"/>
        <v>15.295000000000073</v>
      </c>
      <c r="CK54" s="35">
        <f t="shared" si="2"/>
        <v>17.046588992886246</v>
      </c>
      <c r="CM54" s="14"/>
      <c r="CN54" s="17">
        <f t="shared" si="3"/>
        <v>5.7866666666666671</v>
      </c>
      <c r="CO54" s="17">
        <f t="shared" si="4"/>
        <v>8.4233333333333338</v>
      </c>
      <c r="CP54" s="17">
        <f t="shared" si="5"/>
        <v>11.456666666666667</v>
      </c>
      <c r="CQ54" s="38">
        <f t="shared" si="29"/>
        <v>14.093333333333334</v>
      </c>
      <c r="CR54" s="17">
        <f t="shared" si="6"/>
        <v>17.126666666666665</v>
      </c>
      <c r="CS54" s="17">
        <f t="shared" si="7"/>
        <v>19.763333333333335</v>
      </c>
      <c r="CT54" s="17">
        <f t="shared" si="8"/>
        <v>22.796666666666667</v>
      </c>
      <c r="CU54" s="2" cm="1">
        <f t="array" aca="1" ref="CU54" ca="1">MAX(_xlfn._xlws.FILTER(CN54:CT54,CN54:CT54&lt;BP54))</f>
        <v>11.456666666666667</v>
      </c>
      <c r="CV54" s="2" cm="1">
        <f t="array" aca="1" ref="CV54" ca="1">MIN(_xlfn._xlws.FILTER($CN54:$CT54,$CN54:$CT54&gt;BP54))</f>
        <v>14.093333333333334</v>
      </c>
      <c r="CW54" s="16">
        <f t="shared" ca="1" si="80"/>
        <v>0.23014256619144602</v>
      </c>
      <c r="CX54" s="20">
        <f t="shared" ca="1" si="81"/>
        <v>-0.11507128309572301</v>
      </c>
      <c r="CY54" s="20">
        <f t="shared" ca="1" si="82"/>
        <v>-7.6714188730482011E-2</v>
      </c>
      <c r="CZ54" s="20">
        <f t="shared" ca="1" si="83"/>
        <v>-4.6028513238289201E-2</v>
      </c>
      <c r="DA54" s="20">
        <f t="shared" ca="1" si="84"/>
        <v>-2.5571396243494002E-2</v>
      </c>
      <c r="DB54" s="20">
        <f t="shared" ca="1" si="85"/>
        <v>-1.353779801126153E-2</v>
      </c>
      <c r="DC54" s="20">
        <f t="shared" ca="1" si="86"/>
        <v>-6.974017157316546E-3</v>
      </c>
      <c r="DD54" s="20">
        <f t="shared" ca="1" si="87"/>
        <v>-3.5406548644837848E-3</v>
      </c>
      <c r="DE54" s="21">
        <f t="shared" ca="1" si="88"/>
        <v>3.5406548644837848E-3</v>
      </c>
      <c r="DF54" s="21">
        <f t="shared" ca="1" si="89"/>
        <v>6.974017157316546E-3</v>
      </c>
      <c r="DG54" s="21">
        <f t="shared" ca="1" si="90"/>
        <v>1.353779801126153E-2</v>
      </c>
      <c r="DH54" s="21">
        <f t="shared" ca="1" si="91"/>
        <v>2.5571396243494002E-2</v>
      </c>
      <c r="DI54" s="21">
        <f t="shared" ca="1" si="92"/>
        <v>4.6028513238289201E-2</v>
      </c>
      <c r="DJ54" s="21">
        <f t="shared" ca="1" si="93"/>
        <v>7.6714188730482011E-2</v>
      </c>
      <c r="DK54" s="21">
        <f t="shared" ca="1" si="94"/>
        <v>0.11507128309572301</v>
      </c>
      <c r="DM54" s="16" cm="1">
        <f t="array" aca="1" ref="DM54" ca="1">MAX(_xlfn._xlws.FILTER(CX54:DK54,CX54:DK54&lt;BV54))</f>
        <v>6.974017157316546E-3</v>
      </c>
      <c r="DN54" s="16" cm="1">
        <f t="array" aca="1" ref="DN54" ca="1">MIN(_xlfn._xlws.FILTER(CX54:DK54,CX54:DK54&gt;BV54))</f>
        <v>1.353779801126153E-2</v>
      </c>
      <c r="DO54" s="2" cm="1">
        <f t="array" aca="1" ref="DO54" ca="1">_FV(ED54,"Fechamento anterior",TRUE)</f>
        <v>13.94</v>
      </c>
      <c r="DP54" s="28">
        <f t="shared" ca="1" si="15"/>
        <v>0.46756960932441766</v>
      </c>
      <c r="DQ54" s="15">
        <f t="shared" ca="1" si="95"/>
        <v>14.037217799172993</v>
      </c>
      <c r="DR54" s="15">
        <f t="shared" ca="1" si="96"/>
        <v>14.128716904276985</v>
      </c>
      <c r="DS54" s="9"/>
      <c r="DT54" s="9"/>
      <c r="DU54" s="9"/>
      <c r="DV54" s="89">
        <v>3.2109171182018842E-3</v>
      </c>
      <c r="DW54" s="89">
        <f t="shared" ca="1" si="18"/>
        <v>6.5637808539449841E-3</v>
      </c>
      <c r="DX54" s="72">
        <f t="shared" ca="1" si="19"/>
        <v>-0.69365587756866509</v>
      </c>
      <c r="DY54" s="37"/>
      <c r="DZ54" s="35">
        <f t="shared" si="39"/>
        <v>0.87579449644308693</v>
      </c>
      <c r="EA54" s="56"/>
      <c r="EB54" s="56"/>
      <c r="ED54" s="2" t="e" vm="54">
        <v>#VALUE!</v>
      </c>
      <c r="EF54" s="10" cm="1">
        <f t="array" aca="1" ref="EF54" ca="1">_FV(ED54,"Ações em circulação",TRUE)</f>
        <v>547191000</v>
      </c>
      <c r="EG54" s="18">
        <f>VLOOKUP(BQ54,Fundamentus!A:U,5,FALSE)</f>
        <v>1.0189999999999999</v>
      </c>
      <c r="EH54" s="2">
        <f t="shared" ca="1" si="20"/>
        <v>7560794190.3827286</v>
      </c>
      <c r="EI54" s="17">
        <v>610027213.99018657</v>
      </c>
      <c r="EJ54" s="17">
        <f t="shared" ca="1" si="21"/>
        <v>592766264.52600586</v>
      </c>
      <c r="EL54" s="16">
        <f t="shared" ca="1" si="22"/>
        <v>-2.8295376121463267E-2</v>
      </c>
      <c r="EM54" s="32" t="str">
        <f>IF(VLOOKUP(BQ54,Fundamentus!A:U,3,FALSE)&lt;15,"Bom",IF(VLOOKUP(BQ54,Fundamentus!A:U,3,FALSE)&gt;15,"Ruim","n/a"))</f>
        <v>Bom</v>
      </c>
      <c r="EN54" s="28" t="str">
        <f>IF(VLOOKUP(BQ54,Fundamentus!A:U,4,FALSE)&lt;1,"Baixo",IF(VLOOKUP(BQ54,Fundamentus!A:U,4,FALSE)&lt;1.5,"Moderado",IF(VLOOKUP(BQ54,Fundamentus!A:U,4,FALSE)&gt;1.5,"Alto","n/a")))</f>
        <v>Alto</v>
      </c>
      <c r="EO54" s="17" t="str">
        <f>IF(VLOOKUP(BQ54,Fundamentus!A:U,8,FALSE)&lt;0,"Risco elevado",IF(VLOOKUP(BQ54,Fundamentus!A:U,8,FALSE)&lt;1,"Saudável",IF(VLOOKUP(BQ54,Fundamentus!A:U,8,FALSE)&lt;3,"Estável",IF(VLOOKUP(BQ54,Fundamentus!A:U,8,FALSE)&gt;3,"Alerta","n/a"))))</f>
        <v>Alerta</v>
      </c>
      <c r="EP54" s="28" t="str">
        <f t="shared" si="23"/>
        <v>Bom</v>
      </c>
      <c r="EQ54" s="17" t="str">
        <f>IF(VLOOKUP(BQ54,Fundamentus!A:U,12,FALSE)&lt;2,"Subvalorizada",IF(VLOOKUP(BQ54,Fundamentus!A:U,12,FALSE)&lt;6,"Muita barata",IF(VLOOKUP(BQ54,Fundamentus!A:U,12,FALSE)&lt;6,"Barata",IF(VLOOKUP(BQ54,Fundamentus!A:U,12,FALSE)&lt;8,"Atrativa",IF(VLOOKUP(BQ54,Fundamentus!A:U,12,FALSE)&gt;8,"Supervalorizada","n/a")))))</f>
        <v>Muita barata</v>
      </c>
      <c r="ES54" s="17" t="str">
        <f>IF(VLOOKUP(BQ54,Fundamentus!A:U,17,FALSE)&lt;0.1,"Fraco retorno",IF(VLOOKUP(BQ54,Fundamentus!A:U,17,FALSE)&gt;0.1,"Bom retorno","n/a"))</f>
        <v>Bom retorno</v>
      </c>
      <c r="ET54" s="17" t="str">
        <f>IF(VLOOKUP(BQ54,Fundamentus!A:U,16,FALSE)&lt;0.1,"Ineficiente",IF(VLOOKUP(BQ54,Fundamentus!A:U,16,FALSE)&gt;0.1,"Eficiente","n/a"))</f>
        <v>Eficiente</v>
      </c>
      <c r="EU54" s="33" t="str">
        <f>IF(VLOOKUP(BQ54,Fundamentus!A:U,16,FALSE)&lt;0.1,"Oper. Ineficiente",IF(VLOOKUP(BQ54,Fundamentus!A:U,16,FALSE)&gt;0.1,"Oper.Eficiente","n/a"))</f>
        <v>Oper.Eficiente</v>
      </c>
      <c r="EV54" s="34">
        <f>VLOOKUP(BQ54,Fundamentus!A:U,14,FALSE)</f>
        <v>7.8399999999999997E-2</v>
      </c>
      <c r="EW54" s="17" t="str">
        <f>IF(VLOOKUP(BQ54,Fundamentus!A:U,21,FALSE)&lt;0,"Negativo",IF(VLOOKUP(BQ54,Fundamentus!A:U,21,FALSE)&lt;0.05,"Fraco",IF(VLOOKUP(BQ54,Fundamentus!A:U,21,FALSE)&lt;0.1,"Bom",IF(VLOOKUP(BQ54,Fundamentus!A:U,21,FALSE)&gt;0.1,"Muito bom","n/a"))))</f>
        <v>Muito bom</v>
      </c>
      <c r="EY54" s="29" t="str">
        <f>IF(VLOOKUP(BQ54,Fundamentus!A:U,15,FALSE)&gt;1,"Bom",IF(VLOOKUP(BQ54,Fundamentus!A:U,15,FALSE)&lt;1,"Ruim","n/a"))</f>
        <v>Bom</v>
      </c>
      <c r="EZ54" s="17" t="str">
        <f>IF(VLOOKUP(BQ54,Fundamentus!A:U,20,FALSE)&lt;0.5,"Baixa",IF(VLOOKUP(BQ54,Fundamentus!A:U,20,FALSE)&lt;1,"Moderada",IF(VLOOKUP(BQ54,Fundamentus!A:U,20,FALSE)&lt;2,"Alerta",IF(VLOOKUP(BQ54,Fundamentus!A:U,20,FALSE)&gt;2,"Alta","n/a"))))</f>
        <v>Alerta</v>
      </c>
    </row>
    <row r="55" spans="1:156" s="2" customFormat="1" ht="11.25" hidden="1" x14ac:dyDescent="0.2">
      <c r="A55" s="4">
        <v>10.43</v>
      </c>
      <c r="B55" s="4">
        <v>10.6</v>
      </c>
      <c r="C55" s="4">
        <v>10.7</v>
      </c>
      <c r="D55" s="4">
        <v>10.5</v>
      </c>
      <c r="E55" s="4">
        <v>10.35</v>
      </c>
      <c r="F55" s="4">
        <v>10.11</v>
      </c>
      <c r="G55" s="4">
        <v>10.45</v>
      </c>
      <c r="H55" s="4">
        <v>10.1</v>
      </c>
      <c r="I55" s="4">
        <v>10.48</v>
      </c>
      <c r="J55" s="4">
        <v>11.09</v>
      </c>
      <c r="K55" s="4">
        <v>11</v>
      </c>
      <c r="L55" s="4">
        <v>10.89</v>
      </c>
      <c r="M55" s="4">
        <v>10.8</v>
      </c>
      <c r="N55" s="4">
        <v>10.48</v>
      </c>
      <c r="O55" s="4">
        <v>10.7</v>
      </c>
      <c r="P55" s="4">
        <v>10.85</v>
      </c>
      <c r="Q55" s="4">
        <v>11.28</v>
      </c>
      <c r="R55" s="4">
        <v>11</v>
      </c>
      <c r="S55" s="4">
        <v>10.91</v>
      </c>
      <c r="T55" s="4">
        <v>11.05</v>
      </c>
      <c r="U55" s="4">
        <v>11.2</v>
      </c>
      <c r="V55" s="4">
        <v>10.95</v>
      </c>
      <c r="W55" s="4">
        <v>11.02</v>
      </c>
      <c r="X55" s="4">
        <v>10.87</v>
      </c>
      <c r="Y55" s="4">
        <v>10.44</v>
      </c>
      <c r="Z55" s="4">
        <v>10.050000000000001</v>
      </c>
      <c r="AA55" s="4">
        <v>10</v>
      </c>
      <c r="AB55" s="4">
        <v>9.64</v>
      </c>
      <c r="AC55" s="4">
        <v>9.5399999999999991</v>
      </c>
      <c r="AD55" s="4">
        <v>9.6199999999999992</v>
      </c>
      <c r="AE55" s="4">
        <v>9.3000000000000007</v>
      </c>
      <c r="AF55" s="4">
        <v>9.02</v>
      </c>
      <c r="AG55" s="4">
        <v>9.0500000000000007</v>
      </c>
      <c r="AH55" s="4">
        <v>8.4700000000000006</v>
      </c>
      <c r="AI55" s="4">
        <v>8.32</v>
      </c>
      <c r="AJ55" s="4">
        <v>8.2200000000000006</v>
      </c>
      <c r="AK55" s="4">
        <v>8.7200000000000006</v>
      </c>
      <c r="AL55" s="4">
        <v>8.76</v>
      </c>
      <c r="AM55" s="4">
        <v>9.2100000000000009</v>
      </c>
      <c r="AN55" s="4">
        <v>9.42</v>
      </c>
      <c r="AO55" s="4">
        <v>9.19</v>
      </c>
      <c r="AP55" s="4">
        <v>9.5299999999999994</v>
      </c>
      <c r="AQ55" s="4">
        <v>9.36</v>
      </c>
      <c r="AR55" s="4">
        <v>9.2799999999999994</v>
      </c>
      <c r="AS55" s="4">
        <v>9.4700000000000006</v>
      </c>
      <c r="AT55" s="4">
        <v>9.67</v>
      </c>
      <c r="AU55" s="4">
        <v>9.3849999999999998</v>
      </c>
      <c r="AV55" s="4">
        <v>9.25</v>
      </c>
      <c r="AW55" s="4">
        <v>9.01</v>
      </c>
      <c r="AX55" s="4">
        <v>8.99</v>
      </c>
      <c r="AY55" s="12">
        <v>9.0299999999999994</v>
      </c>
      <c r="AZ55" s="12">
        <v>9.17</v>
      </c>
      <c r="BA55" s="12">
        <v>9.16</v>
      </c>
      <c r="BB55" s="15">
        <v>9.1199999999999992</v>
      </c>
      <c r="BC55" s="52">
        <v>9.58</v>
      </c>
      <c r="BD55" s="52">
        <v>9.27</v>
      </c>
      <c r="BE55" s="52">
        <v>9.2799999999999994</v>
      </c>
      <c r="BF55" s="52">
        <v>9.01</v>
      </c>
      <c r="BG55" s="67">
        <v>9.3800000000000008</v>
      </c>
      <c r="BH55" s="52">
        <v>8.93</v>
      </c>
      <c r="BI55" s="52">
        <v>8.9700000000000006</v>
      </c>
      <c r="BJ55" s="52">
        <v>8.91</v>
      </c>
      <c r="BK55" s="52">
        <v>8.9600000000000009</v>
      </c>
      <c r="BL55" s="52">
        <v>8.4</v>
      </c>
      <c r="BM55" s="52">
        <v>8.4</v>
      </c>
      <c r="BN55" s="52">
        <v>7.88</v>
      </c>
      <c r="BO55" s="52">
        <v>7.86</v>
      </c>
      <c r="BP55" s="52" cm="1">
        <f t="array" aca="1" ref="BP55" ca="1">_FV(ED55,"Preço")</f>
        <v>7.58</v>
      </c>
      <c r="BQ55" s="69" t="s">
        <v>52</v>
      </c>
      <c r="BR55" s="36" cm="1">
        <f t="array" aca="1" ref="BR55" ca="1">_FV(ED55,"Média de volume",TRUE)</f>
        <v>127090</v>
      </c>
      <c r="BS55" s="36">
        <v>94900</v>
      </c>
      <c r="BT55" s="36" cm="1">
        <f t="array" aca="1" ref="BT55" ca="1">_FV(ED55,"Volume")</f>
        <v>140000</v>
      </c>
      <c r="BU55" s="24" cm="1">
        <f t="array" aca="1" ref="BU55" ca="1">_FV(ED55,"Beta")</f>
        <v>0.61370000000000002</v>
      </c>
      <c r="BV55" s="71" cm="1">
        <f t="array" aca="1" ref="BV55" ca="1">_FV(ED55,"Variação (%)",TRUE)</f>
        <v>-2.6319999999999998E-3</v>
      </c>
      <c r="BX55" s="17" cm="1">
        <f t="array" aca="1" ref="BX55" ca="1">_FV(ED55,"Baixo")</f>
        <v>7.44</v>
      </c>
      <c r="BY55" s="17" cm="1">
        <f t="array" aca="1" ref="BY55" ca="1">_FV(ED55,"Alto")</f>
        <v>7.66</v>
      </c>
      <c r="BZ55" s="24"/>
      <c r="CA55" s="63">
        <f ca="1">SQRT(22.5*(BP55/VLOOKUP(BQ55,Fundamentus!A:U,3,FALSE))*(BP55/VLOOKUP(BQ55,Fundamentus!A:U,4,FALSE)))</f>
        <v>15.334650979515716</v>
      </c>
      <c r="CC55" s="62">
        <f t="shared" ca="1" si="24"/>
        <v>-3.5623409669211223E-2</v>
      </c>
      <c r="CD55" s="8"/>
      <c r="CE55" s="61">
        <f t="shared" si="25"/>
        <v>7.86</v>
      </c>
      <c r="CF55" s="61">
        <f t="shared" si="26"/>
        <v>11.28</v>
      </c>
      <c r="CG55" s="61">
        <f t="shared" si="27"/>
        <v>9.7020149253731329</v>
      </c>
      <c r="CH55" s="14"/>
      <c r="CI55" s="35">
        <f t="shared" si="1"/>
        <v>6.7873007936510898</v>
      </c>
      <c r="CJ55" s="15">
        <f t="shared" si="28"/>
        <v>7.5999999999999091</v>
      </c>
      <c r="CK55" s="35">
        <f t="shared" si="2"/>
        <v>8.4126992063487283</v>
      </c>
      <c r="CM55" s="14"/>
      <c r="CN55" s="17">
        <f t="shared" si="3"/>
        <v>3.3000000000000016</v>
      </c>
      <c r="CO55" s="17">
        <f t="shared" si="4"/>
        <v>5.580000000000001</v>
      </c>
      <c r="CP55" s="17">
        <f t="shared" si="5"/>
        <v>6.7200000000000006</v>
      </c>
      <c r="CQ55" s="38">
        <f t="shared" si="29"/>
        <v>9</v>
      </c>
      <c r="CR55" s="17">
        <f t="shared" si="6"/>
        <v>10.14</v>
      </c>
      <c r="CS55" s="17">
        <f t="shared" si="7"/>
        <v>12.419999999999998</v>
      </c>
      <c r="CT55" s="17">
        <f t="shared" si="8"/>
        <v>13.559999999999999</v>
      </c>
      <c r="CU55" s="2" cm="1">
        <f t="array" aca="1" ref="CU55" ca="1">MAX(_xlfn._xlws.FILTER(CN55:CT55,CN55:CT55&lt;BP55))</f>
        <v>6.7200000000000006</v>
      </c>
      <c r="CV55" s="2" cm="1">
        <f t="array" aca="1" ref="CV55" ca="1">MIN(_xlfn._xlws.FILTER($CN55:$CT55,$CN55:$CT55&gt;BP55))</f>
        <v>9</v>
      </c>
      <c r="CW55" s="16">
        <f t="shared" ca="1" si="80"/>
        <v>0.33928571428571419</v>
      </c>
      <c r="CX55" s="20">
        <f t="shared" ca="1" si="81"/>
        <v>-0.1696428571428571</v>
      </c>
      <c r="CY55" s="20">
        <f t="shared" ca="1" si="82"/>
        <v>-0.11309523809523807</v>
      </c>
      <c r="CZ55" s="20">
        <f t="shared" ca="1" si="83"/>
        <v>-6.7857142857142838E-2</v>
      </c>
      <c r="DA55" s="20">
        <f t="shared" ca="1" si="84"/>
        <v>-3.7698412698412689E-2</v>
      </c>
      <c r="DB55" s="20">
        <f t="shared" ca="1" si="85"/>
        <v>-1.9957983193277306E-2</v>
      </c>
      <c r="DC55" s="20">
        <f t="shared" ca="1" si="86"/>
        <v>-1.0281385281385278E-2</v>
      </c>
      <c r="DD55" s="20">
        <f t="shared" ca="1" si="87"/>
        <v>-5.2197802197802186E-3</v>
      </c>
      <c r="DE55" s="21">
        <f t="shared" ca="1" si="88"/>
        <v>5.2197802197802186E-3</v>
      </c>
      <c r="DF55" s="21">
        <f t="shared" ca="1" si="89"/>
        <v>1.0281385281385278E-2</v>
      </c>
      <c r="DG55" s="21">
        <f t="shared" ca="1" si="90"/>
        <v>1.9957983193277306E-2</v>
      </c>
      <c r="DH55" s="21">
        <f t="shared" ca="1" si="91"/>
        <v>3.7698412698412689E-2</v>
      </c>
      <c r="DI55" s="21">
        <f t="shared" ca="1" si="92"/>
        <v>6.7857142857142838E-2</v>
      </c>
      <c r="DJ55" s="21">
        <f t="shared" ca="1" si="93"/>
        <v>0.11309523809523807</v>
      </c>
      <c r="DK55" s="21">
        <f t="shared" ca="1" si="94"/>
        <v>0.1696428571428571</v>
      </c>
      <c r="DM55" s="16" cm="1">
        <f t="array" aca="1" ref="DM55" ca="1">MAX(_xlfn._xlws.FILTER(CX55:DK55,CX55:DK55&lt;BV55))</f>
        <v>-5.2197802197802186E-3</v>
      </c>
      <c r="DN55" s="16" cm="1">
        <f t="array" aca="1" ref="DN55" ca="1">MIN(_xlfn._xlws.FILTER(CX55:DK55,CX55:DK55&gt;BV55))</f>
        <v>5.2197802197802186E-3</v>
      </c>
      <c r="DO55" s="2" cm="1">
        <f t="array" aca="1" ref="DO55" ca="1">_FV(ED55,"Fechamento anterior",TRUE)</f>
        <v>7.6</v>
      </c>
      <c r="DP55" s="28">
        <f t="shared" ca="1" si="15"/>
        <v>0.24792243767313354</v>
      </c>
      <c r="DQ55" s="15">
        <f t="shared" ca="1" si="95"/>
        <v>7.5603296703296703</v>
      </c>
      <c r="DR55" s="15">
        <f t="shared" ca="1" si="96"/>
        <v>7.639670329670329</v>
      </c>
      <c r="DS55" s="9"/>
      <c r="DT55" s="9"/>
      <c r="DU55" s="9"/>
      <c r="DV55" s="89">
        <v>1.0439560439560437E-2</v>
      </c>
      <c r="DW55" s="89">
        <f t="shared" ca="1" si="18"/>
        <v>1.0439560439560437E-2</v>
      </c>
      <c r="DX55" s="72">
        <f t="shared" ca="1" si="19"/>
        <v>-2.4609350967330423E-2</v>
      </c>
      <c r="DY55" s="37"/>
      <c r="DZ55" s="35">
        <f t="shared" si="39"/>
        <v>0.40634960317440966</v>
      </c>
      <c r="EA55" s="56"/>
      <c r="EB55" s="56"/>
      <c r="ED55" s="2" t="e" vm="55">
        <v>#VALUE!</v>
      </c>
      <c r="EF55" s="10" cm="1">
        <f t="array" aca="1" ref="EF55" ca="1">_FV(ED55,"Ações em circulação",TRUE)</f>
        <v>93170750</v>
      </c>
      <c r="EG55" s="18">
        <f>VLOOKUP(BQ55,Fundamentus!A:U,5,FALSE)</f>
        <v>0.60199999999999998</v>
      </c>
      <c r="EH55" s="2">
        <f t="shared" ca="1" si="20"/>
        <v>1173146652.8239202</v>
      </c>
      <c r="EI55" s="17">
        <v>86126917.485049844</v>
      </c>
      <c r="EJ55" s="17">
        <f t="shared" ca="1" si="21"/>
        <v>83058783.019933552</v>
      </c>
      <c r="EL55" s="16">
        <f t="shared" ca="1" si="22"/>
        <v>-3.5623409669211292E-2</v>
      </c>
      <c r="EM55" s="32" t="str">
        <f>IF(VLOOKUP(BQ55,Fundamentus!A:U,3,FALSE)&lt;15,"Bom",IF(VLOOKUP(BQ55,Fundamentus!A:U,3,FALSE)&gt;15,"Ruim","n/a"))</f>
        <v>Bom</v>
      </c>
      <c r="EN55" s="28" t="str">
        <f>IF(VLOOKUP(BQ55,Fundamentus!A:U,4,FALSE)&lt;1,"Baixo",IF(VLOOKUP(BQ55,Fundamentus!A:U,4,FALSE)&lt;1.5,"Moderado",IF(VLOOKUP(BQ55,Fundamentus!A:U,4,FALSE)&gt;1.5,"Alto","n/a")))</f>
        <v>Baixo</v>
      </c>
      <c r="EO55" s="17" t="str">
        <f>IF(VLOOKUP(BQ55,Fundamentus!A:U,8,FALSE)&lt;0,"Risco elevado",IF(VLOOKUP(BQ55,Fundamentus!A:U,8,FALSE)&lt;1,"Saudável",IF(VLOOKUP(BQ55,Fundamentus!A:U,8,FALSE)&lt;3,"Estável",IF(VLOOKUP(BQ55,Fundamentus!A:U,8,FALSE)&gt;3,"Alerta","n/a"))))</f>
        <v>Saudável</v>
      </c>
      <c r="EP55" s="28" t="str">
        <f t="shared" si="23"/>
        <v>Ruim</v>
      </c>
      <c r="EQ55" s="17" t="str">
        <f>IF(VLOOKUP(BQ55,Fundamentus!A:U,12,FALSE)&lt;2,"Subvalorizada",IF(VLOOKUP(BQ55,Fundamentus!A:U,12,FALSE)&lt;6,"Muita barata",IF(VLOOKUP(BQ55,Fundamentus!A:U,12,FALSE)&lt;6,"Barata",IF(VLOOKUP(BQ55,Fundamentus!A:U,12,FALSE)&lt;8,"Atrativa",IF(VLOOKUP(BQ55,Fundamentus!A:U,12,FALSE)&gt;8,"Supervalorizada","n/a")))))</f>
        <v>Supervalorizada</v>
      </c>
      <c r="ES55" s="17" t="str">
        <f>IF(VLOOKUP(BQ55,Fundamentus!A:U,17,FALSE)&lt;0.1,"Fraco retorno",IF(VLOOKUP(BQ55,Fundamentus!A:U,17,FALSE)&gt;0.1,"Bom retorno","n/a"))</f>
        <v>Fraco retorno</v>
      </c>
      <c r="ET55" s="17" t="str">
        <f>IF(VLOOKUP(BQ55,Fundamentus!A:U,16,FALSE)&lt;0.1,"Ineficiente",IF(VLOOKUP(BQ55,Fundamentus!A:U,16,FALSE)&gt;0.1,"Eficiente","n/a"))</f>
        <v>Ineficiente</v>
      </c>
      <c r="EU55" s="33" t="str">
        <f>IF(VLOOKUP(BQ55,Fundamentus!A:U,16,FALSE)&lt;0.1,"Oper. Ineficiente",IF(VLOOKUP(BQ55,Fundamentus!A:U,16,FALSE)&gt;0.1,"Oper.Eficiente","n/a"))</f>
        <v>Oper. Ineficiente</v>
      </c>
      <c r="EV55" s="34">
        <f>VLOOKUP(BQ55,Fundamentus!A:U,14,FALSE)</f>
        <v>7.0800000000000002E-2</v>
      </c>
      <c r="EW55" s="17" t="str">
        <f>IF(VLOOKUP(BQ55,Fundamentus!A:U,21,FALSE)&lt;0,"Negativo",IF(VLOOKUP(BQ55,Fundamentus!A:U,21,FALSE)&lt;0.05,"Fraco",IF(VLOOKUP(BQ55,Fundamentus!A:U,21,FALSE)&lt;0.1,"Bom",IF(VLOOKUP(BQ55,Fundamentus!A:U,21,FALSE)&gt;0.1,"Muito bom","n/a"))))</f>
        <v>Negativo</v>
      </c>
      <c r="EY55" s="29" t="str">
        <f>IF(VLOOKUP(BQ55,Fundamentus!A:U,15,FALSE)&gt;1,"Bom",IF(VLOOKUP(BQ55,Fundamentus!A:U,15,FALSE)&lt;1,"Ruim","n/a"))</f>
        <v>Bom</v>
      </c>
      <c r="EZ55" s="17" t="str">
        <f>IF(VLOOKUP(BQ55,Fundamentus!A:U,20,FALSE)&lt;0.5,"Baixa",IF(VLOOKUP(BQ55,Fundamentus!A:U,20,FALSE)&lt;1,"Moderada",IF(VLOOKUP(BQ55,Fundamentus!A:U,20,FALSE)&lt;2,"Alerta",IF(VLOOKUP(BQ55,Fundamentus!A:U,20,FALSE)&gt;2,"Alta","n/a"))))</f>
        <v>Moderada</v>
      </c>
    </row>
    <row r="56" spans="1:156" s="2" customFormat="1" ht="11.25" hidden="1" x14ac:dyDescent="0.2">
      <c r="A56" s="4">
        <v>12.27</v>
      </c>
      <c r="B56" s="4">
        <v>11.75</v>
      </c>
      <c r="C56" s="4">
        <v>11.7</v>
      </c>
      <c r="D56" s="4">
        <v>11.8</v>
      </c>
      <c r="E56" s="4">
        <v>11.5</v>
      </c>
      <c r="F56" s="4">
        <v>11.29</v>
      </c>
      <c r="G56" s="4">
        <v>11.19</v>
      </c>
      <c r="H56" s="4">
        <v>11.33</v>
      </c>
      <c r="I56" s="4">
        <v>11.45</v>
      </c>
      <c r="J56" s="4">
        <v>11.64</v>
      </c>
      <c r="K56" s="4">
        <v>11.83</v>
      </c>
      <c r="L56" s="4">
        <v>11.47</v>
      </c>
      <c r="M56" s="4">
        <v>11.33</v>
      </c>
      <c r="N56" s="4">
        <v>11.61</v>
      </c>
      <c r="O56" s="4">
        <v>11.82</v>
      </c>
      <c r="P56" s="4">
        <v>11.61</v>
      </c>
      <c r="Q56" s="4">
        <v>12.01</v>
      </c>
      <c r="R56" s="4">
        <v>11.88</v>
      </c>
      <c r="S56" s="4">
        <v>11.88</v>
      </c>
      <c r="T56" s="4">
        <v>11.82</v>
      </c>
      <c r="U56" s="4">
        <v>11.51</v>
      </c>
      <c r="V56" s="4">
        <v>11.44</v>
      </c>
      <c r="W56" s="4">
        <v>11.47</v>
      </c>
      <c r="X56" s="4">
        <v>11.52</v>
      </c>
      <c r="Y56" s="4">
        <v>11.47</v>
      </c>
      <c r="Z56" s="4">
        <v>11.48</v>
      </c>
      <c r="AA56" s="4">
        <v>11.52</v>
      </c>
      <c r="AB56" s="4">
        <v>11.74</v>
      </c>
      <c r="AC56" s="4">
        <v>11.33</v>
      </c>
      <c r="AD56" s="4">
        <v>11.45</v>
      </c>
      <c r="AE56" s="4">
        <v>11.38</v>
      </c>
      <c r="AF56" s="4">
        <v>11.46</v>
      </c>
      <c r="AG56" s="4">
        <v>11.31</v>
      </c>
      <c r="AH56" s="4">
        <v>10.99</v>
      </c>
      <c r="AI56" s="4">
        <v>11.06</v>
      </c>
      <c r="AJ56" s="4">
        <v>10.9</v>
      </c>
      <c r="AK56" s="4">
        <v>10.97</v>
      </c>
      <c r="AL56" s="4">
        <v>11.02</v>
      </c>
      <c r="AM56" s="4">
        <v>10.77</v>
      </c>
      <c r="AN56" s="4">
        <v>11.28</v>
      </c>
      <c r="AO56" s="4">
        <v>11.08</v>
      </c>
      <c r="AP56" s="4">
        <v>11.11</v>
      </c>
      <c r="AQ56" s="4">
        <v>11</v>
      </c>
      <c r="AR56" s="4">
        <v>10.97</v>
      </c>
      <c r="AS56" s="4">
        <v>11.1</v>
      </c>
      <c r="AT56" s="4">
        <v>11.35</v>
      </c>
      <c r="AU56" s="4">
        <v>11.57</v>
      </c>
      <c r="AV56" s="4">
        <v>11.37</v>
      </c>
      <c r="AW56" s="4">
        <v>11.4</v>
      </c>
      <c r="AX56" s="4">
        <v>11.4</v>
      </c>
      <c r="AY56" s="12">
        <v>11.5</v>
      </c>
      <c r="AZ56" s="12">
        <v>11.94</v>
      </c>
      <c r="BA56" s="12">
        <v>11.96</v>
      </c>
      <c r="BB56" s="15">
        <v>11.93</v>
      </c>
      <c r="BC56" s="52">
        <v>11.84</v>
      </c>
      <c r="BD56" s="52">
        <v>11.85</v>
      </c>
      <c r="BE56" s="52">
        <v>11.81</v>
      </c>
      <c r="BF56" s="52">
        <v>11.5</v>
      </c>
      <c r="BG56" s="67">
        <v>11.36</v>
      </c>
      <c r="BH56" s="52">
        <v>11.48</v>
      </c>
      <c r="BI56" s="52">
        <v>11.54</v>
      </c>
      <c r="BJ56" s="52">
        <v>11.75</v>
      </c>
      <c r="BK56" s="52">
        <v>11.36</v>
      </c>
      <c r="BL56" s="52">
        <v>11.24</v>
      </c>
      <c r="BM56" s="52">
        <v>11.16</v>
      </c>
      <c r="BN56" s="52">
        <v>11.14</v>
      </c>
      <c r="BO56" s="52">
        <v>11.18</v>
      </c>
      <c r="BP56" s="52" cm="1">
        <f t="array" aca="1" ref="BP56" ca="1">_FV(ED56,"Preço")</f>
        <v>11.3</v>
      </c>
      <c r="BQ56" s="69" t="s">
        <v>53</v>
      </c>
      <c r="BR56" s="36" cm="1">
        <f t="array" aca="1" ref="BR56" ca="1">_FV(ED56,"Média de volume",TRUE)</f>
        <v>2357510</v>
      </c>
      <c r="BS56" s="36">
        <v>151100</v>
      </c>
      <c r="BT56" s="36" cm="1">
        <f t="array" aca="1" ref="BT56" ca="1">_FV(ED56,"Volume")</f>
        <v>143900</v>
      </c>
      <c r="BU56" s="24" cm="1">
        <f t="array" aca="1" ref="BU56" ca="1">_FV(ED56,"Beta")</f>
        <v>0.71150000000000002</v>
      </c>
      <c r="BV56" s="71" cm="1">
        <f t="array" aca="1" ref="BV56" ca="1">_FV(ED56,"Variação (%)",TRUE)</f>
        <v>8.9289999999999994E-3</v>
      </c>
      <c r="BX56" s="17" cm="1">
        <f t="array" aca="1" ref="BX56" ca="1">_FV(ED56,"Baixo")</f>
        <v>11.26</v>
      </c>
      <c r="BY56" s="17" cm="1">
        <f t="array" aca="1" ref="BY56" ca="1">_FV(ED56,"Alto")</f>
        <v>11.46</v>
      </c>
      <c r="BZ56" s="24"/>
      <c r="CA56" s="63">
        <f ca="1">SQRT(22.5*(BP56/VLOOKUP(BQ56,Fundamentus!A:U,3,FALSE))*(BP56/VLOOKUP(BQ56,Fundamentus!A:U,4,FALSE)))</f>
        <v>16.182536491065285</v>
      </c>
      <c r="CC56" s="62">
        <f t="shared" ca="1" si="24"/>
        <v>1.07334525939178E-2</v>
      </c>
      <c r="CD56" s="8"/>
      <c r="CE56" s="61">
        <f t="shared" si="25"/>
        <v>10.77</v>
      </c>
      <c r="CF56" s="61">
        <f t="shared" si="26"/>
        <v>12.27</v>
      </c>
      <c r="CG56" s="61">
        <f t="shared" si="27"/>
        <v>11.464776119402984</v>
      </c>
      <c r="CH56" s="14"/>
      <c r="CI56" s="35">
        <f t="shared" si="1"/>
        <v>10.971204534069763</v>
      </c>
      <c r="CJ56" s="15">
        <f t="shared" si="28"/>
        <v>11.129999999999995</v>
      </c>
      <c r="CK56" s="35">
        <f t="shared" si="2"/>
        <v>11.288795465930228</v>
      </c>
      <c r="CM56" s="14"/>
      <c r="CN56" s="17">
        <f t="shared" si="3"/>
        <v>9.043333333333333</v>
      </c>
      <c r="CO56" s="17">
        <f t="shared" si="4"/>
        <v>9.9066666666666663</v>
      </c>
      <c r="CP56" s="17">
        <f t="shared" si="5"/>
        <v>10.543333333333333</v>
      </c>
      <c r="CQ56" s="38">
        <f t="shared" si="29"/>
        <v>11.406666666666666</v>
      </c>
      <c r="CR56" s="17">
        <f t="shared" si="6"/>
        <v>12.043333333333333</v>
      </c>
      <c r="CS56" s="17">
        <f t="shared" si="7"/>
        <v>12.906666666666666</v>
      </c>
      <c r="CT56" s="17">
        <f t="shared" si="8"/>
        <v>13.543333333333333</v>
      </c>
      <c r="CU56" s="2" cm="1">
        <f t="array" aca="1" ref="CU56" ca="1">MAX(_xlfn._xlws.FILTER(CN56:CT56,CN56:CT56&lt;BP56))</f>
        <v>10.543333333333333</v>
      </c>
      <c r="CV56" s="2" cm="1">
        <f t="array" aca="1" ref="CV56" ca="1">MIN(_xlfn._xlws.FILTER($CN56:$CT56,$CN56:$CT56&gt;BP56))</f>
        <v>11.406666666666666</v>
      </c>
      <c r="CW56" s="16">
        <f t="shared" ca="1" si="80"/>
        <v>8.1884287069238004E-2</v>
      </c>
      <c r="CX56" s="20">
        <f t="shared" ca="1" si="81"/>
        <v>-4.0942143534619002E-2</v>
      </c>
      <c r="CY56" s="20">
        <f t="shared" ca="1" si="82"/>
        <v>-2.7294762356412667E-2</v>
      </c>
      <c r="CZ56" s="20">
        <f t="shared" ca="1" si="83"/>
        <v>-1.63768574138476E-2</v>
      </c>
      <c r="DA56" s="20">
        <f t="shared" ca="1" si="84"/>
        <v>-9.0982541188042235E-3</v>
      </c>
      <c r="DB56" s="20">
        <f t="shared" ca="1" si="85"/>
        <v>-4.8167227687787063E-3</v>
      </c>
      <c r="DC56" s="20">
        <f t="shared" ca="1" si="86"/>
        <v>-2.4813420324011517E-3</v>
      </c>
      <c r="DD56" s="20">
        <f t="shared" ca="1" si="87"/>
        <v>-1.2597582626036616E-3</v>
      </c>
      <c r="DE56" s="21">
        <f t="shared" ca="1" si="88"/>
        <v>1.2597582626036616E-3</v>
      </c>
      <c r="DF56" s="21">
        <f t="shared" ca="1" si="89"/>
        <v>2.4813420324011517E-3</v>
      </c>
      <c r="DG56" s="21">
        <f t="shared" ca="1" si="90"/>
        <v>4.8167227687787063E-3</v>
      </c>
      <c r="DH56" s="21">
        <f t="shared" ca="1" si="91"/>
        <v>9.0982541188042235E-3</v>
      </c>
      <c r="DI56" s="21">
        <f t="shared" ca="1" si="92"/>
        <v>1.63768574138476E-2</v>
      </c>
      <c r="DJ56" s="21">
        <f t="shared" ca="1" si="93"/>
        <v>2.7294762356412667E-2</v>
      </c>
      <c r="DK56" s="21">
        <f t="shared" ca="1" si="94"/>
        <v>4.0942143534619002E-2</v>
      </c>
      <c r="DM56" s="16" cm="1">
        <f t="array" aca="1" ref="DM56" ca="1">MAX(_xlfn._xlws.FILTER(CX56:DK56,CX56:DK56&lt;BV56))</f>
        <v>4.8167227687787063E-3</v>
      </c>
      <c r="DN56" s="16" cm="1">
        <f t="array" aca="1" ref="DN56" ca="1">MIN(_xlfn._xlws.FILTER(CX56:DK56,CX56:DK56&gt;BV56))</f>
        <v>9.0982541188042235E-3</v>
      </c>
      <c r="DO56" s="2" cm="1">
        <f t="array" aca="1" ref="DO56" ca="1">_FV(ED56,"Fechamento anterior",TRUE)</f>
        <v>11.2</v>
      </c>
      <c r="DP56" s="28">
        <f t="shared" ca="1" si="15"/>
        <v>0.96036869139551895</v>
      </c>
      <c r="DQ56" s="15">
        <f t="shared" ca="1" si="95"/>
        <v>11.25394729501032</v>
      </c>
      <c r="DR56" s="15">
        <f t="shared" ca="1" si="96"/>
        <v>11.301900446130606</v>
      </c>
      <c r="DS56" s="9"/>
      <c r="DT56" s="9"/>
      <c r="DU56" s="9"/>
      <c r="DV56" s="89">
        <v>2.3353807363775546E-3</v>
      </c>
      <c r="DW56" s="89">
        <f t="shared" ca="1" si="18"/>
        <v>4.2815313500255171E-3</v>
      </c>
      <c r="DX56" s="72">
        <f t="shared" ca="1" si="19"/>
        <v>1.0705595339522815</v>
      </c>
      <c r="DY56" s="37"/>
      <c r="DZ56" s="35">
        <f t="shared" si="39"/>
        <v>7.9397732965116541E-2</v>
      </c>
      <c r="EA56" s="56"/>
      <c r="EB56" s="56"/>
      <c r="ED56" s="2" t="e" vm="56">
        <v>#VALUE!</v>
      </c>
      <c r="EF56" s="10" cm="1">
        <f t="array" aca="1" ref="EF56" ca="1">_FV(ED56,"Ações em circulação",TRUE)</f>
        <v>344498900</v>
      </c>
      <c r="EG56" s="18">
        <f>VLOOKUP(BQ56,Fundamentus!A:U,5,FALSE)</f>
        <v>2.9289999999999998</v>
      </c>
      <c r="EH56" s="2">
        <f t="shared" ca="1" si="20"/>
        <v>1329067111.642199</v>
      </c>
      <c r="EI56" s="17">
        <v>558197601.39945376</v>
      </c>
      <c r="EJ56" s="17">
        <f t="shared" ca="1" si="21"/>
        <v>564188988.89211345</v>
      </c>
      <c r="EL56" s="16">
        <f t="shared" ca="1" si="22"/>
        <v>1.0733452593917781E-2</v>
      </c>
      <c r="EM56" s="32" t="str">
        <f>IF(VLOOKUP(BQ56,Fundamentus!A:U,3,FALSE)&lt;15,"Bom",IF(VLOOKUP(BQ56,Fundamentus!A:U,3,FALSE)&gt;15,"Ruim","n/a"))</f>
        <v>Bom</v>
      </c>
      <c r="EN56" s="28" t="str">
        <f>IF(VLOOKUP(BQ56,Fundamentus!A:U,4,FALSE)&lt;1,"Baixo",IF(VLOOKUP(BQ56,Fundamentus!A:U,4,FALSE)&lt;1.5,"Moderado",IF(VLOOKUP(BQ56,Fundamentus!A:U,4,FALSE)&gt;1.5,"Alto","n/a")))</f>
        <v>Alto</v>
      </c>
      <c r="EO56" s="17" t="str">
        <f>IF(VLOOKUP(BQ56,Fundamentus!A:U,8,FALSE)&lt;0,"Risco elevado",IF(VLOOKUP(BQ56,Fundamentus!A:U,8,FALSE)&lt;1,"Saudável",IF(VLOOKUP(BQ56,Fundamentus!A:U,8,FALSE)&lt;3,"Estável",IF(VLOOKUP(BQ56,Fundamentus!A:U,8,FALSE)&gt;3,"Alerta","n/a"))))</f>
        <v>Alerta</v>
      </c>
      <c r="EP56" s="28" t="str">
        <f t="shared" si="23"/>
        <v>Bom</v>
      </c>
      <c r="EQ56" s="17" t="str">
        <f>IF(VLOOKUP(BQ56,Fundamentus!A:U,12,FALSE)&lt;2,"Subvalorizada",IF(VLOOKUP(BQ56,Fundamentus!A:U,12,FALSE)&lt;6,"Muita barata",IF(VLOOKUP(BQ56,Fundamentus!A:U,12,FALSE)&lt;6,"Barata",IF(VLOOKUP(BQ56,Fundamentus!A:U,12,FALSE)&lt;8,"Atrativa",IF(VLOOKUP(BQ56,Fundamentus!A:U,12,FALSE)&gt;8,"Supervalorizada","n/a")))))</f>
        <v>Supervalorizada</v>
      </c>
      <c r="ES56" s="17" t="str">
        <f>IF(VLOOKUP(BQ56,Fundamentus!A:U,17,FALSE)&lt;0.1,"Fraco retorno",IF(VLOOKUP(BQ56,Fundamentus!A:U,17,FALSE)&gt;0.1,"Bom retorno","n/a"))</f>
        <v>Bom retorno</v>
      </c>
      <c r="ET56" s="17" t="str">
        <f>IF(VLOOKUP(BQ56,Fundamentus!A:U,16,FALSE)&lt;0.1,"Ineficiente",IF(VLOOKUP(BQ56,Fundamentus!A:U,16,FALSE)&gt;0.1,"Eficiente","n/a"))</f>
        <v>Eficiente</v>
      </c>
      <c r="EU56" s="33" t="str">
        <f>IF(VLOOKUP(BQ56,Fundamentus!A:U,16,FALSE)&lt;0.1,"Oper. Ineficiente",IF(VLOOKUP(BQ56,Fundamentus!A:U,16,FALSE)&gt;0.1,"Oper.Eficiente","n/a"))</f>
        <v>Oper.Eficiente</v>
      </c>
      <c r="EV56" s="34">
        <f>VLOOKUP(BQ56,Fundamentus!A:U,14,FALSE)</f>
        <v>0.42449999999999999</v>
      </c>
      <c r="EW56" s="17" t="str">
        <f>IF(VLOOKUP(BQ56,Fundamentus!A:U,21,FALSE)&lt;0,"Negativo",IF(VLOOKUP(BQ56,Fundamentus!A:U,21,FALSE)&lt;0.05,"Fraco",IF(VLOOKUP(BQ56,Fundamentus!A:U,21,FALSE)&lt;0.1,"Bom",IF(VLOOKUP(BQ56,Fundamentus!A:U,21,FALSE)&gt;0.1,"Muito bom","n/a"))))</f>
        <v>Fraco</v>
      </c>
      <c r="EY56" s="29" t="str">
        <f>IF(VLOOKUP(BQ56,Fundamentus!A:U,15,FALSE)&gt;1,"Bom",IF(VLOOKUP(BQ56,Fundamentus!A:U,15,FALSE)&lt;1,"Ruim","n/a"))</f>
        <v>Bom</v>
      </c>
      <c r="EZ56" s="17" t="str">
        <f>IF(VLOOKUP(BQ56,Fundamentus!A:U,20,FALSE)&lt;0.5,"Baixa",IF(VLOOKUP(BQ56,Fundamentus!A:U,20,FALSE)&lt;1,"Moderada",IF(VLOOKUP(BQ56,Fundamentus!A:U,20,FALSE)&lt;2,"Alerta",IF(VLOOKUP(BQ56,Fundamentus!A:U,20,FALSE)&gt;2,"Alta","n/a"))))</f>
        <v>Alerta</v>
      </c>
    </row>
    <row r="57" spans="1:156" s="2" customFormat="1" ht="11.25" hidden="1" x14ac:dyDescent="0.2">
      <c r="A57" s="4">
        <v>21</v>
      </c>
      <c r="B57" s="4">
        <v>20.46</v>
      </c>
      <c r="C57" s="4">
        <v>20.74</v>
      </c>
      <c r="D57" s="4">
        <v>20.32</v>
      </c>
      <c r="E57" s="4">
        <v>19.649999999999999</v>
      </c>
      <c r="F57" s="4">
        <v>19.8</v>
      </c>
      <c r="G57" s="4">
        <v>19.77</v>
      </c>
      <c r="H57" s="4">
        <v>20.05</v>
      </c>
      <c r="I57" s="4">
        <v>20.6</v>
      </c>
      <c r="J57" s="4">
        <v>21.5</v>
      </c>
      <c r="K57" s="4">
        <v>22.78</v>
      </c>
      <c r="L57" s="4">
        <v>22.56</v>
      </c>
      <c r="M57" s="4">
        <v>22.58</v>
      </c>
      <c r="N57" s="4">
        <v>23.41</v>
      </c>
      <c r="O57" s="4">
        <v>23.58</v>
      </c>
      <c r="P57" s="4">
        <v>23.2</v>
      </c>
      <c r="Q57" s="4">
        <v>23.61</v>
      </c>
      <c r="R57" s="4">
        <v>21.85</v>
      </c>
      <c r="S57" s="4">
        <v>21.6</v>
      </c>
      <c r="T57" s="4">
        <v>21.16</v>
      </c>
      <c r="U57" s="4">
        <v>19.920000000000002</v>
      </c>
      <c r="V57" s="4">
        <v>20.07</v>
      </c>
      <c r="W57" s="4">
        <v>19.95</v>
      </c>
      <c r="X57" s="4">
        <v>19.13</v>
      </c>
      <c r="Y57" s="4">
        <v>18.760000000000002</v>
      </c>
      <c r="Z57" s="4">
        <v>19.22</v>
      </c>
      <c r="AA57" s="4">
        <v>19.45</v>
      </c>
      <c r="AB57" s="4">
        <v>19.45</v>
      </c>
      <c r="AC57" s="4">
        <v>20.11</v>
      </c>
      <c r="AD57" s="4">
        <v>20.16</v>
      </c>
      <c r="AE57" s="4">
        <v>19.45</v>
      </c>
      <c r="AF57" s="4">
        <v>19.2</v>
      </c>
      <c r="AG57" s="4">
        <v>19.010000000000002</v>
      </c>
      <c r="AH57" s="4">
        <v>18.190000000000001</v>
      </c>
      <c r="AI57" s="4">
        <v>17.850000000000001</v>
      </c>
      <c r="AJ57" s="4">
        <v>17.59</v>
      </c>
      <c r="AK57" s="4">
        <v>17.21</v>
      </c>
      <c r="AL57" s="4">
        <v>17.07</v>
      </c>
      <c r="AM57" s="4">
        <v>16.7</v>
      </c>
      <c r="AN57" s="4">
        <v>18.399999999999999</v>
      </c>
      <c r="AO57" s="4">
        <v>18.45</v>
      </c>
      <c r="AP57" s="4">
        <v>19.73</v>
      </c>
      <c r="AQ57" s="4">
        <v>18.07</v>
      </c>
      <c r="AR57" s="4">
        <v>16.93</v>
      </c>
      <c r="AS57" s="4">
        <v>17.87</v>
      </c>
      <c r="AT57" s="4">
        <v>18</v>
      </c>
      <c r="AU57" s="4">
        <v>17.995000000000001</v>
      </c>
      <c r="AV57" s="4">
        <v>16.98</v>
      </c>
      <c r="AW57" s="4">
        <v>17.07</v>
      </c>
      <c r="AX57" s="4">
        <v>17.77</v>
      </c>
      <c r="AY57" s="12">
        <v>18.88</v>
      </c>
      <c r="AZ57" s="12">
        <v>19.68</v>
      </c>
      <c r="BA57" s="12">
        <v>19.399999999999999</v>
      </c>
      <c r="BB57" s="15">
        <v>19.21</v>
      </c>
      <c r="BC57" s="52">
        <v>17.89</v>
      </c>
      <c r="BD57" s="52">
        <v>18.059999999999999</v>
      </c>
      <c r="BE57" s="52">
        <v>18.82</v>
      </c>
      <c r="BF57" s="52">
        <v>19.079999999999998</v>
      </c>
      <c r="BG57" s="67">
        <v>19.13</v>
      </c>
      <c r="BH57" s="52">
        <v>17.97</v>
      </c>
      <c r="BI57" s="52">
        <v>17.96</v>
      </c>
      <c r="BJ57" s="52">
        <v>18.579999999999998</v>
      </c>
      <c r="BK57" s="52">
        <v>17.12</v>
      </c>
      <c r="BL57" s="52">
        <v>16.579999999999998</v>
      </c>
      <c r="BM57" s="52">
        <v>16.68</v>
      </c>
      <c r="BN57" s="52">
        <v>16.329999999999998</v>
      </c>
      <c r="BO57" s="52">
        <v>15.36</v>
      </c>
      <c r="BP57" s="52" cm="1">
        <f t="array" aca="1" ref="BP57" ca="1">_FV(ED57,"Preço")</f>
        <v>15.96</v>
      </c>
      <c r="BQ57" s="69" t="s">
        <v>54</v>
      </c>
      <c r="BR57" s="36" cm="1">
        <f t="array" aca="1" ref="BR57" ca="1">_FV(ED57,"Média de volume",TRUE)</f>
        <v>11585950</v>
      </c>
      <c r="BS57" s="36">
        <v>34744600</v>
      </c>
      <c r="BT57" s="36" cm="1">
        <f t="array" aca="1" ref="BT57" ca="1">_FV(ED57,"Volume")</f>
        <v>10538900</v>
      </c>
      <c r="BU57" s="24" cm="1">
        <f t="array" aca="1" ref="BU57" ca="1">_FV(ED57,"Beta")</f>
        <v>0.80279999999999996</v>
      </c>
      <c r="BV57" s="71" cm="1">
        <f t="array" aca="1" ref="BV57" ca="1">_FV(ED57,"Variação (%)",TRUE)</f>
        <v>-4.9880000000000002E-3</v>
      </c>
      <c r="BX57" s="17" cm="1">
        <f t="array" aca="1" ref="BX57" ca="1">_FV(ED57,"Baixo")</f>
        <v>15.65</v>
      </c>
      <c r="BY57" s="17" cm="1">
        <f t="array" aca="1" ref="BY57" ca="1">_FV(ED57,"Alto")</f>
        <v>16.04</v>
      </c>
      <c r="BZ57" s="24"/>
      <c r="CA57" s="63" t="e">
        <f ca="1">SQRT(22.5*(BP57/VLOOKUP(BQ57,Fundamentus!A:U,3,FALSE))*(BP57/VLOOKUP(BQ57,Fundamentus!A:U,4,FALSE)))</f>
        <v>#NUM!</v>
      </c>
      <c r="CC57" s="62">
        <f t="shared" ca="1" si="24"/>
        <v>3.9062500000000097E-2</v>
      </c>
      <c r="CD57" s="8"/>
      <c r="CE57" s="61">
        <f t="shared" si="25"/>
        <v>15.36</v>
      </c>
      <c r="CF57" s="61">
        <f t="shared" si="26"/>
        <v>23.61</v>
      </c>
      <c r="CG57" s="61">
        <f t="shared" si="27"/>
        <v>19.294104477611945</v>
      </c>
      <c r="CH57" s="14"/>
      <c r="CI57" s="35">
        <f t="shared" si="1"/>
        <v>14.063771585044728</v>
      </c>
      <c r="CJ57" s="15">
        <f t="shared" si="28"/>
        <v>15.235000000000582</v>
      </c>
      <c r="CK57" s="35">
        <f t="shared" si="2"/>
        <v>16.406228414956438</v>
      </c>
      <c r="CM57" s="14"/>
      <c r="CN57" s="17">
        <f t="shared" si="3"/>
        <v>4.3599999999999994</v>
      </c>
      <c r="CO57" s="17">
        <f t="shared" si="4"/>
        <v>9.86</v>
      </c>
      <c r="CP57" s="17">
        <f t="shared" si="5"/>
        <v>12.61</v>
      </c>
      <c r="CQ57" s="38">
        <f t="shared" si="29"/>
        <v>18.11</v>
      </c>
      <c r="CR57" s="17">
        <f t="shared" si="6"/>
        <v>20.86</v>
      </c>
      <c r="CS57" s="17">
        <f t="shared" si="7"/>
        <v>26.36</v>
      </c>
      <c r="CT57" s="17">
        <f t="shared" si="8"/>
        <v>29.11</v>
      </c>
      <c r="CU57" s="2" cm="1">
        <f t="array" aca="1" ref="CU57" ca="1">MAX(_xlfn._xlws.FILTER(CN57:CT57,CN57:CT57&lt;BP57))</f>
        <v>12.61</v>
      </c>
      <c r="CV57" s="2" cm="1">
        <f t="array" aca="1" ref="CV57" ca="1">MIN(_xlfn._xlws.FILTER($CN57:$CT57,$CN57:$CT57&gt;BP57))</f>
        <v>18.11</v>
      </c>
      <c r="CW57" s="16">
        <f t="shared" ca="1" si="80"/>
        <v>0.43616177636796194</v>
      </c>
      <c r="CX57" s="20">
        <f t="shared" ca="1" si="81"/>
        <v>-0.21808088818398097</v>
      </c>
      <c r="CY57" s="20">
        <f t="shared" ca="1" si="82"/>
        <v>-0.14538725878932066</v>
      </c>
      <c r="CZ57" s="20">
        <f t="shared" ca="1" si="83"/>
        <v>-8.7232355273592382E-2</v>
      </c>
      <c r="DA57" s="20">
        <f t="shared" ca="1" si="84"/>
        <v>-4.8462419596440216E-2</v>
      </c>
      <c r="DB57" s="20">
        <f t="shared" ca="1" si="85"/>
        <v>-2.5656575080468348E-2</v>
      </c>
      <c r="DC57" s="20">
        <f t="shared" ca="1" si="86"/>
        <v>-1.3217023526301877E-2</v>
      </c>
      <c r="DD57" s="20">
        <f t="shared" ca="1" si="87"/>
        <v>-6.7101811748917217E-3</v>
      </c>
      <c r="DE57" s="21">
        <f t="shared" ca="1" si="88"/>
        <v>6.7101811748917217E-3</v>
      </c>
      <c r="DF57" s="21">
        <f t="shared" ca="1" si="89"/>
        <v>1.3217023526301877E-2</v>
      </c>
      <c r="DG57" s="21">
        <f t="shared" ca="1" si="90"/>
        <v>2.5656575080468348E-2</v>
      </c>
      <c r="DH57" s="21">
        <f t="shared" ca="1" si="91"/>
        <v>4.8462419596440216E-2</v>
      </c>
      <c r="DI57" s="21">
        <f t="shared" ca="1" si="92"/>
        <v>8.7232355273592382E-2</v>
      </c>
      <c r="DJ57" s="21">
        <f t="shared" ca="1" si="93"/>
        <v>0.14538725878932066</v>
      </c>
      <c r="DK57" s="21">
        <f t="shared" ca="1" si="94"/>
        <v>0.21808088818398097</v>
      </c>
      <c r="DM57" s="16" cm="1">
        <f t="array" aca="1" ref="DM57" ca="1">MAX(_xlfn._xlws.FILTER(CX57:DK57,CX57:DK57&lt;BV57))</f>
        <v>-6.7101811748917217E-3</v>
      </c>
      <c r="DN57" s="16" cm="1">
        <f t="array" aca="1" ref="DN57" ca="1">MIN(_xlfn._xlws.FILTER(CX57:DK57,CX57:DK57&gt;BV57))</f>
        <v>6.7101811748917217E-3</v>
      </c>
      <c r="DO57" s="2" cm="1">
        <f t="array" aca="1" ref="DO57" ca="1">_FV(ED57,"Fechamento anterior",TRUE)</f>
        <v>16.04</v>
      </c>
      <c r="DP57" s="28">
        <f t="shared" ca="1" si="15"/>
        <v>0.12836091589209644</v>
      </c>
      <c r="DQ57" s="15">
        <f t="shared" ca="1" si="95"/>
        <v>15.932368693954736</v>
      </c>
      <c r="DR57" s="15">
        <f t="shared" ca="1" si="96"/>
        <v>16.147631306045263</v>
      </c>
      <c r="DS57" s="9"/>
      <c r="DT57" s="9"/>
      <c r="DU57" s="9"/>
      <c r="DV57" s="89">
        <v>5.8154903515728273E-2</v>
      </c>
      <c r="DW57" s="89">
        <f t="shared" ca="1" si="18"/>
        <v>1.3420362349783443E-2</v>
      </c>
      <c r="DX57" s="72">
        <f t="shared" ca="1" si="19"/>
        <v>0.61900820603532369</v>
      </c>
      <c r="DY57" s="37"/>
      <c r="DZ57" s="35">
        <f t="shared" si="39"/>
        <v>0.58561420747792692</v>
      </c>
      <c r="EA57" s="56"/>
      <c r="EB57" s="56"/>
      <c r="ED57" s="2" t="e" vm="57">
        <v>#VALUE!</v>
      </c>
      <c r="EF57" s="10" cm="1">
        <f t="array" aca="1" ref="EF57" ca="1">_FV(ED57,"Ações em circulação",TRUE)</f>
        <v>1854869000</v>
      </c>
      <c r="EG57" s="18">
        <f>VLOOKUP(BQ57,Fundamentus!A:U,5,FALSE)</f>
        <v>2.3039999999999998</v>
      </c>
      <c r="EH57" s="2">
        <f t="shared" ca="1" si="20"/>
        <v>12848832135.416668</v>
      </c>
      <c r="EI57" s="17">
        <v>-1271203554.6666667</v>
      </c>
      <c r="EJ57" s="17">
        <f t="shared" ca="1" si="21"/>
        <v>-1320859943.5208335</v>
      </c>
      <c r="EL57" s="16">
        <f t="shared" ca="1" si="22"/>
        <v>3.90625E-2</v>
      </c>
      <c r="EM57" s="32" t="str">
        <f>IF(VLOOKUP(BQ57,Fundamentus!A:U,3,FALSE)&lt;15,"Bom",IF(VLOOKUP(BQ57,Fundamentus!A:U,3,FALSE)&gt;15,"Ruim","n/a"))</f>
        <v>Bom</v>
      </c>
      <c r="EN57" s="28" t="str">
        <f>IF(VLOOKUP(BQ57,Fundamentus!A:U,4,FALSE)&lt;1,"Baixo",IF(VLOOKUP(BQ57,Fundamentus!A:U,4,FALSE)&lt;1.5,"Moderado",IF(VLOOKUP(BQ57,Fundamentus!A:U,4,FALSE)&gt;1.5,"Alto","n/a")))</f>
        <v>Alto</v>
      </c>
      <c r="EO57" s="17" t="str">
        <f>IF(VLOOKUP(BQ57,Fundamentus!A:U,8,FALSE)&lt;0,"Risco elevado",IF(VLOOKUP(BQ57,Fundamentus!A:U,8,FALSE)&lt;1,"Saudável",IF(VLOOKUP(BQ57,Fundamentus!A:U,8,FALSE)&lt;3,"Estável",IF(VLOOKUP(BQ57,Fundamentus!A:U,8,FALSE)&gt;3,"Alerta","n/a"))))</f>
        <v>Alerta</v>
      </c>
      <c r="EP57" s="28" t="str">
        <f t="shared" si="23"/>
        <v>Bom</v>
      </c>
      <c r="EQ57" s="17" t="str">
        <f>IF(VLOOKUP(BQ57,Fundamentus!A:U,12,FALSE)&lt;2,"Subvalorizada",IF(VLOOKUP(BQ57,Fundamentus!A:U,12,FALSE)&lt;6,"Muita barata",IF(VLOOKUP(BQ57,Fundamentus!A:U,12,FALSE)&lt;6,"Barata",IF(VLOOKUP(BQ57,Fundamentus!A:U,12,FALSE)&lt;8,"Atrativa",IF(VLOOKUP(BQ57,Fundamentus!A:U,12,FALSE)&gt;8,"Supervalorizada","n/a")))))</f>
        <v>Muita barata</v>
      </c>
      <c r="ES57" s="17" t="str">
        <f>IF(VLOOKUP(BQ57,Fundamentus!A:U,17,FALSE)&lt;0.1,"Fraco retorno",IF(VLOOKUP(BQ57,Fundamentus!A:U,17,FALSE)&gt;0.1,"Bom retorno","n/a"))</f>
        <v>Fraco retorno</v>
      </c>
      <c r="ET57" s="17" t="str">
        <f>IF(VLOOKUP(BQ57,Fundamentus!A:U,16,FALSE)&lt;0.1,"Ineficiente",IF(VLOOKUP(BQ57,Fundamentus!A:U,16,FALSE)&gt;0.1,"Eficiente","n/a"))</f>
        <v>Eficiente</v>
      </c>
      <c r="EU57" s="33" t="str">
        <f>IF(VLOOKUP(BQ57,Fundamentus!A:U,16,FALSE)&lt;0.1,"Oper. Ineficiente",IF(VLOOKUP(BQ57,Fundamentus!A:U,16,FALSE)&gt;0.1,"Oper.Eficiente","n/a"))</f>
        <v>Oper.Eficiente</v>
      </c>
      <c r="EV57" s="34">
        <f>VLOOKUP(BQ57,Fundamentus!A:U,14,FALSE)</f>
        <v>-0.1028</v>
      </c>
      <c r="EW57" s="17" t="str">
        <f>IF(VLOOKUP(BQ57,Fundamentus!A:U,21,FALSE)&lt;0,"Negativo",IF(VLOOKUP(BQ57,Fundamentus!A:U,21,FALSE)&lt;0.05,"Fraco",IF(VLOOKUP(BQ57,Fundamentus!A:U,21,FALSE)&lt;0.1,"Bom",IF(VLOOKUP(BQ57,Fundamentus!A:U,21,FALSE)&gt;0.1,"Muito bom","n/a"))))</f>
        <v>Muito bom</v>
      </c>
      <c r="EY57" s="29" t="str">
        <f>IF(VLOOKUP(BQ57,Fundamentus!A:U,15,FALSE)&gt;1,"Bom",IF(VLOOKUP(BQ57,Fundamentus!A:U,15,FALSE)&lt;1,"Ruim","n/a"))</f>
        <v>Bom</v>
      </c>
      <c r="EZ57" s="17" t="str">
        <f>IF(VLOOKUP(BQ57,Fundamentus!A:U,20,FALSE)&lt;0.5,"Baixa",IF(VLOOKUP(BQ57,Fundamentus!A:U,20,FALSE)&lt;1,"Moderada",IF(VLOOKUP(BQ57,Fundamentus!A:U,20,FALSE)&lt;2,"Alerta",IF(VLOOKUP(BQ57,Fundamentus!A:U,20,FALSE)&gt;2,"Alta","n/a"))))</f>
        <v>Alerta</v>
      </c>
    </row>
    <row r="58" spans="1:156" s="2" customFormat="1" ht="11.25" hidden="1" x14ac:dyDescent="0.2">
      <c r="A58" s="4">
        <v>21.81</v>
      </c>
      <c r="B58" s="4">
        <v>21.32</v>
      </c>
      <c r="C58" s="4">
        <v>20.62</v>
      </c>
      <c r="D58" s="4">
        <v>19.559999999999999</v>
      </c>
      <c r="E58" s="4">
        <v>19.11</v>
      </c>
      <c r="F58" s="4">
        <v>19.57</v>
      </c>
      <c r="G58" s="4">
        <v>19.04</v>
      </c>
      <c r="H58" s="4">
        <v>18.98</v>
      </c>
      <c r="I58" s="4">
        <v>18.82</v>
      </c>
      <c r="J58" s="4">
        <v>19.989999999999998</v>
      </c>
      <c r="K58" s="4">
        <v>20.28</v>
      </c>
      <c r="L58" s="4">
        <v>19.989999999999998</v>
      </c>
      <c r="M58" s="4">
        <v>19.66</v>
      </c>
      <c r="N58" s="4">
        <v>19.96</v>
      </c>
      <c r="O58" s="4">
        <v>21.77</v>
      </c>
      <c r="P58" s="4">
        <v>21.32</v>
      </c>
      <c r="Q58" s="4">
        <v>22.57</v>
      </c>
      <c r="R58" s="4">
        <v>21.82</v>
      </c>
      <c r="S58" s="4">
        <v>21.55</v>
      </c>
      <c r="T58" s="4">
        <v>22.28</v>
      </c>
      <c r="U58" s="4">
        <v>20.73</v>
      </c>
      <c r="V58" s="4">
        <v>20.7</v>
      </c>
      <c r="W58" s="4">
        <v>21.24</v>
      </c>
      <c r="X58" s="4">
        <v>21.4</v>
      </c>
      <c r="Y58" s="4">
        <v>21.2</v>
      </c>
      <c r="Z58" s="4">
        <v>21.15</v>
      </c>
      <c r="AA58" s="4">
        <v>21.3</v>
      </c>
      <c r="AB58" s="4">
        <v>21.57</v>
      </c>
      <c r="AC58" s="4">
        <v>21.2</v>
      </c>
      <c r="AD58" s="4">
        <v>21.09</v>
      </c>
      <c r="AE58" s="4">
        <v>18.399999999999999</v>
      </c>
      <c r="AF58" s="4">
        <v>18.54</v>
      </c>
      <c r="AG58" s="4">
        <v>18.05</v>
      </c>
      <c r="AH58" s="4">
        <v>17.32</v>
      </c>
      <c r="AI58" s="4">
        <v>17.12</v>
      </c>
      <c r="AJ58" s="4">
        <v>16.43</v>
      </c>
      <c r="AK58" s="4">
        <v>16.510000000000002</v>
      </c>
      <c r="AL58" s="4">
        <v>17.87</v>
      </c>
      <c r="AM58" s="4">
        <v>18.7</v>
      </c>
      <c r="AN58" s="4">
        <v>20.43</v>
      </c>
      <c r="AO58" s="4">
        <v>20.48</v>
      </c>
      <c r="AP58" s="4">
        <v>21.83</v>
      </c>
      <c r="AQ58" s="4">
        <v>22.46</v>
      </c>
      <c r="AR58" s="4">
        <v>20.75</v>
      </c>
      <c r="AS58" s="4">
        <v>21.75</v>
      </c>
      <c r="AT58" s="4">
        <v>23.02</v>
      </c>
      <c r="AU58" s="4">
        <v>23.844999999999999</v>
      </c>
      <c r="AV58" s="4">
        <v>24.3</v>
      </c>
      <c r="AW58" s="4">
        <v>24.42</v>
      </c>
      <c r="AX58" s="4">
        <v>24.92</v>
      </c>
      <c r="AY58" s="12">
        <v>25.64</v>
      </c>
      <c r="AZ58" s="12">
        <v>25.53</v>
      </c>
      <c r="BA58" s="12">
        <v>24.79</v>
      </c>
      <c r="BB58" s="15">
        <v>26</v>
      </c>
      <c r="BC58" s="52">
        <v>25.46</v>
      </c>
      <c r="BD58" s="52">
        <v>24.97</v>
      </c>
      <c r="BE58" s="52">
        <v>24.97</v>
      </c>
      <c r="BF58" s="52">
        <v>25.2</v>
      </c>
      <c r="BG58" s="67">
        <v>24.4</v>
      </c>
      <c r="BH58" s="52">
        <v>25.26</v>
      </c>
      <c r="BI58" s="52">
        <v>25.62</v>
      </c>
      <c r="BJ58" s="52">
        <v>26.01</v>
      </c>
      <c r="BK58" s="52">
        <v>25.6</v>
      </c>
      <c r="BL58" s="52">
        <v>26.58</v>
      </c>
      <c r="BM58" s="52">
        <v>25.27</v>
      </c>
      <c r="BN58" s="52">
        <v>24.51</v>
      </c>
      <c r="BO58" s="52">
        <v>25.33</v>
      </c>
      <c r="BP58" s="52" cm="1">
        <f t="array" aca="1" ref="BP58" ca="1">_FV(ED58,"Preço")</f>
        <v>25.8</v>
      </c>
      <c r="BQ58" s="69" t="s">
        <v>55</v>
      </c>
      <c r="BR58" s="36" cm="1">
        <f t="array" aca="1" ref="BR58" ca="1">_FV(ED58,"Média de volume",TRUE)</f>
        <v>5802240</v>
      </c>
      <c r="BS58" s="36">
        <v>5526200</v>
      </c>
      <c r="BT58" s="36" cm="1">
        <f t="array" aca="1" ref="BT58" ca="1">_FV(ED58,"Volume")</f>
        <v>9220500</v>
      </c>
      <c r="BU58" s="24" cm="1">
        <f t="array" aca="1" ref="BU58" ca="1">_FV(ED58,"Beta")</f>
        <v>1.6384000000000001</v>
      </c>
      <c r="BV58" s="71" cm="1">
        <f t="array" aca="1" ref="BV58" ca="1">_FV(ED58,"Variação (%)",TRUE)</f>
        <v>2.4216000000000001E-2</v>
      </c>
      <c r="BX58" s="17" cm="1">
        <f t="array" aca="1" ref="BX58" ca="1">_FV(ED58,"Baixo")</f>
        <v>24.1</v>
      </c>
      <c r="BY58" s="17" cm="1">
        <f t="array" aca="1" ref="BY58" ca="1">_FV(ED58,"Alto")</f>
        <v>25.88</v>
      </c>
      <c r="BZ58" s="24"/>
      <c r="CA58" s="63">
        <f ca="1">SQRT(22.5*(BP58/VLOOKUP(BQ58,Fundamentus!A:U,3,FALSE))*(BP58/VLOOKUP(BQ58,Fundamentus!A:U,4,FALSE)))</f>
        <v>48.998727192728488</v>
      </c>
      <c r="CC58" s="62">
        <f t="shared" ca="1" si="24"/>
        <v>1.8555073035925875E-2</v>
      </c>
      <c r="CD58" s="8"/>
      <c r="CE58" s="61">
        <f t="shared" si="25"/>
        <v>16.43</v>
      </c>
      <c r="CF58" s="61">
        <f t="shared" si="26"/>
        <v>26.58</v>
      </c>
      <c r="CG58" s="61">
        <f t="shared" si="27"/>
        <v>21.789328358208952</v>
      </c>
      <c r="CH58" s="14"/>
      <c r="CI58" s="35">
        <f t="shared" si="1"/>
        <v>22.959491108228853</v>
      </c>
      <c r="CJ58" s="15">
        <f t="shared" si="28"/>
        <v>24.295000000000073</v>
      </c>
      <c r="CK58" s="35">
        <f t="shared" si="2"/>
        <v>25.630508891771292</v>
      </c>
      <c r="CM58" s="14"/>
      <c r="CN58" s="17">
        <f t="shared" si="3"/>
        <v>8.8300000000000054</v>
      </c>
      <c r="CO58" s="17">
        <f t="shared" si="4"/>
        <v>12.630000000000003</v>
      </c>
      <c r="CP58" s="17">
        <f t="shared" si="5"/>
        <v>18.980000000000004</v>
      </c>
      <c r="CQ58" s="38">
        <f t="shared" si="29"/>
        <v>22.78</v>
      </c>
      <c r="CR58" s="17">
        <f t="shared" si="6"/>
        <v>29.130000000000003</v>
      </c>
      <c r="CS58" s="17">
        <f t="shared" si="7"/>
        <v>32.93</v>
      </c>
      <c r="CT58" s="17">
        <f t="shared" si="8"/>
        <v>39.28</v>
      </c>
      <c r="CU58" s="2" cm="1">
        <f t="array" aca="1" ref="CU58" ca="1">MAX(_xlfn._xlws.FILTER(CN58:CT58,CN58:CT58&lt;BP58))</f>
        <v>22.78</v>
      </c>
      <c r="CV58" s="2" cm="1">
        <f t="array" aca="1" ref="CV58" ca="1">MIN(_xlfn._xlws.FILTER($CN58:$CT58,$CN58:$CT58&gt;BP58))</f>
        <v>29.130000000000003</v>
      </c>
      <c r="CW58" s="16">
        <f t="shared" ca="1" si="80"/>
        <v>0.27875329236172086</v>
      </c>
      <c r="CX58" s="20">
        <f t="shared" ca="1" si="81"/>
        <v>-0.13937664618086043</v>
      </c>
      <c r="CY58" s="20">
        <f t="shared" ca="1" si="82"/>
        <v>-9.291776412057362E-2</v>
      </c>
      <c r="CZ58" s="20">
        <f t="shared" ca="1" si="83"/>
        <v>-5.5750658472344172E-2</v>
      </c>
      <c r="DA58" s="20">
        <f t="shared" ca="1" si="84"/>
        <v>-3.0972588040191207E-2</v>
      </c>
      <c r="DB58" s="20">
        <f t="shared" ca="1" si="85"/>
        <v>-1.6397252491865934E-2</v>
      </c>
      <c r="DC58" s="20">
        <f t="shared" ca="1" si="86"/>
        <v>-8.447069465506692E-3</v>
      </c>
      <c r="DD58" s="20">
        <f t="shared" ca="1" si="87"/>
        <v>-4.2885121901803207E-3</v>
      </c>
      <c r="DE58" s="21">
        <f t="shared" ca="1" si="88"/>
        <v>4.2885121901803207E-3</v>
      </c>
      <c r="DF58" s="21">
        <f t="shared" ca="1" si="89"/>
        <v>8.447069465506692E-3</v>
      </c>
      <c r="DG58" s="21">
        <f t="shared" ca="1" si="90"/>
        <v>1.6397252491865934E-2</v>
      </c>
      <c r="DH58" s="21">
        <f t="shared" ca="1" si="91"/>
        <v>3.0972588040191207E-2</v>
      </c>
      <c r="DI58" s="21">
        <f t="shared" ca="1" si="92"/>
        <v>5.5750658472344172E-2</v>
      </c>
      <c r="DJ58" s="21">
        <f t="shared" ca="1" si="93"/>
        <v>9.291776412057362E-2</v>
      </c>
      <c r="DK58" s="21">
        <f t="shared" ca="1" si="94"/>
        <v>0.13937664618086043</v>
      </c>
      <c r="DM58" s="16" cm="1">
        <f t="array" aca="1" ref="DM58" ca="1">MAX(_xlfn._xlws.FILTER(CX58:DK58,CX58:DK58&lt;BV58))</f>
        <v>1.6397252491865934E-2</v>
      </c>
      <c r="DN58" s="16" cm="1">
        <f t="array" aca="1" ref="DN58" ca="1">MIN(_xlfn._xlws.FILTER(CX58:DK58,CX58:DK58&gt;BV58))</f>
        <v>3.0972588040191207E-2</v>
      </c>
      <c r="DO58" s="2" cm="1">
        <f t="array" aca="1" ref="DO58" ca="1">_FV(ED58,"Fechamento anterior",TRUE)</f>
        <v>25.19</v>
      </c>
      <c r="DP58" s="28">
        <f t="shared" ca="1" si="15"/>
        <v>0.53643404613128964</v>
      </c>
      <c r="DQ58" s="15">
        <f t="shared" ca="1" si="95"/>
        <v>25.603046790270103</v>
      </c>
      <c r="DR58" s="15">
        <f t="shared" ca="1" si="96"/>
        <v>25.970199492732419</v>
      </c>
      <c r="DS58" s="9"/>
      <c r="DT58" s="9"/>
      <c r="DU58" s="9"/>
      <c r="DV58" s="89">
        <v>1.4575335548325272E-2</v>
      </c>
      <c r="DW58" s="89">
        <f t="shared" ca="1" si="18"/>
        <v>1.4575335548325272E-2</v>
      </c>
      <c r="DX58" s="72">
        <f t="shared" ca="1" si="19"/>
        <v>1.1269112540343484</v>
      </c>
      <c r="DY58" s="37"/>
      <c r="DZ58" s="35">
        <f t="shared" si="39"/>
        <v>0.6677544458856105</v>
      </c>
      <c r="EA58" s="56"/>
      <c r="EB58" s="56"/>
      <c r="ED58" s="2" t="e" vm="58">
        <v>#VALUE!</v>
      </c>
      <c r="EF58" s="10" cm="1">
        <f t="array" aca="1" ref="EF58" ca="1">_FV(ED58,"Ações em circulação",TRUE)</f>
        <v>384000000</v>
      </c>
      <c r="EG58" s="18">
        <f>VLOOKUP(BQ58,Fundamentus!A:U,5,FALSE)</f>
        <v>1.194</v>
      </c>
      <c r="EH58" s="2">
        <f t="shared" ca="1" si="20"/>
        <v>8297487437.1859303</v>
      </c>
      <c r="EI58" s="17">
        <v>1421534874.3718591</v>
      </c>
      <c r="EJ58" s="17">
        <f t="shared" ca="1" si="21"/>
        <v>1447911557.7889447</v>
      </c>
      <c r="EL58" s="16">
        <f t="shared" ca="1" si="22"/>
        <v>1.8555073035925851E-2</v>
      </c>
      <c r="EM58" s="32" t="str">
        <f>IF(VLOOKUP(BQ58,Fundamentus!A:U,3,FALSE)&lt;15,"Bom",IF(VLOOKUP(BQ58,Fundamentus!A:U,3,FALSE)&gt;15,"Ruim","n/a"))</f>
        <v>Bom</v>
      </c>
      <c r="EN58" s="28" t="str">
        <f>IF(VLOOKUP(BQ58,Fundamentus!A:U,4,FALSE)&lt;1,"Baixo",IF(VLOOKUP(BQ58,Fundamentus!A:U,4,FALSE)&lt;1.5,"Moderado",IF(VLOOKUP(BQ58,Fundamentus!A:U,4,FALSE)&gt;1.5,"Alto","n/a")))</f>
        <v>Moderado</v>
      </c>
      <c r="EO58" s="17" t="str">
        <f>IF(VLOOKUP(BQ58,Fundamentus!A:U,8,FALSE)&lt;0,"Risco elevado",IF(VLOOKUP(BQ58,Fundamentus!A:U,8,FALSE)&lt;1,"Saudável",IF(VLOOKUP(BQ58,Fundamentus!A:U,8,FALSE)&lt;3,"Estável",IF(VLOOKUP(BQ58,Fundamentus!A:U,8,FALSE)&gt;3,"Alerta","n/a"))))</f>
        <v>Estável</v>
      </c>
      <c r="EP58" s="28" t="str">
        <f t="shared" si="23"/>
        <v>Bom</v>
      </c>
      <c r="EQ58" s="17" t="str">
        <f>IF(VLOOKUP(BQ58,Fundamentus!A:U,12,FALSE)&lt;2,"Subvalorizada",IF(VLOOKUP(BQ58,Fundamentus!A:U,12,FALSE)&lt;6,"Muita barata",IF(VLOOKUP(BQ58,Fundamentus!A:U,12,FALSE)&lt;6,"Barata",IF(VLOOKUP(BQ58,Fundamentus!A:U,12,FALSE)&lt;8,"Atrativa",IF(VLOOKUP(BQ58,Fundamentus!A:U,12,FALSE)&gt;8,"Supervalorizada","n/a")))))</f>
        <v>Supervalorizada</v>
      </c>
      <c r="ES58" s="17" t="str">
        <f>IF(VLOOKUP(BQ58,Fundamentus!A:U,17,FALSE)&lt;0.1,"Fraco retorno",IF(VLOOKUP(BQ58,Fundamentus!A:U,17,FALSE)&gt;0.1,"Bom retorno","n/a"))</f>
        <v>Bom retorno</v>
      </c>
      <c r="ET58" s="17" t="str">
        <f>IF(VLOOKUP(BQ58,Fundamentus!A:U,16,FALSE)&lt;0.1,"Ineficiente",IF(VLOOKUP(BQ58,Fundamentus!A:U,16,FALSE)&gt;0.1,"Eficiente","n/a"))</f>
        <v>Ineficiente</v>
      </c>
      <c r="EU58" s="33" t="str">
        <f>IF(VLOOKUP(BQ58,Fundamentus!A:U,16,FALSE)&lt;0.1,"Oper. Ineficiente",IF(VLOOKUP(BQ58,Fundamentus!A:U,16,FALSE)&gt;0.1,"Oper.Eficiente","n/a"))</f>
        <v>Oper. Ineficiente</v>
      </c>
      <c r="EV58" s="34">
        <f>VLOOKUP(BQ58,Fundamentus!A:U,14,FALSE)</f>
        <v>0.17449999999999999</v>
      </c>
      <c r="EW58" s="17" t="str">
        <f>IF(VLOOKUP(BQ58,Fundamentus!A:U,21,FALSE)&lt;0,"Negativo",IF(VLOOKUP(BQ58,Fundamentus!A:U,21,FALSE)&lt;0.05,"Fraco",IF(VLOOKUP(BQ58,Fundamentus!A:U,21,FALSE)&lt;0.1,"Bom",IF(VLOOKUP(BQ58,Fundamentus!A:U,21,FALSE)&gt;0.1,"Muito bom","n/a"))))</f>
        <v>Muito bom</v>
      </c>
      <c r="EY58" s="29" t="str">
        <f>IF(VLOOKUP(BQ58,Fundamentus!A:U,15,FALSE)&gt;1,"Bom",IF(VLOOKUP(BQ58,Fundamentus!A:U,15,FALSE)&lt;1,"Ruim","n/a"))</f>
        <v>Bom</v>
      </c>
      <c r="EZ58" s="17" t="str">
        <f>IF(VLOOKUP(BQ58,Fundamentus!A:U,20,FALSE)&lt;0.5,"Baixa",IF(VLOOKUP(BQ58,Fundamentus!A:U,20,FALSE)&lt;1,"Moderada",IF(VLOOKUP(BQ58,Fundamentus!A:U,20,FALSE)&lt;2,"Alerta",IF(VLOOKUP(BQ58,Fundamentus!A:U,20,FALSE)&gt;2,"Alta","n/a"))))</f>
        <v>Moderada</v>
      </c>
    </row>
    <row r="59" spans="1:156" s="2" customFormat="1" ht="11.25" hidden="1" x14ac:dyDescent="0.2">
      <c r="A59" s="4">
        <v>16.440000000000001</v>
      </c>
      <c r="B59" s="4">
        <v>16.21</v>
      </c>
      <c r="C59" s="4">
        <v>15.89</v>
      </c>
      <c r="D59" s="4">
        <v>15.55</v>
      </c>
      <c r="E59" s="4">
        <v>14.94</v>
      </c>
      <c r="F59" s="4">
        <v>14.53</v>
      </c>
      <c r="G59" s="4">
        <v>14.48</v>
      </c>
      <c r="H59" s="4">
        <v>14.2</v>
      </c>
      <c r="I59" s="4">
        <v>14.27</v>
      </c>
      <c r="J59" s="4">
        <v>14.36</v>
      </c>
      <c r="K59" s="4">
        <v>14.4</v>
      </c>
      <c r="L59" s="4">
        <v>14.53</v>
      </c>
      <c r="M59" s="4">
        <v>14.43</v>
      </c>
      <c r="N59" s="4">
        <v>14.02</v>
      </c>
      <c r="O59" s="4">
        <v>13.9</v>
      </c>
      <c r="P59" s="4">
        <v>14.23</v>
      </c>
      <c r="Q59" s="4">
        <v>15.13</v>
      </c>
      <c r="R59" s="4">
        <v>16.350000000000001</v>
      </c>
      <c r="S59" s="4">
        <v>15.85</v>
      </c>
      <c r="T59" s="4">
        <v>15.01</v>
      </c>
      <c r="U59" s="4">
        <v>14.5</v>
      </c>
      <c r="V59" s="4">
        <v>14.74</v>
      </c>
      <c r="W59" s="4">
        <v>14.41</v>
      </c>
      <c r="X59" s="4">
        <v>14.21</v>
      </c>
      <c r="Y59" s="4">
        <v>14.29</v>
      </c>
      <c r="Z59" s="4">
        <v>14.49</v>
      </c>
      <c r="AA59" s="4">
        <v>14.54</v>
      </c>
      <c r="AB59" s="4">
        <v>14.17</v>
      </c>
      <c r="AC59" s="4">
        <v>14.08</v>
      </c>
      <c r="AD59" s="4">
        <v>14.66</v>
      </c>
      <c r="AE59" s="4">
        <v>14.53</v>
      </c>
      <c r="AF59" s="4">
        <v>15.28</v>
      </c>
      <c r="AG59" s="4">
        <v>15.66</v>
      </c>
      <c r="AH59" s="4">
        <v>14.95</v>
      </c>
      <c r="AI59" s="4">
        <v>14.55</v>
      </c>
      <c r="AJ59" s="4">
        <v>14.31</v>
      </c>
      <c r="AK59" s="4">
        <v>14.16</v>
      </c>
      <c r="AL59" s="4">
        <v>14.48</v>
      </c>
      <c r="AM59" s="4">
        <v>14.76</v>
      </c>
      <c r="AN59" s="4">
        <v>14.68</v>
      </c>
      <c r="AO59" s="4">
        <v>14.35</v>
      </c>
      <c r="AP59" s="4">
        <v>14.67</v>
      </c>
      <c r="AQ59" s="4">
        <v>15.64</v>
      </c>
      <c r="AR59" s="4">
        <v>15.2</v>
      </c>
      <c r="AS59" s="4">
        <v>15.99</v>
      </c>
      <c r="AT59" s="4">
        <v>15.85</v>
      </c>
      <c r="AU59" s="4">
        <v>15.1</v>
      </c>
      <c r="AV59" s="4">
        <v>15.2</v>
      </c>
      <c r="AW59" s="4">
        <v>15.12</v>
      </c>
      <c r="AX59" s="4">
        <v>15.28</v>
      </c>
      <c r="AY59" s="12">
        <v>15.8</v>
      </c>
      <c r="AZ59" s="12">
        <v>16.63</v>
      </c>
      <c r="BA59" s="12">
        <v>16.36</v>
      </c>
      <c r="BB59" s="15">
        <v>14.99</v>
      </c>
      <c r="BC59" s="52">
        <v>15.38</v>
      </c>
      <c r="BD59" s="52">
        <v>15.25</v>
      </c>
      <c r="BE59" s="52">
        <v>15.07</v>
      </c>
      <c r="BF59" s="52">
        <v>14.76</v>
      </c>
      <c r="BG59" s="67">
        <v>14.6</v>
      </c>
      <c r="BH59" s="52">
        <v>14.2</v>
      </c>
      <c r="BI59" s="52">
        <v>14.38</v>
      </c>
      <c r="BJ59" s="52">
        <v>14.9</v>
      </c>
      <c r="BK59" s="52">
        <v>14.4</v>
      </c>
      <c r="BL59" s="52">
        <v>13.97</v>
      </c>
      <c r="BM59" s="52">
        <v>13.61</v>
      </c>
      <c r="BN59" s="52">
        <v>13.69</v>
      </c>
      <c r="BO59" s="52">
        <v>13.4</v>
      </c>
      <c r="BP59" s="52" cm="1">
        <f t="array" aca="1" ref="BP59" ca="1">_FV(ED59,"Preço")</f>
        <v>13.62</v>
      </c>
      <c r="BQ59" s="69" t="s">
        <v>56</v>
      </c>
      <c r="BR59" s="36" cm="1">
        <f t="array" aca="1" ref="BR59" ca="1">_FV(ED59,"Média de volume",TRUE)</f>
        <v>4798430</v>
      </c>
      <c r="BS59" s="36">
        <v>3005200</v>
      </c>
      <c r="BT59" s="36" cm="1">
        <f t="array" aca="1" ref="BT59" ca="1">_FV(ED59,"Volume")</f>
        <v>3801900</v>
      </c>
      <c r="BU59" s="24" cm="1">
        <f t="array" aca="1" ref="BU59" ca="1">_FV(ED59,"Beta")</f>
        <v>0.95660000000000001</v>
      </c>
      <c r="BV59" s="71" cm="1">
        <f t="array" aca="1" ref="BV59" ca="1">_FV(ED59,"Variação (%)",TRUE)</f>
        <v>-1.0893E-2</v>
      </c>
      <c r="BX59" s="17" cm="1">
        <f t="array" aca="1" ref="BX59" ca="1">_FV(ED59,"Baixo")</f>
        <v>13.52</v>
      </c>
      <c r="BY59" s="17" cm="1">
        <f t="array" aca="1" ref="BY59" ca="1">_FV(ED59,"Alto")</f>
        <v>13.83</v>
      </c>
      <c r="BZ59" s="24"/>
      <c r="CA59" s="63">
        <f ca="1">SQRT(22.5*(BP59/VLOOKUP(BQ59,Fundamentus!A:U,3,FALSE))*(BP59/VLOOKUP(BQ59,Fundamentus!A:U,4,FALSE)))</f>
        <v>11.683636365135465</v>
      </c>
      <c r="CC59" s="62">
        <f t="shared" ca="1" si="24"/>
        <v>1.641791044776111E-2</v>
      </c>
      <c r="CD59" s="8"/>
      <c r="CE59" s="61">
        <f t="shared" si="25"/>
        <v>13.4</v>
      </c>
      <c r="CF59" s="61">
        <f t="shared" si="26"/>
        <v>16.63</v>
      </c>
      <c r="CG59" s="61">
        <f t="shared" si="27"/>
        <v>14.835223880597017</v>
      </c>
      <c r="CH59" s="14"/>
      <c r="CI59" s="35">
        <f t="shared" si="1"/>
        <v>12.569423429299825</v>
      </c>
      <c r="CJ59" s="15">
        <f t="shared" si="28"/>
        <v>13.259999999999991</v>
      </c>
      <c r="CK59" s="35">
        <f t="shared" si="2"/>
        <v>13.950576570700157</v>
      </c>
      <c r="CM59" s="14"/>
      <c r="CN59" s="17">
        <f t="shared" si="3"/>
        <v>9.0933333333333355</v>
      </c>
      <c r="CO59" s="17">
        <f t="shared" si="4"/>
        <v>11.246666666666668</v>
      </c>
      <c r="CP59" s="17">
        <f t="shared" si="5"/>
        <v>12.323333333333334</v>
      </c>
      <c r="CQ59" s="38">
        <f t="shared" si="29"/>
        <v>14.476666666666667</v>
      </c>
      <c r="CR59" s="17">
        <f t="shared" si="6"/>
        <v>15.553333333333333</v>
      </c>
      <c r="CS59" s="17">
        <f t="shared" si="7"/>
        <v>17.706666666666663</v>
      </c>
      <c r="CT59" s="17">
        <f t="shared" si="8"/>
        <v>18.783333333333331</v>
      </c>
      <c r="CU59" s="2" cm="1">
        <f t="array" aca="1" ref="CU59" ca="1">MAX(_xlfn._xlws.FILTER(CN59:CT59,CN59:CT59&lt;BP59))</f>
        <v>12.323333333333334</v>
      </c>
      <c r="CV59" s="2" cm="1">
        <f t="array" aca="1" ref="CV59" ca="1">MIN(_xlfn._xlws.FILTER($CN59:$CT59,$CN59:$CT59&gt;BP59))</f>
        <v>14.476666666666667</v>
      </c>
      <c r="CW59" s="16">
        <f t="shared" ca="1" si="80"/>
        <v>0.17473627265350267</v>
      </c>
      <c r="CX59" s="20">
        <f t="shared" ca="1" si="81"/>
        <v>-8.7368136326751333E-2</v>
      </c>
      <c r="CY59" s="20">
        <f t="shared" ca="1" si="82"/>
        <v>-5.824542421783422E-2</v>
      </c>
      <c r="CZ59" s="20">
        <f t="shared" ca="1" si="83"/>
        <v>-3.4947254530700536E-2</v>
      </c>
      <c r="DA59" s="20">
        <f t="shared" ca="1" si="84"/>
        <v>-1.941514140594474E-2</v>
      </c>
      <c r="DB59" s="20">
        <f t="shared" ca="1" si="85"/>
        <v>-1.0278604273735451E-2</v>
      </c>
      <c r="DC59" s="20">
        <f t="shared" ca="1" si="86"/>
        <v>-5.2950385652576568E-3</v>
      </c>
      <c r="DD59" s="20">
        <f t="shared" ca="1" si="87"/>
        <v>-2.6882503485154258E-3</v>
      </c>
      <c r="DE59" s="21">
        <f t="shared" ca="1" si="88"/>
        <v>2.6882503485154258E-3</v>
      </c>
      <c r="DF59" s="21">
        <f t="shared" ca="1" si="89"/>
        <v>5.2950385652576568E-3</v>
      </c>
      <c r="DG59" s="21">
        <f t="shared" ca="1" si="90"/>
        <v>1.0278604273735451E-2</v>
      </c>
      <c r="DH59" s="21">
        <f t="shared" ca="1" si="91"/>
        <v>1.941514140594474E-2</v>
      </c>
      <c r="DI59" s="21">
        <f t="shared" ca="1" si="92"/>
        <v>3.4947254530700536E-2</v>
      </c>
      <c r="DJ59" s="21">
        <f t="shared" ca="1" si="93"/>
        <v>5.824542421783422E-2</v>
      </c>
      <c r="DK59" s="21">
        <f t="shared" ca="1" si="94"/>
        <v>8.7368136326751333E-2</v>
      </c>
      <c r="DM59" s="16" cm="1">
        <f t="array" aca="1" ref="DM59" ca="1">MAX(_xlfn._xlws.FILTER(CX59:DK59,CX59:DK59&lt;BV59))</f>
        <v>-1.941514140594474E-2</v>
      </c>
      <c r="DN59" s="16" cm="1">
        <f t="array" aca="1" ref="DN59" ca="1">MIN(_xlfn._xlws.FILTER(CX59:DK59,CX59:DK59&gt;BV59))</f>
        <v>-1.0278604273735451E-2</v>
      </c>
      <c r="DO59" s="2" cm="1">
        <f t="array" aca="1" ref="DO59" ca="1">_FV(ED59,"Fechamento anterior",TRUE)</f>
        <v>13.77</v>
      </c>
      <c r="DP59" s="28">
        <f t="shared" ca="1" si="15"/>
        <v>0.9327270381836853</v>
      </c>
      <c r="DQ59" s="15">
        <f t="shared" ca="1" si="95"/>
        <v>13.50265350284014</v>
      </c>
      <c r="DR59" s="15">
        <f t="shared" ca="1" si="96"/>
        <v>13.628463619150663</v>
      </c>
      <c r="DS59" s="9"/>
      <c r="DT59" s="9"/>
      <c r="DU59" s="9"/>
      <c r="DV59" s="89">
        <v>4.9835657084777944E-3</v>
      </c>
      <c r="DW59" s="89">
        <f t="shared" ca="1" si="18"/>
        <v>9.1365371322092888E-3</v>
      </c>
      <c r="DX59" s="72">
        <f t="shared" ca="1" si="19"/>
        <v>0.52130352414795822</v>
      </c>
      <c r="DY59" s="37"/>
      <c r="DZ59" s="35">
        <f t="shared" si="39"/>
        <v>0.34528828535008271</v>
      </c>
      <c r="EA59" s="56"/>
      <c r="EB59" s="56"/>
      <c r="ED59" s="2" t="e" vm="59">
        <v>#VALUE!</v>
      </c>
      <c r="EF59" s="10" cm="1">
        <f t="array" aca="1" ref="EF59" ca="1">_FV(ED59,"Ações em circulação",TRUE)</f>
        <v>3000000000</v>
      </c>
      <c r="EG59" s="18">
        <f>VLOOKUP(BQ59,Fundamentus!A:U,5,FALSE)</f>
        <v>0</v>
      </c>
      <c r="EH59" s="2" t="e">
        <f t="shared" ca="1" si="20"/>
        <v>#DIV/0!</v>
      </c>
      <c r="EI59" s="17" t="e">
        <v>#DIV/0!</v>
      </c>
      <c r="EJ59" s="17" t="e">
        <f t="shared" ca="1" si="21"/>
        <v>#DIV/0!</v>
      </c>
      <c r="EL59" s="16" t="e">
        <f t="shared" ca="1" si="22"/>
        <v>#DIV/0!</v>
      </c>
      <c r="EM59" s="32" t="str">
        <f>IF(VLOOKUP(BQ59,Fundamentus!A:U,3,FALSE)&lt;15,"Bom",IF(VLOOKUP(BQ59,Fundamentus!A:U,3,FALSE)&gt;15,"Ruim","n/a"))</f>
        <v>Bom</v>
      </c>
      <c r="EN59" s="28" t="str">
        <f>IF(VLOOKUP(BQ59,Fundamentus!A:U,4,FALSE)&lt;1,"Baixo",IF(VLOOKUP(BQ59,Fundamentus!A:U,4,FALSE)&lt;1.5,"Moderado",IF(VLOOKUP(BQ59,Fundamentus!A:U,4,FALSE)&gt;1.5,"Alto","n/a")))</f>
        <v>Alto</v>
      </c>
      <c r="EO59" s="17" t="str">
        <f>IF(VLOOKUP(BQ59,Fundamentus!A:U,8,FALSE)&lt;0,"Risco elevado",IF(VLOOKUP(BQ59,Fundamentus!A:U,8,FALSE)&lt;1,"Saudável",IF(VLOOKUP(BQ59,Fundamentus!A:U,8,FALSE)&lt;3,"Estável",IF(VLOOKUP(BQ59,Fundamentus!A:U,8,FALSE)&gt;3,"Alerta","n/a"))))</f>
        <v>Alerta</v>
      </c>
      <c r="EP59" s="28" t="str">
        <f t="shared" si="23"/>
        <v>Ruim</v>
      </c>
      <c r="EQ59" s="17" t="str">
        <f>IF(VLOOKUP(BQ59,Fundamentus!A:U,12,FALSE)&lt;2,"Subvalorizada",IF(VLOOKUP(BQ59,Fundamentus!A:U,12,FALSE)&lt;6,"Muita barata",IF(VLOOKUP(BQ59,Fundamentus!A:U,12,FALSE)&lt;6,"Barata",IF(VLOOKUP(BQ59,Fundamentus!A:U,12,FALSE)&lt;8,"Atrativa",IF(VLOOKUP(BQ59,Fundamentus!A:U,12,FALSE)&gt;8,"Supervalorizada","n/a")))))</f>
        <v>Subvalorizada</v>
      </c>
      <c r="ES59" s="17" t="str">
        <f>IF(VLOOKUP(BQ59,Fundamentus!A:U,17,FALSE)&lt;0.1,"Fraco retorno",IF(VLOOKUP(BQ59,Fundamentus!A:U,17,FALSE)&gt;0.1,"Bom retorno","n/a"))</f>
        <v>Bom retorno</v>
      </c>
      <c r="ET59" s="17" t="str">
        <f>IF(VLOOKUP(BQ59,Fundamentus!A:U,16,FALSE)&lt;0.1,"Ineficiente",IF(VLOOKUP(BQ59,Fundamentus!A:U,16,FALSE)&gt;0.1,"Eficiente","n/a"))</f>
        <v>Ineficiente</v>
      </c>
      <c r="EU59" s="33" t="str">
        <f>IF(VLOOKUP(BQ59,Fundamentus!A:U,16,FALSE)&lt;0.1,"Oper. Ineficiente",IF(VLOOKUP(BQ59,Fundamentus!A:U,16,FALSE)&gt;0.1,"Oper.Eficiente","n/a"))</f>
        <v>Oper. Ineficiente</v>
      </c>
      <c r="EV59" s="34">
        <f>VLOOKUP(BQ59,Fundamentus!A:U,14,FALSE)</f>
        <v>0</v>
      </c>
      <c r="EW59" s="17" t="str">
        <f>IF(VLOOKUP(BQ59,Fundamentus!A:U,21,FALSE)&lt;0,"Negativo",IF(VLOOKUP(BQ59,Fundamentus!A:U,21,FALSE)&lt;0.05,"Fraco",IF(VLOOKUP(BQ59,Fundamentus!A:U,21,FALSE)&lt;0.1,"Bom",IF(VLOOKUP(BQ59,Fundamentus!A:U,21,FALSE)&gt;0.1,"Muito bom","n/a"))))</f>
        <v>Fraco</v>
      </c>
      <c r="EY59" s="29" t="str">
        <f>IF(VLOOKUP(BQ59,Fundamentus!A:U,15,FALSE)&gt;1,"Bom",IF(VLOOKUP(BQ59,Fundamentus!A:U,15,FALSE)&lt;1,"Ruim","n/a"))</f>
        <v>Bom</v>
      </c>
      <c r="EZ59" s="17" t="str">
        <f>IF(VLOOKUP(BQ59,Fundamentus!A:U,20,FALSE)&lt;0.5,"Baixa",IF(VLOOKUP(BQ59,Fundamentus!A:U,20,FALSE)&lt;1,"Moderada",IF(VLOOKUP(BQ59,Fundamentus!A:U,20,FALSE)&lt;2,"Alerta",IF(VLOOKUP(BQ59,Fundamentus!A:U,20,FALSE)&gt;2,"Alta","n/a"))))</f>
        <v>Baixa</v>
      </c>
    </row>
    <row r="60" spans="1:156" s="2" customFormat="1" ht="11.25" hidden="1" x14ac:dyDescent="0.2">
      <c r="A60" s="4">
        <v>7.46</v>
      </c>
      <c r="B60" s="4">
        <v>7.7</v>
      </c>
      <c r="C60" s="4">
        <v>7.16</v>
      </c>
      <c r="D60" s="4">
        <v>6.97</v>
      </c>
      <c r="E60" s="4">
        <v>6.91</v>
      </c>
      <c r="F60" s="4">
        <v>7.19</v>
      </c>
      <c r="G60" s="4">
        <v>6.9</v>
      </c>
      <c r="H60" s="4">
        <v>7.18</v>
      </c>
      <c r="I60" s="4">
        <v>7.4</v>
      </c>
      <c r="J60" s="4">
        <v>7.71</v>
      </c>
      <c r="K60" s="4">
        <v>7.92</v>
      </c>
      <c r="L60" s="4">
        <v>8.1199999999999992</v>
      </c>
      <c r="M60" s="4">
        <v>7.85</v>
      </c>
      <c r="N60" s="4">
        <v>8.0500000000000007</v>
      </c>
      <c r="O60" s="4">
        <v>7.62</v>
      </c>
      <c r="P60" s="4">
        <v>7.47</v>
      </c>
      <c r="Q60" s="4">
        <v>7.7</v>
      </c>
      <c r="R60" s="4">
        <v>7.53</v>
      </c>
      <c r="S60" s="4">
        <v>8.4499999999999993</v>
      </c>
      <c r="T60" s="4">
        <v>7.92</v>
      </c>
      <c r="U60" s="4">
        <v>7.3</v>
      </c>
      <c r="V60" s="4">
        <v>7.64</v>
      </c>
      <c r="W60" s="4">
        <v>7.69</v>
      </c>
      <c r="X60" s="4">
        <v>7.6</v>
      </c>
      <c r="Y60" s="4">
        <v>7.52</v>
      </c>
      <c r="Z60" s="4">
        <v>7.63</v>
      </c>
      <c r="AA60" s="4">
        <v>7.47</v>
      </c>
      <c r="AB60" s="4">
        <v>8.3000000000000007</v>
      </c>
      <c r="AC60" s="4">
        <v>8.42</v>
      </c>
      <c r="AD60" s="4">
        <v>8.86</v>
      </c>
      <c r="AE60" s="4">
        <v>8.85</v>
      </c>
      <c r="AF60" s="4">
        <v>8.8800000000000008</v>
      </c>
      <c r="AG60" s="4">
        <v>7.03</v>
      </c>
      <c r="AH60" s="4">
        <v>6.69</v>
      </c>
      <c r="AI60" s="4">
        <v>6.7</v>
      </c>
      <c r="AJ60" s="4">
        <v>6.66</v>
      </c>
      <c r="AK60" s="4">
        <v>6.92</v>
      </c>
      <c r="AL60" s="4">
        <v>6.9</v>
      </c>
      <c r="AM60" s="4">
        <v>6.78</v>
      </c>
      <c r="AN60" s="4">
        <v>6.97</v>
      </c>
      <c r="AO60" s="4">
        <v>7.18</v>
      </c>
      <c r="AP60" s="4">
        <v>7.18</v>
      </c>
      <c r="AQ60" s="4">
        <v>7.22</v>
      </c>
      <c r="AR60" s="4">
        <v>6.9</v>
      </c>
      <c r="AS60" s="4">
        <v>6.77</v>
      </c>
      <c r="AT60" s="4">
        <v>7.05</v>
      </c>
      <c r="AU60" s="4">
        <v>7.1549999999999994</v>
      </c>
      <c r="AV60" s="4">
        <v>7</v>
      </c>
      <c r="AW60" s="4">
        <v>6.8</v>
      </c>
      <c r="AX60" s="4">
        <v>6.68</v>
      </c>
      <c r="AY60" s="12">
        <v>6.8</v>
      </c>
      <c r="AZ60" s="12">
        <v>7.01</v>
      </c>
      <c r="BA60" s="12">
        <v>7.01</v>
      </c>
      <c r="BB60" s="15">
        <v>7.1</v>
      </c>
      <c r="BC60" s="52">
        <v>6.93</v>
      </c>
      <c r="BD60" s="52">
        <v>6.8</v>
      </c>
      <c r="BE60" s="52">
        <v>7.12</v>
      </c>
      <c r="BF60" s="52">
        <v>7.16</v>
      </c>
      <c r="BG60" s="67">
        <v>7.07</v>
      </c>
      <c r="BH60" s="52">
        <v>7.07</v>
      </c>
      <c r="BI60" s="52">
        <v>6.84</v>
      </c>
      <c r="BJ60" s="52">
        <v>7.04</v>
      </c>
      <c r="BK60" s="52">
        <v>6.97</v>
      </c>
      <c r="BL60" s="52">
        <v>6.91</v>
      </c>
      <c r="BM60" s="52">
        <v>6.95</v>
      </c>
      <c r="BN60" s="52">
        <v>7.96</v>
      </c>
      <c r="BO60" s="52">
        <v>8.56</v>
      </c>
      <c r="BP60" s="52" cm="1">
        <f t="array" aca="1" ref="BP60" ca="1">_FV(ED60,"Preço")</f>
        <v>9.15</v>
      </c>
      <c r="BQ60" s="69" t="s">
        <v>57</v>
      </c>
      <c r="BR60" s="36" cm="1">
        <f t="array" aca="1" ref="BR60" ca="1">_FV(ED60,"Média de volume",TRUE)</f>
        <v>218470</v>
      </c>
      <c r="BS60" s="36">
        <v>120200</v>
      </c>
      <c r="BT60" s="36" cm="1">
        <f t="array" aca="1" ref="BT60" ca="1">_FV(ED60,"Volume")</f>
        <v>461900</v>
      </c>
      <c r="BU60" s="24" cm="1">
        <f t="array" aca="1" ref="BU60" ca="1">_FV(ED60,"Beta")</f>
        <v>1.2545999999999999</v>
      </c>
      <c r="BV60" s="71" cm="1">
        <f t="array" aca="1" ref="BV60" ca="1">_FV(ED60,"Variação (%)",TRUE)</f>
        <v>1.7798000000000001E-2</v>
      </c>
      <c r="BX60" s="17" cm="1">
        <f t="array" aca="1" ref="BX60" ca="1">_FV(ED60,"Baixo")</f>
        <v>9.02</v>
      </c>
      <c r="BY60" s="17" cm="1">
        <f t="array" aca="1" ref="BY60" ca="1">_FV(ED60,"Alto")</f>
        <v>9.25</v>
      </c>
      <c r="BZ60" s="24"/>
      <c r="CA60" s="63">
        <f ca="1">SQRT(22.5*(BP60/VLOOKUP(BQ60,Fundamentus!A:U,3,FALSE))*(BP60/VLOOKUP(BQ60,Fundamentus!A:U,4,FALSE)))</f>
        <v>27.882177288110341</v>
      </c>
      <c r="CC60" s="62">
        <f t="shared" ca="1" si="24"/>
        <v>6.8925233644859793E-2</v>
      </c>
      <c r="CD60" s="8"/>
      <c r="CE60" s="61">
        <f t="shared" si="25"/>
        <v>6.66</v>
      </c>
      <c r="CF60" s="61">
        <f t="shared" si="26"/>
        <v>8.8800000000000008</v>
      </c>
      <c r="CG60" s="61">
        <f t="shared" si="27"/>
        <v>7.3620149253731348</v>
      </c>
      <c r="CH60" s="14"/>
      <c r="CI60" s="35">
        <f t="shared" si="1"/>
        <v>7.7397267935471614</v>
      </c>
      <c r="CJ60" s="15">
        <f t="shared" si="28"/>
        <v>9.0850000000000364</v>
      </c>
      <c r="CK60" s="35">
        <f t="shared" si="2"/>
        <v>10.430273206452911</v>
      </c>
      <c r="CM60" s="14"/>
      <c r="CN60" s="17">
        <f t="shared" si="3"/>
        <v>4.966666666666665</v>
      </c>
      <c r="CO60" s="17">
        <f t="shared" si="4"/>
        <v>5.8133333333333326</v>
      </c>
      <c r="CP60" s="17">
        <f t="shared" si="5"/>
        <v>7.1866666666666656</v>
      </c>
      <c r="CQ60" s="38">
        <f t="shared" si="29"/>
        <v>8.0333333333333332</v>
      </c>
      <c r="CR60" s="17">
        <f t="shared" si="6"/>
        <v>9.4066666666666663</v>
      </c>
      <c r="CS60" s="17">
        <f t="shared" si="7"/>
        <v>10.253333333333334</v>
      </c>
      <c r="CT60" s="17">
        <f t="shared" si="8"/>
        <v>11.626666666666667</v>
      </c>
      <c r="CU60" s="2" cm="1">
        <f t="array" aca="1" ref="CU60" ca="1">MAX(_xlfn._xlws.FILTER(CN60:CT60,CN60:CT60&lt;BP60))</f>
        <v>8.0333333333333332</v>
      </c>
      <c r="CV60" s="2" cm="1">
        <f t="array" aca="1" ref="CV60" ca="1">MIN(_xlfn._xlws.FILTER($CN60:$CT60,$CN60:$CT60&gt;BP60))</f>
        <v>9.4066666666666663</v>
      </c>
      <c r="CW60" s="16">
        <f t="shared" ca="1" si="80"/>
        <v>0.17095435684647309</v>
      </c>
      <c r="CX60" s="20">
        <f t="shared" ca="1" si="81"/>
        <v>-8.5477178423236544E-2</v>
      </c>
      <c r="CY60" s="20">
        <f t="shared" ca="1" si="82"/>
        <v>-5.6984785615491029E-2</v>
      </c>
      <c r="CZ60" s="20">
        <f t="shared" ca="1" si="83"/>
        <v>-3.419087136929462E-2</v>
      </c>
      <c r="DA60" s="20">
        <f t="shared" ca="1" si="84"/>
        <v>-1.8994928538497009E-2</v>
      </c>
      <c r="DB60" s="20">
        <f t="shared" ca="1" si="85"/>
        <v>-1.0056138638027829E-2</v>
      </c>
      <c r="DC60" s="20">
        <f t="shared" ca="1" si="86"/>
        <v>-5.1804350559537301E-3</v>
      </c>
      <c r="DD60" s="20">
        <f t="shared" ca="1" si="87"/>
        <v>-2.6300670284072781E-3</v>
      </c>
      <c r="DE60" s="21">
        <f t="shared" ca="1" si="88"/>
        <v>2.6300670284072781E-3</v>
      </c>
      <c r="DF60" s="21">
        <f t="shared" ca="1" si="89"/>
        <v>5.1804350559537301E-3</v>
      </c>
      <c r="DG60" s="21">
        <f t="shared" ca="1" si="90"/>
        <v>1.0056138638027829E-2</v>
      </c>
      <c r="DH60" s="21">
        <f t="shared" ca="1" si="91"/>
        <v>1.8994928538497009E-2</v>
      </c>
      <c r="DI60" s="21">
        <f t="shared" ca="1" si="92"/>
        <v>3.419087136929462E-2</v>
      </c>
      <c r="DJ60" s="21">
        <f t="shared" ca="1" si="93"/>
        <v>5.6984785615491029E-2</v>
      </c>
      <c r="DK60" s="21">
        <f t="shared" ca="1" si="94"/>
        <v>8.5477178423236544E-2</v>
      </c>
      <c r="DM60" s="16" cm="1">
        <f t="array" aca="1" ref="DM60" ca="1">MAX(_xlfn._xlws.FILTER(CX60:DK60,CX60:DK60&lt;BV60))</f>
        <v>1.0056138638027829E-2</v>
      </c>
      <c r="DN60" s="16" cm="1">
        <f t="array" aca="1" ref="DN60" ca="1">MIN(_xlfn._xlws.FILTER(CX60:DK60,CX60:DK60&gt;BV60))</f>
        <v>1.8994928538497009E-2</v>
      </c>
      <c r="DO60" s="2" cm="1">
        <f t="array" aca="1" ref="DO60" ca="1">_FV(ED60,"Fechamento anterior",TRUE)</f>
        <v>8.99</v>
      </c>
      <c r="DP60" s="28">
        <f t="shared" ca="1" si="15"/>
        <v>0.86604722615204699</v>
      </c>
      <c r="DQ60" s="15">
        <f t="shared" ca="1" si="95"/>
        <v>9.0804046863558696</v>
      </c>
      <c r="DR60" s="15">
        <f t="shared" ca="1" si="96"/>
        <v>9.1607644075610875</v>
      </c>
      <c r="DS60" s="9"/>
      <c r="DT60" s="9"/>
      <c r="DU60" s="9"/>
      <c r="DV60" s="89">
        <v>5.2601340568145562E-3</v>
      </c>
      <c r="DW60" s="89">
        <f t="shared" ca="1" si="18"/>
        <v>8.9387899004691792E-3</v>
      </c>
      <c r="DX60" s="72">
        <f t="shared" ca="1" si="19"/>
        <v>4.8317322970663754E-2</v>
      </c>
      <c r="DY60" s="37"/>
      <c r="DZ60" s="35">
        <f t="shared" si="39"/>
        <v>0.6726366032264377</v>
      </c>
      <c r="EA60" s="56"/>
      <c r="EB60" s="56"/>
      <c r="ED60" s="2" t="e" vm="60">
        <v>#VALUE!</v>
      </c>
      <c r="EF60" s="10" cm="1">
        <f t="array" aca="1" ref="EF60" ca="1">_FV(ED60,"Ações em circulação",TRUE)</f>
        <v>94507240</v>
      </c>
      <c r="EG60" s="18">
        <f>VLOOKUP(BQ60,Fundamentus!A:U,5,FALSE)</f>
        <v>0.123</v>
      </c>
      <c r="EH60" s="2">
        <f t="shared" ca="1" si="20"/>
        <v>7030416634.1463413</v>
      </c>
      <c r="EI60" s="17">
        <v>136803455.83349594</v>
      </c>
      <c r="EJ60" s="17">
        <f t="shared" ca="1" si="21"/>
        <v>146232665.99024388</v>
      </c>
      <c r="EL60" s="16">
        <f t="shared" ca="1" si="22"/>
        <v>6.8925233644859585E-2</v>
      </c>
      <c r="EM60" s="32" t="str">
        <f>IF(VLOOKUP(BQ60,Fundamentus!A:U,3,FALSE)&lt;15,"Bom",IF(VLOOKUP(BQ60,Fundamentus!A:U,3,FALSE)&gt;15,"Ruim","n/a"))</f>
        <v>Bom</v>
      </c>
      <c r="EN60" s="28" t="str">
        <f>IF(VLOOKUP(BQ60,Fundamentus!A:U,4,FALSE)&lt;1,"Baixo",IF(VLOOKUP(BQ60,Fundamentus!A:U,4,FALSE)&lt;1.5,"Moderado",IF(VLOOKUP(BQ60,Fundamentus!A:U,4,FALSE)&gt;1.5,"Alto","n/a")))</f>
        <v>Baixo</v>
      </c>
      <c r="EO60" s="17" t="str">
        <f>IF(VLOOKUP(BQ60,Fundamentus!A:U,8,FALSE)&lt;0,"Risco elevado",IF(VLOOKUP(BQ60,Fundamentus!A:U,8,FALSE)&lt;1,"Saudável",IF(VLOOKUP(BQ60,Fundamentus!A:U,8,FALSE)&lt;3,"Estável",IF(VLOOKUP(BQ60,Fundamentus!A:U,8,FALSE)&gt;3,"Alerta","n/a"))))</f>
        <v>Saudável</v>
      </c>
      <c r="EP60" s="28" t="str">
        <f t="shared" si="23"/>
        <v>Ruim</v>
      </c>
      <c r="EQ60" s="17" t="str">
        <f>IF(VLOOKUP(BQ60,Fundamentus!A:U,12,FALSE)&lt;2,"Subvalorizada",IF(VLOOKUP(BQ60,Fundamentus!A:U,12,FALSE)&lt;6,"Muita barata",IF(VLOOKUP(BQ60,Fundamentus!A:U,12,FALSE)&lt;6,"Barata",IF(VLOOKUP(BQ60,Fundamentus!A:U,12,FALSE)&lt;8,"Atrativa",IF(VLOOKUP(BQ60,Fundamentus!A:U,12,FALSE)&gt;8,"Supervalorizada","n/a")))))</f>
        <v>Muita barata</v>
      </c>
      <c r="ES60" s="17" t="str">
        <f>IF(VLOOKUP(BQ60,Fundamentus!A:U,17,FALSE)&lt;0.1,"Fraco retorno",IF(VLOOKUP(BQ60,Fundamentus!A:U,17,FALSE)&gt;0.1,"Bom retorno","n/a"))</f>
        <v>Fraco retorno</v>
      </c>
      <c r="ET60" s="17" t="str">
        <f>IF(VLOOKUP(BQ60,Fundamentus!A:U,16,FALSE)&lt;0.1,"Ineficiente",IF(VLOOKUP(BQ60,Fundamentus!A:U,16,FALSE)&gt;0.1,"Eficiente","n/a"))</f>
        <v>Ineficiente</v>
      </c>
      <c r="EU60" s="33" t="str">
        <f>IF(VLOOKUP(BQ60,Fundamentus!A:U,16,FALSE)&lt;0.1,"Oper. Ineficiente",IF(VLOOKUP(BQ60,Fundamentus!A:U,16,FALSE)&gt;0.1,"Oper.Eficiente","n/a"))</f>
        <v>Oper. Ineficiente</v>
      </c>
      <c r="EV60" s="34">
        <f>VLOOKUP(BQ60,Fundamentus!A:U,14,FALSE)</f>
        <v>2.0799999999999999E-2</v>
      </c>
      <c r="EW60" s="17" t="str">
        <f>IF(VLOOKUP(BQ60,Fundamentus!A:U,21,FALSE)&lt;0,"Negativo",IF(VLOOKUP(BQ60,Fundamentus!A:U,21,FALSE)&lt;0.05,"Fraco",IF(VLOOKUP(BQ60,Fundamentus!A:U,21,FALSE)&lt;0.1,"Bom",IF(VLOOKUP(BQ60,Fundamentus!A:U,21,FALSE)&gt;0.1,"Muito bom","n/a"))))</f>
        <v>Fraco</v>
      </c>
      <c r="EY60" s="29" t="str">
        <f>IF(VLOOKUP(BQ60,Fundamentus!A:U,15,FALSE)&gt;1,"Bom",IF(VLOOKUP(BQ60,Fundamentus!A:U,15,FALSE)&lt;1,"Ruim","n/a"))</f>
        <v>Bom</v>
      </c>
      <c r="EZ60" s="17" t="str">
        <f>IF(VLOOKUP(BQ60,Fundamentus!A:U,20,FALSE)&lt;0.5,"Baixa",IF(VLOOKUP(BQ60,Fundamentus!A:U,20,FALSE)&lt;1,"Moderada",IF(VLOOKUP(BQ60,Fundamentus!A:U,20,FALSE)&lt;2,"Alerta",IF(VLOOKUP(BQ60,Fundamentus!A:U,20,FALSE)&gt;2,"Alta","n/a"))))</f>
        <v>Baixa</v>
      </c>
    </row>
    <row r="61" spans="1:156" s="2" customFormat="1" ht="11.25" hidden="1" x14ac:dyDescent="0.2">
      <c r="A61" s="4">
        <v>10.7</v>
      </c>
      <c r="B61" s="4">
        <v>11.1</v>
      </c>
      <c r="C61" s="4">
        <v>10.28</v>
      </c>
      <c r="D61" s="4">
        <v>10.87</v>
      </c>
      <c r="E61" s="4">
        <v>10.38</v>
      </c>
      <c r="F61" s="4">
        <v>10.41</v>
      </c>
      <c r="G61" s="4">
        <v>10.029999999999999</v>
      </c>
      <c r="H61" s="4">
        <v>10.1</v>
      </c>
      <c r="I61" s="4">
        <v>10.48</v>
      </c>
      <c r="J61" s="4">
        <v>10.42</v>
      </c>
      <c r="K61" s="4">
        <v>10.51</v>
      </c>
      <c r="L61" s="4">
        <v>10.050000000000001</v>
      </c>
      <c r="M61" s="4">
        <v>10.34</v>
      </c>
      <c r="N61" s="4">
        <v>10.29</v>
      </c>
      <c r="O61" s="4">
        <v>10.26</v>
      </c>
      <c r="P61" s="4">
        <v>9.6</v>
      </c>
      <c r="Q61" s="4">
        <v>9.75</v>
      </c>
      <c r="R61" s="4">
        <v>9.7100000000000009</v>
      </c>
      <c r="S61" s="4">
        <v>9.08</v>
      </c>
      <c r="T61" s="4">
        <v>9.2899999999999991</v>
      </c>
      <c r="U61" s="4">
        <v>8.7799999999999994</v>
      </c>
      <c r="V61" s="4">
        <v>9.1</v>
      </c>
      <c r="W61" s="4">
        <v>8.91</v>
      </c>
      <c r="X61" s="4">
        <v>8.6999999999999993</v>
      </c>
      <c r="Y61" s="4">
        <v>9.0399999999999991</v>
      </c>
      <c r="Z61" s="4">
        <v>8.6999999999999993</v>
      </c>
      <c r="AA61" s="4">
        <v>8.93</v>
      </c>
      <c r="AB61" s="4">
        <v>8.61</v>
      </c>
      <c r="AC61" s="4">
        <v>8.2100000000000009</v>
      </c>
      <c r="AD61" s="4">
        <v>8.49</v>
      </c>
      <c r="AE61" s="4">
        <v>8.24</v>
      </c>
      <c r="AF61" s="4">
        <v>8.4</v>
      </c>
      <c r="AG61" s="4">
        <v>8.5</v>
      </c>
      <c r="AH61" s="4">
        <v>8.3000000000000007</v>
      </c>
      <c r="AI61" s="4">
        <v>8.42</v>
      </c>
      <c r="AJ61" s="4">
        <v>8.23</v>
      </c>
      <c r="AK61" s="4">
        <v>8.3800000000000008</v>
      </c>
      <c r="AL61" s="4">
        <v>8.77</v>
      </c>
      <c r="AM61" s="4">
        <v>8.76</v>
      </c>
      <c r="AN61" s="4">
        <v>8.64</v>
      </c>
      <c r="AO61" s="4">
        <v>8.1999999999999993</v>
      </c>
      <c r="AP61" s="4">
        <v>8.49</v>
      </c>
      <c r="AQ61" s="4">
        <v>8.42</v>
      </c>
      <c r="AR61" s="4">
        <v>7.96</v>
      </c>
      <c r="AS61" s="4">
        <v>8.18</v>
      </c>
      <c r="AT61" s="4">
        <v>8.15</v>
      </c>
      <c r="AU61" s="4">
        <v>8.1000000000000014</v>
      </c>
      <c r="AV61" s="4">
        <v>7.91</v>
      </c>
      <c r="AW61" s="4">
        <v>7.64</v>
      </c>
      <c r="AX61" s="4">
        <v>7.68</v>
      </c>
      <c r="AY61" s="12">
        <v>7.8</v>
      </c>
      <c r="AZ61" s="12">
        <v>8.18</v>
      </c>
      <c r="BA61" s="12">
        <v>8.0399999999999991</v>
      </c>
      <c r="BB61" s="15">
        <v>7.88</v>
      </c>
      <c r="BC61" s="52">
        <v>8.1999999999999993</v>
      </c>
      <c r="BD61" s="52">
        <v>9.39</v>
      </c>
      <c r="BE61" s="52">
        <v>9.3800000000000008</v>
      </c>
      <c r="BF61" s="52">
        <v>9.23</v>
      </c>
      <c r="BG61" s="67">
        <v>8.85</v>
      </c>
      <c r="BH61" s="52">
        <v>9.0399999999999991</v>
      </c>
      <c r="BI61" s="52">
        <v>9.15</v>
      </c>
      <c r="BJ61" s="52">
        <v>9.44</v>
      </c>
      <c r="BK61" s="52">
        <v>9.17</v>
      </c>
      <c r="BL61" s="52">
        <v>8.67</v>
      </c>
      <c r="BM61" s="52">
        <v>8.8000000000000007</v>
      </c>
      <c r="BN61" s="52">
        <v>8.27</v>
      </c>
      <c r="BO61" s="52">
        <v>8.6199999999999992</v>
      </c>
      <c r="BP61" s="52" cm="1">
        <f t="array" aca="1" ref="BP61" ca="1">_FV(ED61,"Preço")</f>
        <v>8.4</v>
      </c>
      <c r="BQ61" s="69" t="s">
        <v>58</v>
      </c>
      <c r="BR61" s="36" cm="1">
        <f t="array" aca="1" ref="BR61" ca="1">_FV(ED61,"Média de volume",TRUE)</f>
        <v>98780</v>
      </c>
      <c r="BS61" s="36">
        <v>101500</v>
      </c>
      <c r="BT61" s="36" cm="1">
        <f t="array" aca="1" ref="BT61" ca="1">_FV(ED61,"Volume")</f>
        <v>47700</v>
      </c>
      <c r="BU61" s="24" cm="1">
        <f t="array" aca="1" ref="BU61" ca="1">_FV(ED61,"Beta")</f>
        <v>0.98499999999999999</v>
      </c>
      <c r="BV61" s="71" cm="1">
        <f t="array" aca="1" ref="BV61" ca="1">_FV(ED61,"Variação (%)",TRUE)</f>
        <v>4.7850000000000002E-3</v>
      </c>
      <c r="BX61" s="17" cm="1">
        <f t="array" aca="1" ref="BX61" ca="1">_FV(ED61,"Baixo")</f>
        <v>8.27</v>
      </c>
      <c r="BY61" s="17" cm="1">
        <f t="array" aca="1" ref="BY61" ca="1">_FV(ED61,"Alto")</f>
        <v>8.4600000000000009</v>
      </c>
      <c r="BZ61" s="24"/>
      <c r="CA61" s="63">
        <f ca="1">SQRT(22.5*(BP61/VLOOKUP(BQ61,Fundamentus!A:U,3,FALSE))*(BP61/VLOOKUP(BQ61,Fundamentus!A:U,4,FALSE)))</f>
        <v>16.287037486963555</v>
      </c>
      <c r="CC61" s="62">
        <f t="shared" ca="1" si="24"/>
        <v>-2.5522041763340938E-2</v>
      </c>
      <c r="CD61" s="8"/>
      <c r="CE61" s="61">
        <f t="shared" si="25"/>
        <v>7.64</v>
      </c>
      <c r="CF61" s="61">
        <f t="shared" si="26"/>
        <v>11.1</v>
      </c>
      <c r="CG61" s="61">
        <f t="shared" si="27"/>
        <v>9.0238805970149247</v>
      </c>
      <c r="CH61" s="14"/>
      <c r="CI61" s="35">
        <f t="shared" si="1"/>
        <v>7.8383334288442832</v>
      </c>
      <c r="CJ61" s="15">
        <f t="shared" si="28"/>
        <v>8.4199999999999591</v>
      </c>
      <c r="CK61" s="35">
        <f t="shared" si="2"/>
        <v>9.001666571155635</v>
      </c>
      <c r="CM61" s="14"/>
      <c r="CN61" s="17">
        <f t="shared" si="3"/>
        <v>3.6799999999999988</v>
      </c>
      <c r="CO61" s="17">
        <f t="shared" si="4"/>
        <v>5.6599999999999993</v>
      </c>
      <c r="CP61" s="17">
        <f t="shared" si="5"/>
        <v>7.1399999999999988</v>
      </c>
      <c r="CQ61" s="38">
        <f t="shared" si="29"/>
        <v>9.1199999999999992</v>
      </c>
      <c r="CR61" s="17">
        <f t="shared" si="6"/>
        <v>10.599999999999998</v>
      </c>
      <c r="CS61" s="17">
        <f t="shared" si="7"/>
        <v>12.579999999999998</v>
      </c>
      <c r="CT61" s="17">
        <f t="shared" si="8"/>
        <v>14.059999999999999</v>
      </c>
      <c r="CU61" s="2" cm="1">
        <f t="array" aca="1" ref="CU61" ca="1">MAX(_xlfn._xlws.FILTER(CN61:CT61,CN61:CT61&lt;BP61))</f>
        <v>7.1399999999999988</v>
      </c>
      <c r="CV61" s="2" cm="1">
        <f t="array" aca="1" ref="CV61" ca="1">MIN(_xlfn._xlws.FILTER($CN61:$CT61,$CN61:$CT61&gt;BP61))</f>
        <v>9.1199999999999992</v>
      </c>
      <c r="CW61" s="16">
        <f t="shared" ca="1" si="80"/>
        <v>0.27731092436974802</v>
      </c>
      <c r="CX61" s="20">
        <f t="shared" ca="1" si="81"/>
        <v>-0.13865546218487401</v>
      </c>
      <c r="CY61" s="20">
        <f t="shared" ca="1" si="82"/>
        <v>-9.2436974789916013E-2</v>
      </c>
      <c r="CZ61" s="20">
        <f t="shared" ca="1" si="83"/>
        <v>-5.5462184873949605E-2</v>
      </c>
      <c r="DA61" s="20">
        <f t="shared" ca="1" si="84"/>
        <v>-3.0812324929972004E-2</v>
      </c>
      <c r="DB61" s="20">
        <f t="shared" ca="1" si="85"/>
        <v>-1.6312407315867531E-2</v>
      </c>
      <c r="DC61" s="20">
        <f t="shared" ca="1" si="86"/>
        <v>-8.4033613445378182E-3</v>
      </c>
      <c r="DD61" s="20">
        <f t="shared" ca="1" si="87"/>
        <v>-4.2663219133807391E-3</v>
      </c>
      <c r="DE61" s="21">
        <f t="shared" ca="1" si="88"/>
        <v>4.2663219133807391E-3</v>
      </c>
      <c r="DF61" s="21">
        <f t="shared" ca="1" si="89"/>
        <v>8.4033613445378182E-3</v>
      </c>
      <c r="DG61" s="21">
        <f t="shared" ca="1" si="90"/>
        <v>1.6312407315867531E-2</v>
      </c>
      <c r="DH61" s="21">
        <f t="shared" ca="1" si="91"/>
        <v>3.0812324929972004E-2</v>
      </c>
      <c r="DI61" s="21">
        <f t="shared" ca="1" si="92"/>
        <v>5.5462184873949605E-2</v>
      </c>
      <c r="DJ61" s="21">
        <f t="shared" ca="1" si="93"/>
        <v>9.2436974789916013E-2</v>
      </c>
      <c r="DK61" s="21">
        <f t="shared" ca="1" si="94"/>
        <v>0.13865546218487401</v>
      </c>
      <c r="DM61" s="16" cm="1">
        <f t="array" aca="1" ref="DM61" ca="1">MAX(_xlfn._xlws.FILTER(CX61:DK61,CX61:DK61&lt;BV61))</f>
        <v>4.2663219133807391E-3</v>
      </c>
      <c r="DN61" s="16" cm="1">
        <f t="array" aca="1" ref="DN61" ca="1">MIN(_xlfn._xlws.FILTER(CX61:DK61,CX61:DK61&gt;BV61))</f>
        <v>8.4033613445378182E-3</v>
      </c>
      <c r="DO61" s="2" cm="1">
        <f t="array" aca="1" ref="DO61" ca="1">_FV(ED61,"Fechamento anterior",TRUE)</f>
        <v>8.36</v>
      </c>
      <c r="DP61" s="28">
        <f t="shared" ca="1" si="15"/>
        <v>0.12529904306220455</v>
      </c>
      <c r="DQ61" s="15">
        <f t="shared" ca="1" si="95"/>
        <v>8.3956664511958632</v>
      </c>
      <c r="DR61" s="15">
        <f t="shared" ca="1" si="96"/>
        <v>8.4302521008403364</v>
      </c>
      <c r="DS61" s="9"/>
      <c r="DT61" s="9"/>
      <c r="DU61" s="9"/>
      <c r="DV61" s="89">
        <v>7.9090459713297128E-3</v>
      </c>
      <c r="DW61" s="89">
        <f t="shared" ca="1" si="18"/>
        <v>4.1370394311570791E-3</v>
      </c>
      <c r="DX61" s="72">
        <f t="shared" ca="1" si="19"/>
        <v>-3.4383959800581294E-2</v>
      </c>
      <c r="DY61" s="37"/>
      <c r="DZ61" s="35">
        <f t="shared" si="39"/>
        <v>0.29083328557783777</v>
      </c>
      <c r="EA61" s="56"/>
      <c r="EB61" s="56"/>
      <c r="ED61" s="2" t="e" vm="61">
        <v>#VALUE!</v>
      </c>
      <c r="EF61" s="10" cm="1">
        <f t="array" aca="1" ref="EF61" ca="1">_FV(ED61,"Ações em circulação",TRUE)</f>
        <v>103538800</v>
      </c>
      <c r="EG61" s="18">
        <f>VLOOKUP(BQ61,Fundamentus!A:U,5,FALSE)</f>
        <v>0.47699999999999998</v>
      </c>
      <c r="EH61" s="2">
        <f t="shared" ca="1" si="20"/>
        <v>1823324779.8742139</v>
      </c>
      <c r="EI61" s="17">
        <v>147815203.40461215</v>
      </c>
      <c r="EJ61" s="17">
        <f t="shared" ca="1" si="21"/>
        <v>144042657.6100629</v>
      </c>
      <c r="EL61" s="16">
        <f t="shared" ca="1" si="22"/>
        <v>-2.5522041763341052E-2</v>
      </c>
      <c r="EM61" s="32" t="str">
        <f>IF(VLOOKUP(BQ61,Fundamentus!A:U,3,FALSE)&lt;15,"Bom",IF(VLOOKUP(BQ61,Fundamentus!A:U,3,FALSE)&gt;15,"Ruim","n/a"))</f>
        <v>Bom</v>
      </c>
      <c r="EN61" s="28" t="str">
        <f>IF(VLOOKUP(BQ61,Fundamentus!A:U,4,FALSE)&lt;1,"Baixo",IF(VLOOKUP(BQ61,Fundamentus!A:U,4,FALSE)&lt;1.5,"Moderado",IF(VLOOKUP(BQ61,Fundamentus!A:U,4,FALSE)&gt;1.5,"Alto","n/a")))</f>
        <v>Baixo</v>
      </c>
      <c r="EO61" s="17" t="str">
        <f>IF(VLOOKUP(BQ61,Fundamentus!A:U,8,FALSE)&lt;0,"Risco elevado",IF(VLOOKUP(BQ61,Fundamentus!A:U,8,FALSE)&lt;1,"Saudável",IF(VLOOKUP(BQ61,Fundamentus!A:U,8,FALSE)&lt;3,"Estável",IF(VLOOKUP(BQ61,Fundamentus!A:U,8,FALSE)&gt;3,"Alerta","n/a"))))</f>
        <v>Estável</v>
      </c>
      <c r="EP61" s="28" t="str">
        <f t="shared" si="23"/>
        <v>Ruim</v>
      </c>
      <c r="EQ61" s="17" t="str">
        <f>IF(VLOOKUP(BQ61,Fundamentus!A:U,12,FALSE)&lt;2,"Subvalorizada",IF(VLOOKUP(BQ61,Fundamentus!A:U,12,FALSE)&lt;6,"Muita barata",IF(VLOOKUP(BQ61,Fundamentus!A:U,12,FALSE)&lt;6,"Barata",IF(VLOOKUP(BQ61,Fundamentus!A:U,12,FALSE)&lt;8,"Atrativa",IF(VLOOKUP(BQ61,Fundamentus!A:U,12,FALSE)&gt;8,"Supervalorizada","n/a")))))</f>
        <v>Muita barata</v>
      </c>
      <c r="ES61" s="17" t="str">
        <f>IF(VLOOKUP(BQ61,Fundamentus!A:U,17,FALSE)&lt;0.1,"Fraco retorno",IF(VLOOKUP(BQ61,Fundamentus!A:U,17,FALSE)&gt;0.1,"Bom retorno","n/a"))</f>
        <v>Bom retorno</v>
      </c>
      <c r="ET61" s="17" t="str">
        <f>IF(VLOOKUP(BQ61,Fundamentus!A:U,16,FALSE)&lt;0.1,"Ineficiente",IF(VLOOKUP(BQ61,Fundamentus!A:U,16,FALSE)&gt;0.1,"Eficiente","n/a"))</f>
        <v>Eficiente</v>
      </c>
      <c r="EU61" s="33" t="str">
        <f>IF(VLOOKUP(BQ61,Fundamentus!A:U,16,FALSE)&lt;0.1,"Oper. Ineficiente",IF(VLOOKUP(BQ61,Fundamentus!A:U,16,FALSE)&gt;0.1,"Oper.Eficiente","n/a"))</f>
        <v>Oper.Eficiente</v>
      </c>
      <c r="EV61" s="34">
        <f>VLOOKUP(BQ61,Fundamentus!A:U,14,FALSE)</f>
        <v>7.9000000000000001E-2</v>
      </c>
      <c r="EW61" s="17" t="str">
        <f>IF(VLOOKUP(BQ61,Fundamentus!A:U,21,FALSE)&lt;0,"Negativo",IF(VLOOKUP(BQ61,Fundamentus!A:U,21,FALSE)&lt;0.05,"Fraco",IF(VLOOKUP(BQ61,Fundamentus!A:U,21,FALSE)&lt;0.1,"Bom",IF(VLOOKUP(BQ61,Fundamentus!A:U,21,FALSE)&gt;0.1,"Muito bom","n/a"))))</f>
        <v>Muito bom</v>
      </c>
      <c r="EY61" s="29" t="str">
        <f>IF(VLOOKUP(BQ61,Fundamentus!A:U,15,FALSE)&gt;1,"Bom",IF(VLOOKUP(BQ61,Fundamentus!A:U,15,FALSE)&lt;1,"Ruim","n/a"))</f>
        <v>Bom</v>
      </c>
      <c r="EZ61" s="17" t="str">
        <f>IF(VLOOKUP(BQ61,Fundamentus!A:U,20,FALSE)&lt;0.5,"Baixa",IF(VLOOKUP(BQ61,Fundamentus!A:U,20,FALSE)&lt;1,"Moderada",IF(VLOOKUP(BQ61,Fundamentus!A:U,20,FALSE)&lt;2,"Alerta",IF(VLOOKUP(BQ61,Fundamentus!A:U,20,FALSE)&gt;2,"Alta","n/a"))))</f>
        <v>Baixa</v>
      </c>
    </row>
    <row r="62" spans="1:156" s="2" customFormat="1" ht="11.25" hidden="1" x14ac:dyDescent="0.2">
      <c r="A62" s="4">
        <v>17.690000000000001</v>
      </c>
      <c r="B62" s="4">
        <v>16.899999999999999</v>
      </c>
      <c r="C62" s="4">
        <v>17.09</v>
      </c>
      <c r="D62" s="4">
        <v>16.96</v>
      </c>
      <c r="E62" s="4">
        <v>15.85</v>
      </c>
      <c r="F62" s="4">
        <v>15.84</v>
      </c>
      <c r="G62" s="4">
        <v>15.48</v>
      </c>
      <c r="H62" s="4">
        <v>15.18</v>
      </c>
      <c r="I62" s="4">
        <v>15.22</v>
      </c>
      <c r="J62" s="4">
        <v>15.71</v>
      </c>
      <c r="K62" s="4">
        <v>15.64</v>
      </c>
      <c r="L62" s="4">
        <v>16.420000000000002</v>
      </c>
      <c r="M62" s="4">
        <v>16.95</v>
      </c>
      <c r="N62" s="4">
        <v>17.149999999999999</v>
      </c>
      <c r="O62" s="4">
        <v>19.84</v>
      </c>
      <c r="P62" s="4">
        <v>21.23</v>
      </c>
      <c r="Q62" s="4">
        <v>22.17</v>
      </c>
      <c r="R62" s="4">
        <v>22.75</v>
      </c>
      <c r="S62" s="4">
        <v>22.89</v>
      </c>
      <c r="T62" s="4">
        <v>24.24</v>
      </c>
      <c r="U62" s="4">
        <v>23.5</v>
      </c>
      <c r="V62" s="4">
        <v>22.99</v>
      </c>
      <c r="W62" s="4">
        <v>23.19</v>
      </c>
      <c r="X62" s="4">
        <v>21.29</v>
      </c>
      <c r="Y62" s="4">
        <v>22.36</v>
      </c>
      <c r="Z62" s="4">
        <v>22.87</v>
      </c>
      <c r="AA62" s="4">
        <v>23.32</v>
      </c>
      <c r="AB62" s="4">
        <v>25.4</v>
      </c>
      <c r="AC62" s="4">
        <v>24.51</v>
      </c>
      <c r="AD62" s="4">
        <v>24.75</v>
      </c>
      <c r="AE62" s="4">
        <v>24.56</v>
      </c>
      <c r="AF62" s="4">
        <v>24.21</v>
      </c>
      <c r="AG62" s="4">
        <v>24.5</v>
      </c>
      <c r="AH62" s="4">
        <v>22.41</v>
      </c>
      <c r="AI62" s="4">
        <v>22.92</v>
      </c>
      <c r="AJ62" s="4">
        <v>25</v>
      </c>
      <c r="AK62" s="4">
        <v>22.83</v>
      </c>
      <c r="AL62" s="4">
        <v>22.85</v>
      </c>
      <c r="AM62" s="4">
        <v>23.33</v>
      </c>
      <c r="AN62" s="4">
        <v>23.84</v>
      </c>
      <c r="AO62" s="4">
        <v>23.9</v>
      </c>
      <c r="AP62" s="4">
        <v>24.92</v>
      </c>
      <c r="AQ62" s="4">
        <v>26</v>
      </c>
      <c r="AR62" s="4">
        <v>25.72</v>
      </c>
      <c r="AS62" s="4">
        <v>26.8</v>
      </c>
      <c r="AT62" s="4">
        <v>24.02</v>
      </c>
      <c r="AU62" s="4">
        <v>23.835000000000001</v>
      </c>
      <c r="AV62" s="4">
        <v>23.62</v>
      </c>
      <c r="AW62" s="4">
        <v>25.2</v>
      </c>
      <c r="AX62" s="4">
        <v>25.11</v>
      </c>
      <c r="AY62" s="12">
        <v>24.85</v>
      </c>
      <c r="AZ62" s="12">
        <v>24.5</v>
      </c>
      <c r="BA62" s="12">
        <v>24.75</v>
      </c>
      <c r="BB62" s="15">
        <v>23.88</v>
      </c>
      <c r="BC62" s="52">
        <v>26.17</v>
      </c>
      <c r="BD62" s="52">
        <v>27.1</v>
      </c>
      <c r="BE62" s="52">
        <v>26.96</v>
      </c>
      <c r="BF62" s="52">
        <v>25.93</v>
      </c>
      <c r="BG62" s="67">
        <v>25.39</v>
      </c>
      <c r="BH62" s="52">
        <v>25.56</v>
      </c>
      <c r="BI62" s="52">
        <v>25.13</v>
      </c>
      <c r="BJ62" s="52">
        <v>24.96</v>
      </c>
      <c r="BK62" s="52">
        <v>23.34</v>
      </c>
      <c r="BL62" s="52">
        <v>22.18</v>
      </c>
      <c r="BM62" s="52">
        <v>22.09</v>
      </c>
      <c r="BN62" s="52">
        <v>22.02</v>
      </c>
      <c r="BO62" s="52">
        <v>22</v>
      </c>
      <c r="BP62" s="52" cm="1">
        <f t="array" aca="1" ref="BP62" ca="1">_FV(ED62,"Preço")</f>
        <v>20.67</v>
      </c>
      <c r="BQ62" s="69" t="s">
        <v>59</v>
      </c>
      <c r="BR62" s="36" cm="1">
        <f t="array" aca="1" ref="BR62" ca="1">_FV(ED62,"Média de volume",TRUE)</f>
        <v>360620</v>
      </c>
      <c r="BS62" s="36">
        <v>582600</v>
      </c>
      <c r="BT62" s="36" cm="1">
        <f t="array" aca="1" ref="BT62" ca="1">_FV(ED62,"Volume")</f>
        <v>249000</v>
      </c>
      <c r="BU62" s="24" cm="1">
        <f t="array" aca="1" ref="BU62" ca="1">_FV(ED62,"Beta")</f>
        <v>1.3487</v>
      </c>
      <c r="BV62" s="71" cm="1">
        <f t="array" aca="1" ref="BV62" ca="1">_FV(ED62,"Variação (%)",TRUE)</f>
        <v>1.8728000000000002E-2</v>
      </c>
      <c r="BX62" s="17" cm="1">
        <f t="array" aca="1" ref="BX62" ca="1">_FV(ED62,"Baixo")</f>
        <v>20.440000000000001</v>
      </c>
      <c r="BY62" s="17" cm="1">
        <f t="array" aca="1" ref="BY62" ca="1">_FV(ED62,"Alto")</f>
        <v>20.8</v>
      </c>
      <c r="BZ62" s="24"/>
      <c r="CA62" s="63">
        <f ca="1">SQRT(22.5*(BP62/VLOOKUP(BQ62,Fundamentus!A:U,3,FALSE))*(BP62/VLOOKUP(BQ62,Fundamentus!A:U,4,FALSE)))</f>
        <v>39.381471184441637</v>
      </c>
      <c r="CC62" s="62">
        <f t="shared" ca="1" si="24"/>
        <v>-6.0454545454545379E-2</v>
      </c>
      <c r="CD62" s="8"/>
      <c r="CE62" s="61">
        <f t="shared" si="25"/>
        <v>15.18</v>
      </c>
      <c r="CF62" s="61">
        <f t="shared" si="26"/>
        <v>27.1</v>
      </c>
      <c r="CG62" s="61">
        <f t="shared" si="27"/>
        <v>22.354701492537316</v>
      </c>
      <c r="CH62" s="14"/>
      <c r="CI62" s="35">
        <f t="shared" si="1"/>
        <v>20.89818984150671</v>
      </c>
      <c r="CJ62" s="15">
        <f t="shared" si="28"/>
        <v>21.919999999999959</v>
      </c>
      <c r="CK62" s="35">
        <f t="shared" si="2"/>
        <v>22.941810158493208</v>
      </c>
      <c r="CM62" s="14"/>
      <c r="CN62" s="17">
        <f t="shared" si="3"/>
        <v>3.8333333333333286</v>
      </c>
      <c r="CO62" s="17">
        <f t="shared" si="4"/>
        <v>9.5066666666666642</v>
      </c>
      <c r="CP62" s="17">
        <f t="shared" si="5"/>
        <v>15.75333333333333</v>
      </c>
      <c r="CQ62" s="38">
        <f t="shared" si="29"/>
        <v>21.426666666666666</v>
      </c>
      <c r="CR62" s="17">
        <f t="shared" si="6"/>
        <v>27.673333333333332</v>
      </c>
      <c r="CS62" s="17">
        <f t="shared" si="7"/>
        <v>33.346666666666664</v>
      </c>
      <c r="CT62" s="17">
        <f t="shared" si="8"/>
        <v>39.593333333333334</v>
      </c>
      <c r="CU62" s="2" cm="1">
        <f t="array" aca="1" ref="CU62" ca="1">MAX(_xlfn._xlws.FILTER(CN62:CT62,CN62:CT62&lt;BP62))</f>
        <v>15.75333333333333</v>
      </c>
      <c r="CV62" s="2" cm="1">
        <f t="array" aca="1" ref="CV62" ca="1">MIN(_xlfn._xlws.FILTER($CN62:$CT62,$CN62:$CT62&gt;BP62))</f>
        <v>21.426666666666666</v>
      </c>
      <c r="CW62" s="16">
        <f t="shared" ca="1" si="80"/>
        <v>0.36013542107490504</v>
      </c>
      <c r="CX62" s="20">
        <f t="shared" ca="1" si="81"/>
        <v>-0.18006771053745252</v>
      </c>
      <c r="CY62" s="20">
        <f t="shared" ca="1" si="82"/>
        <v>-0.12004514035830167</v>
      </c>
      <c r="CZ62" s="20">
        <f t="shared" ca="1" si="83"/>
        <v>-7.202708421498101E-2</v>
      </c>
      <c r="DA62" s="20">
        <f t="shared" ca="1" si="84"/>
        <v>-4.0015046786100558E-2</v>
      </c>
      <c r="DB62" s="20">
        <f t="shared" ca="1" si="85"/>
        <v>-2.1184436533817942E-2</v>
      </c>
      <c r="DC62" s="20">
        <f t="shared" ca="1" si="86"/>
        <v>-1.0913194578027426E-2</v>
      </c>
      <c r="DD62" s="20">
        <f t="shared" ca="1" si="87"/>
        <v>-5.5405449396139237E-3</v>
      </c>
      <c r="DE62" s="21">
        <f t="shared" ca="1" si="88"/>
        <v>5.5405449396139237E-3</v>
      </c>
      <c r="DF62" s="21">
        <f t="shared" ca="1" si="89"/>
        <v>1.0913194578027426E-2</v>
      </c>
      <c r="DG62" s="21">
        <f t="shared" ca="1" si="90"/>
        <v>2.1184436533817942E-2</v>
      </c>
      <c r="DH62" s="21">
        <f t="shared" ca="1" si="91"/>
        <v>4.0015046786100558E-2</v>
      </c>
      <c r="DI62" s="21">
        <f t="shared" ca="1" si="92"/>
        <v>7.202708421498101E-2</v>
      </c>
      <c r="DJ62" s="21">
        <f t="shared" ca="1" si="93"/>
        <v>0.12004514035830167</v>
      </c>
      <c r="DK62" s="21">
        <f t="shared" ca="1" si="94"/>
        <v>0.18006771053745252</v>
      </c>
      <c r="DM62" s="16" cm="1">
        <f t="array" aca="1" ref="DM62" ca="1">MAX(_xlfn._xlws.FILTER(CX62:DK62,CX62:DK62&lt;BV62))</f>
        <v>1.0913194578027426E-2</v>
      </c>
      <c r="DN62" s="16" cm="1">
        <f t="array" aca="1" ref="DN62" ca="1">MIN(_xlfn._xlws.FILTER(CX62:DK62,CX62:DK62&gt;BV62))</f>
        <v>2.1184436533817942E-2</v>
      </c>
      <c r="DO62" s="2" cm="1">
        <f t="array" aca="1" ref="DO62" ca="1">_FV(ED62,"Fechamento anterior",TRUE)</f>
        <v>20.29</v>
      </c>
      <c r="DP62" s="28">
        <f t="shared" ca="1" si="15"/>
        <v>0.76088588990774997</v>
      </c>
      <c r="DQ62" s="15">
        <f t="shared" ca="1" si="95"/>
        <v>20.511428717988174</v>
      </c>
      <c r="DR62" s="15">
        <f t="shared" ca="1" si="96"/>
        <v>20.719832217271165</v>
      </c>
      <c r="DS62" s="9"/>
      <c r="DT62" s="9"/>
      <c r="DU62" s="9"/>
      <c r="DV62" s="89">
        <v>2.59144022678559E-2</v>
      </c>
      <c r="DW62" s="89">
        <f t="shared" ca="1" si="18"/>
        <v>1.0271241955790517E-2</v>
      </c>
      <c r="DX62" s="72">
        <f t="shared" ca="1" si="19"/>
        <v>-1.2233192140536111</v>
      </c>
      <c r="DY62" s="37"/>
      <c r="DZ62" s="35">
        <f t="shared" si="39"/>
        <v>0.51090507924662487</v>
      </c>
      <c r="EA62" s="56"/>
      <c r="EB62" s="56"/>
      <c r="ED62" s="2" t="e" vm="62">
        <v>#VALUE!</v>
      </c>
      <c r="EF62" s="10" cm="1">
        <f t="array" aca="1" ref="EF62" ca="1">_FV(ED62,"Ações em circulação",TRUE)</f>
        <v>81836380</v>
      </c>
      <c r="EG62" s="18">
        <f>VLOOKUP(BQ62,Fundamentus!A:U,5,FALSE)</f>
        <v>0.83499999999999996</v>
      </c>
      <c r="EH62" s="2">
        <f t="shared" ca="1" si="20"/>
        <v>2025817933.6526949</v>
      </c>
      <c r="EI62" s="17">
        <v>302079150.22275454</v>
      </c>
      <c r="EJ62" s="17">
        <f t="shared" ca="1" si="21"/>
        <v>283817092.50474256</v>
      </c>
      <c r="EL62" s="16">
        <f t="shared" ca="1" si="22"/>
        <v>-6.0454545454545427E-2</v>
      </c>
      <c r="EM62" s="32" t="str">
        <f>IF(VLOOKUP(BQ62,Fundamentus!A:U,3,FALSE)&lt;15,"Bom",IF(VLOOKUP(BQ62,Fundamentus!A:U,3,FALSE)&gt;15,"Ruim","n/a"))</f>
        <v>Bom</v>
      </c>
      <c r="EN62" s="28" t="str">
        <f>IF(VLOOKUP(BQ62,Fundamentus!A:U,4,FALSE)&lt;1,"Baixo",IF(VLOOKUP(BQ62,Fundamentus!A:U,4,FALSE)&lt;1.5,"Moderado",IF(VLOOKUP(BQ62,Fundamentus!A:U,4,FALSE)&gt;1.5,"Alto","n/a")))</f>
        <v>Moderado</v>
      </c>
      <c r="EO62" s="17" t="str">
        <f>IF(VLOOKUP(BQ62,Fundamentus!A:U,8,FALSE)&lt;0,"Risco elevado",IF(VLOOKUP(BQ62,Fundamentus!A:U,8,FALSE)&lt;1,"Saudável",IF(VLOOKUP(BQ62,Fundamentus!A:U,8,FALSE)&lt;3,"Estável",IF(VLOOKUP(BQ62,Fundamentus!A:U,8,FALSE)&gt;3,"Alerta","n/a"))))</f>
        <v>Estável</v>
      </c>
      <c r="EP62" s="28" t="str">
        <f t="shared" si="23"/>
        <v>Ruim</v>
      </c>
      <c r="EQ62" s="17" t="str">
        <f>IF(VLOOKUP(BQ62,Fundamentus!A:U,12,FALSE)&lt;2,"Subvalorizada",IF(VLOOKUP(BQ62,Fundamentus!A:U,12,FALSE)&lt;6,"Muita barata",IF(VLOOKUP(BQ62,Fundamentus!A:U,12,FALSE)&lt;6,"Barata",IF(VLOOKUP(BQ62,Fundamentus!A:U,12,FALSE)&lt;8,"Atrativa",IF(VLOOKUP(BQ62,Fundamentus!A:U,12,FALSE)&gt;8,"Supervalorizada","n/a")))))</f>
        <v>Muita barata</v>
      </c>
      <c r="ES62" s="17" t="str">
        <f>IF(VLOOKUP(BQ62,Fundamentus!A:U,17,FALSE)&lt;0.1,"Fraco retorno",IF(VLOOKUP(BQ62,Fundamentus!A:U,17,FALSE)&gt;0.1,"Bom retorno","n/a"))</f>
        <v>Bom retorno</v>
      </c>
      <c r="ET62" s="17" t="str">
        <f>IF(VLOOKUP(BQ62,Fundamentus!A:U,16,FALSE)&lt;0.1,"Ineficiente",IF(VLOOKUP(BQ62,Fundamentus!A:U,16,FALSE)&gt;0.1,"Eficiente","n/a"))</f>
        <v>Eficiente</v>
      </c>
      <c r="EU62" s="33" t="str">
        <f>IF(VLOOKUP(BQ62,Fundamentus!A:U,16,FALSE)&lt;0.1,"Oper. Ineficiente",IF(VLOOKUP(BQ62,Fundamentus!A:U,16,FALSE)&gt;0.1,"Oper.Eficiente","n/a"))</f>
        <v>Oper.Eficiente</v>
      </c>
      <c r="EV62" s="34">
        <f>VLOOKUP(BQ62,Fundamentus!A:U,14,FALSE)</f>
        <v>0.1401</v>
      </c>
      <c r="EW62" s="17" t="str">
        <f>IF(VLOOKUP(BQ62,Fundamentus!A:U,21,FALSE)&lt;0,"Negativo",IF(VLOOKUP(BQ62,Fundamentus!A:U,21,FALSE)&lt;0.05,"Fraco",IF(VLOOKUP(BQ62,Fundamentus!A:U,21,FALSE)&lt;0.1,"Bom",IF(VLOOKUP(BQ62,Fundamentus!A:U,21,FALSE)&gt;0.1,"Muito bom","n/a"))))</f>
        <v>Fraco</v>
      </c>
      <c r="EY62" s="29" t="str">
        <f>IF(VLOOKUP(BQ62,Fundamentus!A:U,15,FALSE)&gt;1,"Bom",IF(VLOOKUP(BQ62,Fundamentus!A:U,15,FALSE)&lt;1,"Ruim","n/a"))</f>
        <v>Bom</v>
      </c>
      <c r="EZ62" s="17" t="str">
        <f>IF(VLOOKUP(BQ62,Fundamentus!A:U,20,FALSE)&lt;0.5,"Baixa",IF(VLOOKUP(BQ62,Fundamentus!A:U,20,FALSE)&lt;1,"Moderada",IF(VLOOKUP(BQ62,Fundamentus!A:U,20,FALSE)&lt;2,"Alerta",IF(VLOOKUP(BQ62,Fundamentus!A:U,20,FALSE)&gt;2,"Alta","n/a"))))</f>
        <v>Baixa</v>
      </c>
    </row>
    <row r="63" spans="1:156" s="2" customFormat="1" ht="11.25" hidden="1" x14ac:dyDescent="0.2">
      <c r="A63" s="4">
        <v>2.69</v>
      </c>
      <c r="B63" s="4">
        <v>2.59</v>
      </c>
      <c r="C63" s="4">
        <v>2.56</v>
      </c>
      <c r="D63" s="4">
        <v>2.5299999999999998</v>
      </c>
      <c r="E63" s="4">
        <v>2.5299999999999998</v>
      </c>
      <c r="F63" s="4">
        <v>2.4900000000000002</v>
      </c>
      <c r="G63" s="4">
        <v>2.62</v>
      </c>
      <c r="H63" s="4">
        <v>2.81</v>
      </c>
      <c r="I63" s="4">
        <v>2.5499999999999998</v>
      </c>
      <c r="J63" s="4">
        <v>2.57</v>
      </c>
      <c r="K63" s="4">
        <v>2.93</v>
      </c>
      <c r="L63" s="4">
        <v>2.72</v>
      </c>
      <c r="M63" s="4">
        <v>2.62</v>
      </c>
      <c r="N63" s="4">
        <v>2.7</v>
      </c>
      <c r="O63" s="4">
        <v>2.36</v>
      </c>
      <c r="P63" s="4">
        <v>2.4</v>
      </c>
      <c r="Q63" s="4">
        <v>2.37</v>
      </c>
      <c r="R63" s="4">
        <v>2.37</v>
      </c>
      <c r="S63" s="4">
        <v>2.34</v>
      </c>
      <c r="T63" s="4">
        <v>2.41</v>
      </c>
      <c r="U63" s="4">
        <v>2.5</v>
      </c>
      <c r="V63" s="4">
        <v>2.7</v>
      </c>
      <c r="W63" s="4">
        <v>2.61</v>
      </c>
      <c r="X63" s="4">
        <v>2.5099999999999998</v>
      </c>
      <c r="Y63" s="4">
        <v>2.59</v>
      </c>
      <c r="Z63" s="4">
        <v>2.52</v>
      </c>
      <c r="AA63" s="4">
        <v>2.5</v>
      </c>
      <c r="AB63" s="4">
        <v>2.4300000000000002</v>
      </c>
      <c r="AC63" s="4">
        <v>2.44</v>
      </c>
      <c r="AD63" s="4">
        <v>2.29</v>
      </c>
      <c r="AE63" s="4">
        <v>2.39</v>
      </c>
      <c r="AF63" s="4">
        <v>2.2799999999999998</v>
      </c>
      <c r="AG63" s="4">
        <v>2.25</v>
      </c>
      <c r="AH63" s="4">
        <v>1.91</v>
      </c>
      <c r="AI63" s="4">
        <v>1.86</v>
      </c>
      <c r="AJ63" s="4">
        <v>1.75</v>
      </c>
      <c r="AK63" s="4">
        <v>1.89</v>
      </c>
      <c r="AL63" s="4">
        <v>2.35</v>
      </c>
      <c r="AM63" s="4">
        <v>2.2000000000000002</v>
      </c>
      <c r="AN63" s="4">
        <v>2.29</v>
      </c>
      <c r="AO63" s="4">
        <v>2.37</v>
      </c>
      <c r="AP63" s="4">
        <v>2.2999999999999998</v>
      </c>
      <c r="AQ63" s="4">
        <v>2.2000000000000002</v>
      </c>
      <c r="AR63" s="4">
        <v>2.14</v>
      </c>
      <c r="AS63" s="4">
        <v>2.23</v>
      </c>
      <c r="AT63" s="4">
        <v>2.2000000000000002</v>
      </c>
      <c r="AU63" s="4">
        <v>2.29</v>
      </c>
      <c r="AV63" s="4">
        <v>2.27</v>
      </c>
      <c r="AW63" s="4">
        <v>2.2599999999999998</v>
      </c>
      <c r="AX63" s="4">
        <v>2.2000000000000002</v>
      </c>
      <c r="AY63" s="12">
        <v>2.17</v>
      </c>
      <c r="AZ63" s="12">
        <v>2.04</v>
      </c>
      <c r="BA63" s="12">
        <v>2.04</v>
      </c>
      <c r="BB63" s="15">
        <v>1.98</v>
      </c>
      <c r="BC63" s="52">
        <v>2</v>
      </c>
      <c r="BD63" s="52">
        <v>1.98</v>
      </c>
      <c r="BE63" s="52">
        <v>1.96</v>
      </c>
      <c r="BF63" s="52">
        <v>2.0299999999999998</v>
      </c>
      <c r="BG63" s="67">
        <v>1.96</v>
      </c>
      <c r="BH63" s="52">
        <v>1.93</v>
      </c>
      <c r="BI63" s="52">
        <v>1.94</v>
      </c>
      <c r="BJ63" s="52">
        <v>1.95</v>
      </c>
      <c r="BK63" s="52">
        <v>1.98</v>
      </c>
      <c r="BL63" s="52">
        <v>1.94</v>
      </c>
      <c r="BM63" s="52">
        <v>1.95</v>
      </c>
      <c r="BN63" s="52">
        <v>2.04</v>
      </c>
      <c r="BO63" s="52">
        <v>1.9</v>
      </c>
      <c r="BP63" s="52" cm="1">
        <f t="array" aca="1" ref="BP63" ca="1">_FV(ED63,"Preço")</f>
        <v>1.92</v>
      </c>
      <c r="BQ63" s="69" t="s">
        <v>60</v>
      </c>
      <c r="BR63" s="36" cm="1">
        <f t="array" aca="1" ref="BR63" ca="1">_FV(ED63,"Média de volume",TRUE)</f>
        <v>2860</v>
      </c>
      <c r="BS63" s="36">
        <v>200</v>
      </c>
      <c r="BT63" s="36" cm="1">
        <f t="array" aca="1" ref="BT63" ca="1">_FV(ED63,"Volume")</f>
        <v>200</v>
      </c>
      <c r="BU63" s="24" cm="1">
        <f t="array" aca="1" ref="BU63" ca="1">_FV(ED63,"Beta")</f>
        <v>1.0219</v>
      </c>
      <c r="BV63" s="71" cm="1">
        <f t="array" aca="1" ref="BV63" ca="1">_FV(ED63,"Variação (%)",TRUE)</f>
        <v>5.2359999999999993E-3</v>
      </c>
      <c r="BX63" s="17" cm="1">
        <f t="array" aca="1" ref="BX63" ca="1">_FV(ED63,"Baixo")</f>
        <v>1.92</v>
      </c>
      <c r="BY63" s="17" cm="1">
        <f t="array" aca="1" ref="BY63" ca="1">_FV(ED63,"Alto")</f>
        <v>1.92</v>
      </c>
      <c r="BZ63" s="24"/>
      <c r="CA63" s="63" t="e">
        <f ca="1">SQRT(22.5*(BP63/VLOOKUP(BQ63,Fundamentus!A:U,3,FALSE))*(BP63/VLOOKUP(BQ63,Fundamentus!A:U,4,FALSE)))</f>
        <v>#NUM!</v>
      </c>
      <c r="CC63" s="62">
        <f t="shared" ca="1" si="24"/>
        <v>1.0526315789473694E-2</v>
      </c>
      <c r="CD63" s="8"/>
      <c r="CE63" s="61">
        <f t="shared" si="25"/>
        <v>1.75</v>
      </c>
      <c r="CF63" s="61">
        <f t="shared" si="26"/>
        <v>2.93</v>
      </c>
      <c r="CG63" s="61">
        <f t="shared" si="27"/>
        <v>2.2935820895522387</v>
      </c>
      <c r="CH63" s="14"/>
      <c r="CI63" s="35">
        <f t="shared" si="1"/>
        <v>1.8567047696824743</v>
      </c>
      <c r="CJ63" s="15">
        <f t="shared" si="28"/>
        <v>1.9499999999999993</v>
      </c>
      <c r="CK63" s="35">
        <f t="shared" si="2"/>
        <v>2.0432952303175242</v>
      </c>
      <c r="CM63" s="14"/>
      <c r="CN63" s="17">
        <f t="shared" si="3"/>
        <v>0.27666666666666639</v>
      </c>
      <c r="CO63" s="17">
        <f t="shared" si="4"/>
        <v>1.0133333333333332</v>
      </c>
      <c r="CP63" s="17">
        <f t="shared" si="5"/>
        <v>1.4566666666666666</v>
      </c>
      <c r="CQ63" s="38">
        <f t="shared" si="29"/>
        <v>2.1933333333333334</v>
      </c>
      <c r="CR63" s="17">
        <f t="shared" si="6"/>
        <v>2.6366666666666667</v>
      </c>
      <c r="CS63" s="17">
        <f t="shared" si="7"/>
        <v>3.3733333333333335</v>
      </c>
      <c r="CT63" s="17">
        <f t="shared" si="8"/>
        <v>3.8166666666666669</v>
      </c>
      <c r="CU63" s="2" cm="1">
        <f t="array" aca="1" ref="CU63" ca="1">MAX(_xlfn._xlws.FILTER(CN63:CT63,CN63:CT63&lt;BP63))</f>
        <v>1.4566666666666666</v>
      </c>
      <c r="CV63" s="2" cm="1">
        <f t="array" aca="1" ref="CV63" ca="1">MIN(_xlfn._xlws.FILTER($CN63:$CT63,$CN63:$CT63&gt;BP63))</f>
        <v>2.1933333333333334</v>
      </c>
      <c r="CW63" s="16">
        <f t="shared" ca="1" si="80"/>
        <v>0.50572082379862704</v>
      </c>
      <c r="CX63" s="20">
        <f t="shared" ca="1" si="81"/>
        <v>-0.25286041189931352</v>
      </c>
      <c r="CY63" s="20">
        <f t="shared" ca="1" si="82"/>
        <v>-0.16857360793287568</v>
      </c>
      <c r="CZ63" s="20">
        <f t="shared" ca="1" si="83"/>
        <v>-0.1011441647597254</v>
      </c>
      <c r="DA63" s="20">
        <f t="shared" ca="1" si="84"/>
        <v>-5.6191202644291893E-2</v>
      </c>
      <c r="DB63" s="20">
        <f t="shared" ca="1" si="85"/>
        <v>-2.9748283752860413E-2</v>
      </c>
      <c r="DC63" s="20">
        <f t="shared" ca="1" si="86"/>
        <v>-1.5324873448443244E-2</v>
      </c>
      <c r="DD63" s="20">
        <f t="shared" ca="1" si="87"/>
        <v>-7.7803203661327234E-3</v>
      </c>
      <c r="DE63" s="21">
        <f t="shared" ca="1" si="88"/>
        <v>7.7803203661327234E-3</v>
      </c>
      <c r="DF63" s="21">
        <f t="shared" ca="1" si="89"/>
        <v>1.5324873448443244E-2</v>
      </c>
      <c r="DG63" s="21">
        <f t="shared" ca="1" si="90"/>
        <v>2.9748283752860413E-2</v>
      </c>
      <c r="DH63" s="21">
        <f t="shared" ca="1" si="91"/>
        <v>5.6191202644291893E-2</v>
      </c>
      <c r="DI63" s="21">
        <f t="shared" ca="1" si="92"/>
        <v>0.1011441647597254</v>
      </c>
      <c r="DJ63" s="21">
        <f t="shared" ca="1" si="93"/>
        <v>0.16857360793287568</v>
      </c>
      <c r="DK63" s="21">
        <f t="shared" ca="1" si="94"/>
        <v>0.25286041189931352</v>
      </c>
      <c r="DM63" s="16" cm="1">
        <f t="array" aca="1" ref="DM63" ca="1">MAX(_xlfn._xlws.FILTER(CX63:DK63,CX63:DK63&lt;BV63))</f>
        <v>-7.7803203661327234E-3</v>
      </c>
      <c r="DN63" s="16" cm="1">
        <f t="array" aca="1" ref="DN63" ca="1">MIN(_xlfn._xlws.FILTER(CX63:DK63,CX63:DK63&gt;BV63))</f>
        <v>7.7803203661327234E-3</v>
      </c>
      <c r="DO63" s="2" cm="1">
        <f t="array" aca="1" ref="DO63" ca="1">_FV(ED63,"Fechamento anterior",TRUE)</f>
        <v>1.91</v>
      </c>
      <c r="DP63" s="28">
        <f t="shared" ca="1" si="15"/>
        <v>0.83646442870342064</v>
      </c>
      <c r="DQ63" s="15">
        <f t="shared" ca="1" si="95"/>
        <v>1.8951395881006865</v>
      </c>
      <c r="DR63" s="15">
        <f t="shared" ca="1" si="96"/>
        <v>1.9248604118993133</v>
      </c>
      <c r="DS63" s="9"/>
      <c r="DT63" s="9"/>
      <c r="DU63" s="9"/>
      <c r="DV63" s="89">
        <v>2.644291889143148E-2</v>
      </c>
      <c r="DW63" s="89">
        <f t="shared" ca="1" si="18"/>
        <v>1.5560640732265447E-2</v>
      </c>
      <c r="DX63" s="72">
        <f t="shared" ca="1" si="19"/>
        <v>-0.32155984714219671</v>
      </c>
      <c r="DY63" s="37"/>
      <c r="DZ63" s="35">
        <f t="shared" si="39"/>
        <v>4.6647615158762444E-2</v>
      </c>
      <c r="EA63" s="56"/>
      <c r="EB63" s="56"/>
      <c r="ED63" s="2" t="e" vm="63">
        <v>#VALUE!</v>
      </c>
      <c r="EF63" s="10" cm="1">
        <f t="array" aca="1" ref="EF63" ca="1">_FV(ED63,"Ações em circulação",TRUE)</f>
        <v>11900000</v>
      </c>
      <c r="EG63" s="18">
        <f>VLOOKUP(BQ63,Fundamentus!A:U,5,FALSE)</f>
        <v>0.75700000000000001</v>
      </c>
      <c r="EH63" s="2">
        <f t="shared" ca="1" si="20"/>
        <v>30182298.546895642</v>
      </c>
      <c r="EI63" s="17">
        <v>1950373.8441215323</v>
      </c>
      <c r="EJ63" s="17">
        <f t="shared" ca="1" si="21"/>
        <v>1970904.0951122853</v>
      </c>
      <c r="EL63" s="16">
        <f t="shared" ca="1" si="22"/>
        <v>1.0526315789473717E-2</v>
      </c>
      <c r="EM63" s="32" t="str">
        <f>IF(VLOOKUP(BQ63,Fundamentus!A:U,3,FALSE)&lt;15,"Bom",IF(VLOOKUP(BQ63,Fundamentus!A:U,3,FALSE)&gt;15,"Ruim","n/a"))</f>
        <v>Bom</v>
      </c>
      <c r="EN63" s="28" t="str">
        <f>IF(VLOOKUP(BQ63,Fundamentus!A:U,4,FALSE)&lt;1,"Baixo",IF(VLOOKUP(BQ63,Fundamentus!A:U,4,FALSE)&lt;1.5,"Moderado",IF(VLOOKUP(BQ63,Fundamentus!A:U,4,FALSE)&gt;1.5,"Alto","n/a")))</f>
        <v>Baixo</v>
      </c>
      <c r="EO63" s="17" t="str">
        <f>IF(VLOOKUP(BQ63,Fundamentus!A:U,8,FALSE)&lt;0,"Risco elevado",IF(VLOOKUP(BQ63,Fundamentus!A:U,8,FALSE)&lt;1,"Saudável",IF(VLOOKUP(BQ63,Fundamentus!A:U,8,FALSE)&lt;3,"Estável",IF(VLOOKUP(BQ63,Fundamentus!A:U,8,FALSE)&gt;3,"Alerta","n/a"))))</f>
        <v>Saudável</v>
      </c>
      <c r="EP63" s="28" t="str">
        <f t="shared" si="23"/>
        <v>Ruim</v>
      </c>
      <c r="EQ63" s="17" t="str">
        <f>IF(VLOOKUP(BQ63,Fundamentus!A:U,12,FALSE)&lt;2,"Subvalorizada",IF(VLOOKUP(BQ63,Fundamentus!A:U,12,FALSE)&lt;6,"Muita barata",IF(VLOOKUP(BQ63,Fundamentus!A:U,12,FALSE)&lt;6,"Barata",IF(VLOOKUP(BQ63,Fundamentus!A:U,12,FALSE)&lt;8,"Atrativa",IF(VLOOKUP(BQ63,Fundamentus!A:U,12,FALSE)&gt;8,"Supervalorizada","n/a")))))</f>
        <v>Supervalorizada</v>
      </c>
      <c r="ES63" s="17" t="str">
        <f>IF(VLOOKUP(BQ63,Fundamentus!A:U,17,FALSE)&lt;0.1,"Fraco retorno",IF(VLOOKUP(BQ63,Fundamentus!A:U,17,FALSE)&gt;0.1,"Bom retorno","n/a"))</f>
        <v>Fraco retorno</v>
      </c>
      <c r="ET63" s="17" t="str">
        <f>IF(VLOOKUP(BQ63,Fundamentus!A:U,16,FALSE)&lt;0.1,"Ineficiente",IF(VLOOKUP(BQ63,Fundamentus!A:U,16,FALSE)&gt;0.1,"Eficiente","n/a"))</f>
        <v>Ineficiente</v>
      </c>
      <c r="EU63" s="33" t="str">
        <f>IF(VLOOKUP(BQ63,Fundamentus!A:U,16,FALSE)&lt;0.1,"Oper. Ineficiente",IF(VLOOKUP(BQ63,Fundamentus!A:U,16,FALSE)&gt;0.1,"Oper.Eficiente","n/a"))</f>
        <v>Oper. Ineficiente</v>
      </c>
      <c r="EV63" s="34">
        <f>VLOOKUP(BQ63,Fundamentus!A:U,14,FALSE)</f>
        <v>6.5299999999999997E-2</v>
      </c>
      <c r="EW63" s="17" t="str">
        <f>IF(VLOOKUP(BQ63,Fundamentus!A:U,21,FALSE)&lt;0,"Negativo",IF(VLOOKUP(BQ63,Fundamentus!A:U,21,FALSE)&lt;0.05,"Fraco",IF(VLOOKUP(BQ63,Fundamentus!A:U,21,FALSE)&lt;0.1,"Bom",IF(VLOOKUP(BQ63,Fundamentus!A:U,21,FALSE)&gt;0.1,"Muito bom","n/a"))))</f>
        <v>Negativo</v>
      </c>
      <c r="EY63" s="29" t="str">
        <f>IF(VLOOKUP(BQ63,Fundamentus!A:U,15,FALSE)&gt;1,"Bom",IF(VLOOKUP(BQ63,Fundamentus!A:U,15,FALSE)&lt;1,"Ruim","n/a"))</f>
        <v>Bom</v>
      </c>
      <c r="EZ63" s="17" t="str">
        <f>IF(VLOOKUP(BQ63,Fundamentus!A:U,20,FALSE)&lt;0.5,"Baixa",IF(VLOOKUP(BQ63,Fundamentus!A:U,20,FALSE)&lt;1,"Moderada",IF(VLOOKUP(BQ63,Fundamentus!A:U,20,FALSE)&lt;2,"Alerta",IF(VLOOKUP(BQ63,Fundamentus!A:U,20,FALSE)&gt;2,"Alta","n/a"))))</f>
        <v>Baixa</v>
      </c>
    </row>
    <row r="64" spans="1:156" s="2" customFormat="1" ht="11.25" hidden="1" x14ac:dyDescent="0.2">
      <c r="A64" s="4">
        <v>33.25</v>
      </c>
      <c r="B64" s="4">
        <v>31.08</v>
      </c>
      <c r="C64" s="4">
        <v>31.5</v>
      </c>
      <c r="D64" s="4">
        <v>27.32</v>
      </c>
      <c r="E64" s="4">
        <v>28.19</v>
      </c>
      <c r="F64" s="4">
        <v>26.26</v>
      </c>
      <c r="G64" s="4">
        <v>25.9</v>
      </c>
      <c r="H64" s="4">
        <v>25.61</v>
      </c>
      <c r="I64" s="4">
        <v>27.52</v>
      </c>
      <c r="J64" s="4">
        <v>28.6</v>
      </c>
      <c r="K64" s="4">
        <v>27.6</v>
      </c>
      <c r="L64" s="4">
        <v>27.14</v>
      </c>
      <c r="M64" s="4">
        <v>25.68</v>
      </c>
      <c r="N64" s="4">
        <v>26.64</v>
      </c>
      <c r="O64" s="4">
        <v>29.48</v>
      </c>
      <c r="P64" s="4">
        <v>28.33</v>
      </c>
      <c r="Q64" s="4">
        <v>27.72</v>
      </c>
      <c r="R64" s="4">
        <v>26.37</v>
      </c>
      <c r="S64" s="4">
        <v>22.87</v>
      </c>
      <c r="T64" s="4">
        <v>22.07</v>
      </c>
      <c r="U64" s="4">
        <v>18.18</v>
      </c>
      <c r="V64" s="4">
        <v>17.78</v>
      </c>
      <c r="W64" s="4">
        <v>17.96</v>
      </c>
      <c r="X64" s="4">
        <v>17.440000000000001</v>
      </c>
      <c r="Y64" s="4">
        <v>17.25</v>
      </c>
      <c r="Z64" s="4">
        <v>17.03</v>
      </c>
      <c r="AA64" s="4">
        <v>16.600000000000001</v>
      </c>
      <c r="AB64" s="4">
        <v>16.18</v>
      </c>
      <c r="AC64" s="4">
        <v>16.649999999999999</v>
      </c>
      <c r="AD64" s="4">
        <v>19.34</v>
      </c>
      <c r="AE64" s="4">
        <v>19.88</v>
      </c>
      <c r="AF64" s="4">
        <v>21.25</v>
      </c>
      <c r="AG64" s="4">
        <v>20.14</v>
      </c>
      <c r="AH64" s="4">
        <v>19.13</v>
      </c>
      <c r="AI64" s="4">
        <v>22.57</v>
      </c>
      <c r="AJ64" s="4">
        <v>23.2</v>
      </c>
      <c r="AK64" s="4">
        <v>24.92</v>
      </c>
      <c r="AL64" s="4">
        <v>25.34</v>
      </c>
      <c r="AM64" s="4">
        <v>22.66</v>
      </c>
      <c r="AN64" s="4">
        <v>22.43</v>
      </c>
      <c r="AO64" s="4">
        <v>20.76</v>
      </c>
      <c r="AP64" s="4">
        <v>20.399999999999999</v>
      </c>
      <c r="AQ64" s="4">
        <v>19.170000000000002</v>
      </c>
      <c r="AR64" s="4">
        <v>18.010000000000002</v>
      </c>
      <c r="AS64" s="4">
        <v>17.82</v>
      </c>
      <c r="AT64" s="4">
        <v>17.71</v>
      </c>
      <c r="AU64" s="4">
        <v>19.3</v>
      </c>
      <c r="AV64" s="4">
        <v>23.1</v>
      </c>
      <c r="AW64" s="4">
        <v>18.34</v>
      </c>
      <c r="AX64" s="4">
        <v>17.260000000000002</v>
      </c>
      <c r="AY64" s="12">
        <v>18.309999999999999</v>
      </c>
      <c r="AZ64" s="12">
        <v>18.510000000000002</v>
      </c>
      <c r="BA64" s="12">
        <v>17.36</v>
      </c>
      <c r="BB64" s="15">
        <v>19.66</v>
      </c>
      <c r="BC64" s="52">
        <v>19.27</v>
      </c>
      <c r="BD64" s="52">
        <v>18.2</v>
      </c>
      <c r="BE64" s="52">
        <v>18.899999999999999</v>
      </c>
      <c r="BF64" s="52">
        <v>19.649999999999999</v>
      </c>
      <c r="BG64" s="67">
        <v>20.78</v>
      </c>
      <c r="BH64" s="52">
        <v>20.32</v>
      </c>
      <c r="BI64" s="52">
        <v>17.2</v>
      </c>
      <c r="BJ64" s="52">
        <v>17.989999999999998</v>
      </c>
      <c r="BK64" s="52">
        <v>17.79</v>
      </c>
      <c r="BL64" s="52">
        <v>18.739999999999998</v>
      </c>
      <c r="BM64" s="52">
        <v>19.510000000000002</v>
      </c>
      <c r="BN64" s="52">
        <v>19.39</v>
      </c>
      <c r="BO64" s="52">
        <v>19.93</v>
      </c>
      <c r="BP64" s="52" cm="1">
        <f t="array" aca="1" ref="BP64" ca="1">_FV(ED64,"Preço")</f>
        <v>19.54</v>
      </c>
      <c r="BQ64" s="69" t="s">
        <v>61</v>
      </c>
      <c r="BR64" s="36" cm="1">
        <f t="array" aca="1" ref="BR64" ca="1">_FV(ED64,"Média de volume",TRUE)</f>
        <v>9253530</v>
      </c>
      <c r="BS64" s="36">
        <v>8982200</v>
      </c>
      <c r="BT64" s="36" cm="1">
        <f t="array" aca="1" ref="BT64" ca="1">_FV(ED64,"Volume")</f>
        <v>6510300</v>
      </c>
      <c r="BU64" s="24" cm="1">
        <f t="array" aca="1" ref="BU64" ca="1">_FV(ED64,"Beta")</f>
        <v>1.2114</v>
      </c>
      <c r="BV64" s="71" cm="1">
        <f t="array" aca="1" ref="BV64" ca="1">_FV(ED64,"Variação (%)",TRUE)</f>
        <v>-2.0059999999999998E-2</v>
      </c>
      <c r="BX64" s="17" cm="1">
        <f t="array" aca="1" ref="BX64" ca="1">_FV(ED64,"Baixo")</f>
        <v>19.440000000000001</v>
      </c>
      <c r="BY64" s="17" cm="1">
        <f t="array" aca="1" ref="BY64" ca="1">_FV(ED64,"Alto")</f>
        <v>20</v>
      </c>
      <c r="BZ64" s="24"/>
      <c r="CA64" s="63">
        <f ca="1">SQRT(22.5*(BP64/VLOOKUP(BQ64,Fundamentus!A:U,3,FALSE))*(BP64/VLOOKUP(BQ64,Fundamentus!A:U,4,FALSE)))</f>
        <v>13.677756842039747</v>
      </c>
      <c r="CC64" s="62">
        <f t="shared" ca="1" si="24"/>
        <v>-1.9568489713999025E-2</v>
      </c>
      <c r="CD64" s="8"/>
      <c r="CE64" s="61">
        <f t="shared" si="25"/>
        <v>16.18</v>
      </c>
      <c r="CF64" s="61">
        <f t="shared" si="26"/>
        <v>33.25</v>
      </c>
      <c r="CG64" s="61">
        <f t="shared" si="27"/>
        <v>21.767761194029852</v>
      </c>
      <c r="CH64" s="14"/>
      <c r="CI64" s="35">
        <f t="shared" si="1"/>
        <v>18.762919573213402</v>
      </c>
      <c r="CJ64" s="15">
        <f t="shared" si="28"/>
        <v>20.255000000000109</v>
      </c>
      <c r="CK64" s="35">
        <f t="shared" si="2"/>
        <v>21.747080426786816</v>
      </c>
      <c r="CM64" s="14"/>
      <c r="CN64" s="17">
        <f t="shared" si="3"/>
        <v>-4.0799999999999983</v>
      </c>
      <c r="CO64" s="17">
        <f t="shared" si="4"/>
        <v>6.0500000000000007</v>
      </c>
      <c r="CP64" s="17">
        <f t="shared" si="5"/>
        <v>12.990000000000002</v>
      </c>
      <c r="CQ64" s="38">
        <f t="shared" si="29"/>
        <v>23.12</v>
      </c>
      <c r="CR64" s="17">
        <f t="shared" si="6"/>
        <v>30.060000000000002</v>
      </c>
      <c r="CS64" s="17">
        <f t="shared" si="7"/>
        <v>40.19</v>
      </c>
      <c r="CT64" s="17">
        <f t="shared" si="8"/>
        <v>47.13</v>
      </c>
      <c r="CU64" s="2" cm="1">
        <f t="array" aca="1" ref="CU64" ca="1">MAX(_xlfn._xlws.FILTER(CN64:CT64,CN64:CT64&lt;BP64))</f>
        <v>12.990000000000002</v>
      </c>
      <c r="CV64" s="2" cm="1">
        <f t="array" aca="1" ref="CV64" ca="1">MIN(_xlfn._xlws.FILTER($CN64:$CT64,$CN64:$CT64&gt;BP64))</f>
        <v>23.12</v>
      </c>
      <c r="CW64" s="16">
        <f t="shared" ca="1" si="80"/>
        <v>0.7798306389530405</v>
      </c>
      <c r="CX64" s="20">
        <f t="shared" ca="1" si="81"/>
        <v>-0.38991531947652025</v>
      </c>
      <c r="CY64" s="20">
        <f t="shared" ca="1" si="82"/>
        <v>-0.25994354631768019</v>
      </c>
      <c r="CZ64" s="20">
        <f t="shared" ca="1" si="83"/>
        <v>-0.15596612779060809</v>
      </c>
      <c r="DA64" s="20">
        <f t="shared" ca="1" si="84"/>
        <v>-8.6647848772560057E-2</v>
      </c>
      <c r="DB64" s="20">
        <f t="shared" ca="1" si="85"/>
        <v>-4.5872390526649438E-2</v>
      </c>
      <c r="DC64" s="20">
        <f t="shared" ca="1" si="86"/>
        <v>-2.3631231483425469E-2</v>
      </c>
      <c r="DD64" s="20">
        <f t="shared" ca="1" si="87"/>
        <v>-1.1997394445431393E-2</v>
      </c>
      <c r="DE64" s="21">
        <f t="shared" ca="1" si="88"/>
        <v>1.1997394445431393E-2</v>
      </c>
      <c r="DF64" s="21">
        <f t="shared" ca="1" si="89"/>
        <v>2.3631231483425469E-2</v>
      </c>
      <c r="DG64" s="21">
        <f t="shared" ca="1" si="90"/>
        <v>4.5872390526649438E-2</v>
      </c>
      <c r="DH64" s="21">
        <f t="shared" ca="1" si="91"/>
        <v>8.6647848772560057E-2</v>
      </c>
      <c r="DI64" s="21">
        <f t="shared" ca="1" si="92"/>
        <v>0.15596612779060809</v>
      </c>
      <c r="DJ64" s="21">
        <f t="shared" ca="1" si="93"/>
        <v>0.25994354631768019</v>
      </c>
      <c r="DK64" s="21">
        <f t="shared" ca="1" si="94"/>
        <v>0.38991531947652025</v>
      </c>
      <c r="DM64" s="16" cm="1">
        <f t="array" aca="1" ref="DM64" ca="1">MAX(_xlfn._xlws.FILTER(CX64:DK64,CX64:DK64&lt;BV64))</f>
        <v>-2.3631231483425469E-2</v>
      </c>
      <c r="DN64" s="16" cm="1">
        <f t="array" aca="1" ref="DN64" ca="1">MIN(_xlfn._xlws.FILTER(CX64:DK64,CX64:DK64&gt;BV64))</f>
        <v>-1.1997394445431393E-2</v>
      </c>
      <c r="DO64" s="2" cm="1">
        <f t="array" aca="1" ref="DO64" ca="1">_FV(ED64,"Fechamento anterior",TRUE)</f>
        <v>19.940000000000001</v>
      </c>
      <c r="DP64" s="28">
        <f t="shared" ca="1" si="15"/>
        <v>0.3069538390591256</v>
      </c>
      <c r="DQ64" s="15">
        <f t="shared" ca="1" si="95"/>
        <v>19.468793244220496</v>
      </c>
      <c r="DR64" s="15">
        <f t="shared" ca="1" si="96"/>
        <v>19.7007719547581</v>
      </c>
      <c r="DS64" s="9"/>
      <c r="DT64" s="9"/>
      <c r="DU64" s="9"/>
      <c r="DV64" s="89">
        <v>2.3994788890862786E-2</v>
      </c>
      <c r="DW64" s="89">
        <f t="shared" ca="1" si="18"/>
        <v>1.1633837037994076E-2</v>
      </c>
      <c r="DX64" s="72">
        <f t="shared" ca="1" si="19"/>
        <v>-0.47919668884063399</v>
      </c>
      <c r="DY64" s="37"/>
      <c r="DZ64" s="35">
        <f t="shared" si="39"/>
        <v>0.7460402133933538</v>
      </c>
      <c r="EA64" s="56"/>
      <c r="EB64" s="56"/>
      <c r="ED64" s="2" t="e" vm="64">
        <v>#VALUE!</v>
      </c>
      <c r="EF64" s="10" cm="1">
        <f t="array" aca="1" ref="EF64" ca="1">_FV(ED64,"Ações em circulação",TRUE)</f>
        <v>464187500</v>
      </c>
      <c r="EG64" s="18">
        <f>VLOOKUP(BQ64,Fundamentus!A:U,5,FALSE)</f>
        <v>0.92800000000000005</v>
      </c>
      <c r="EH64" s="2">
        <f t="shared" ca="1" si="20"/>
        <v>9773948006.465517</v>
      </c>
      <c r="EI64" s="17">
        <v>155516818.15732756</v>
      </c>
      <c r="EJ64" s="17">
        <f t="shared" ca="1" si="21"/>
        <v>152473588.90086207</v>
      </c>
      <c r="EL64" s="16">
        <f t="shared" ca="1" si="22"/>
        <v>-1.9568489713998827E-2</v>
      </c>
      <c r="EM64" s="32" t="str">
        <f>IF(VLOOKUP(BQ64,Fundamentus!A:U,3,FALSE)&lt;15,"Bom",IF(VLOOKUP(BQ64,Fundamentus!A:U,3,FALSE)&gt;15,"Ruim","n/a"))</f>
        <v>Ruim</v>
      </c>
      <c r="EN64" s="28" t="str">
        <f>IF(VLOOKUP(BQ64,Fundamentus!A:U,4,FALSE)&lt;1,"Baixo",IF(VLOOKUP(BQ64,Fundamentus!A:U,4,FALSE)&lt;1.5,"Moderado",IF(VLOOKUP(BQ64,Fundamentus!A:U,4,FALSE)&gt;1.5,"Alto","n/a")))</f>
        <v>Baixo</v>
      </c>
      <c r="EO64" s="17" t="str">
        <f>IF(VLOOKUP(BQ64,Fundamentus!A:U,8,FALSE)&lt;0,"Risco elevado",IF(VLOOKUP(BQ64,Fundamentus!A:U,8,FALSE)&lt;1,"Saudável",IF(VLOOKUP(BQ64,Fundamentus!A:U,8,FALSE)&lt;3,"Estável",IF(VLOOKUP(BQ64,Fundamentus!A:U,8,FALSE)&gt;3,"Alerta","n/a"))))</f>
        <v>Alerta</v>
      </c>
      <c r="EP64" s="28" t="str">
        <f t="shared" si="23"/>
        <v>Ruim</v>
      </c>
      <c r="EQ64" s="17" t="str">
        <f>IF(VLOOKUP(BQ64,Fundamentus!A:U,12,FALSE)&lt;2,"Subvalorizada",IF(VLOOKUP(BQ64,Fundamentus!A:U,12,FALSE)&lt;6,"Muita barata",IF(VLOOKUP(BQ64,Fundamentus!A:U,12,FALSE)&lt;6,"Barata",IF(VLOOKUP(BQ64,Fundamentus!A:U,12,FALSE)&lt;8,"Atrativa",IF(VLOOKUP(BQ64,Fundamentus!A:U,12,FALSE)&gt;8,"Supervalorizada","n/a")))))</f>
        <v>Atrativa</v>
      </c>
      <c r="ES64" s="17" t="str">
        <f>IF(VLOOKUP(BQ64,Fundamentus!A:U,17,FALSE)&lt;0.1,"Fraco retorno",IF(VLOOKUP(BQ64,Fundamentus!A:U,17,FALSE)&gt;0.1,"Bom retorno","n/a"))</f>
        <v>Fraco retorno</v>
      </c>
      <c r="ET64" s="17" t="str">
        <f>IF(VLOOKUP(BQ64,Fundamentus!A:U,16,FALSE)&lt;0.1,"Ineficiente",IF(VLOOKUP(BQ64,Fundamentus!A:U,16,FALSE)&gt;0.1,"Eficiente","n/a"))</f>
        <v>Ineficiente</v>
      </c>
      <c r="EU64" s="33" t="str">
        <f>IF(VLOOKUP(BQ64,Fundamentus!A:U,16,FALSE)&lt;0.1,"Oper. Ineficiente",IF(VLOOKUP(BQ64,Fundamentus!A:U,16,FALSE)&gt;0.1,"Oper.Eficiente","n/a"))</f>
        <v>Oper. Ineficiente</v>
      </c>
      <c r="EV64" s="34">
        <f>VLOOKUP(BQ64,Fundamentus!A:U,14,FALSE)</f>
        <v>1.5599999999999999E-2</v>
      </c>
      <c r="EW64" s="17" t="str">
        <f>IF(VLOOKUP(BQ64,Fundamentus!A:U,21,FALSE)&lt;0,"Negativo",IF(VLOOKUP(BQ64,Fundamentus!A:U,21,FALSE)&lt;0.05,"Fraco",IF(VLOOKUP(BQ64,Fundamentus!A:U,21,FALSE)&lt;0.1,"Bom",IF(VLOOKUP(BQ64,Fundamentus!A:U,21,FALSE)&gt;0.1,"Muito bom","n/a"))))</f>
        <v>Muito bom</v>
      </c>
      <c r="EY64" s="29" t="str">
        <f>IF(VLOOKUP(BQ64,Fundamentus!A:U,15,FALSE)&gt;1,"Bom",IF(VLOOKUP(BQ64,Fundamentus!A:U,15,FALSE)&lt;1,"Ruim","n/a"))</f>
        <v>Bom</v>
      </c>
      <c r="EZ64" s="17" t="str">
        <f>IF(VLOOKUP(BQ64,Fundamentus!A:U,20,FALSE)&lt;0.5,"Baixa",IF(VLOOKUP(BQ64,Fundamentus!A:U,20,FALSE)&lt;1,"Moderada",IF(VLOOKUP(BQ64,Fundamentus!A:U,20,FALSE)&lt;2,"Alerta",IF(VLOOKUP(BQ64,Fundamentus!A:U,20,FALSE)&gt;2,"Alta","n/a"))))</f>
        <v>Alerta</v>
      </c>
    </row>
    <row r="65" spans="1:157" s="2" customFormat="1" ht="11.25" hidden="1" x14ac:dyDescent="0.2">
      <c r="A65" s="4">
        <v>13.86</v>
      </c>
      <c r="B65" s="4">
        <v>13.14</v>
      </c>
      <c r="C65" s="4">
        <v>13</v>
      </c>
      <c r="D65" s="4">
        <v>12.39</v>
      </c>
      <c r="E65" s="4">
        <v>11.96</v>
      </c>
      <c r="F65" s="4">
        <v>11.06</v>
      </c>
      <c r="G65" s="4">
        <v>10.210000000000001</v>
      </c>
      <c r="H65" s="4">
        <v>10.48</v>
      </c>
      <c r="I65" s="4">
        <v>10.49</v>
      </c>
      <c r="J65" s="4">
        <v>11.3</v>
      </c>
      <c r="K65" s="4">
        <v>11.52</v>
      </c>
      <c r="L65" s="4">
        <v>11.27</v>
      </c>
      <c r="M65" s="4">
        <v>11.3</v>
      </c>
      <c r="N65" s="4">
        <v>11.17</v>
      </c>
      <c r="O65" s="4">
        <v>11.2</v>
      </c>
      <c r="P65" s="4">
        <v>11.55</v>
      </c>
      <c r="Q65" s="4">
        <v>11.35</v>
      </c>
      <c r="R65" s="4">
        <v>11.01</v>
      </c>
      <c r="S65" s="4">
        <v>10.93</v>
      </c>
      <c r="T65" s="4">
        <v>11.23</v>
      </c>
      <c r="U65" s="4">
        <v>11.14</v>
      </c>
      <c r="V65" s="4">
        <v>11.1</v>
      </c>
      <c r="W65" s="4">
        <v>10.99</v>
      </c>
      <c r="X65" s="4">
        <v>10.61</v>
      </c>
      <c r="Y65" s="4">
        <v>10.44</v>
      </c>
      <c r="Z65" s="4">
        <v>10.56</v>
      </c>
      <c r="AA65" s="4">
        <v>10.199999999999999</v>
      </c>
      <c r="AB65" s="4">
        <v>10</v>
      </c>
      <c r="AC65" s="4">
        <v>10.32</v>
      </c>
      <c r="AD65" s="4">
        <v>10.199999999999999</v>
      </c>
      <c r="AE65" s="4">
        <v>9.36</v>
      </c>
      <c r="AF65" s="4">
        <v>9.19</v>
      </c>
      <c r="AG65" s="4">
        <v>8.8699999999999992</v>
      </c>
      <c r="AH65" s="4">
        <v>8.5</v>
      </c>
      <c r="AI65" s="4">
        <v>8.61</v>
      </c>
      <c r="AJ65" s="4">
        <v>8.41</v>
      </c>
      <c r="AK65" s="4">
        <v>8.17</v>
      </c>
      <c r="AL65" s="4">
        <v>8.57</v>
      </c>
      <c r="AM65" s="4">
        <v>8.8000000000000007</v>
      </c>
      <c r="AN65" s="4">
        <v>9.17</v>
      </c>
      <c r="AO65" s="4">
        <v>9.2200000000000006</v>
      </c>
      <c r="AP65" s="4">
        <v>9.48</v>
      </c>
      <c r="AQ65" s="4">
        <v>9.25</v>
      </c>
      <c r="AR65" s="4">
        <v>8.83</v>
      </c>
      <c r="AS65" s="4">
        <v>9.06</v>
      </c>
      <c r="AT65" s="4">
        <v>9.49</v>
      </c>
      <c r="AU65" s="4">
        <v>9.5</v>
      </c>
      <c r="AV65" s="4">
        <v>9.59</v>
      </c>
      <c r="AW65" s="4">
        <v>9.2799999999999994</v>
      </c>
      <c r="AX65" s="4">
        <v>9.1300000000000008</v>
      </c>
      <c r="AY65" s="12">
        <v>9.3699999999999992</v>
      </c>
      <c r="AZ65" s="12">
        <v>9.93</v>
      </c>
      <c r="BA65" s="12">
        <v>10.16</v>
      </c>
      <c r="BB65" s="15">
        <v>10.49</v>
      </c>
      <c r="BC65" s="52">
        <v>10.6</v>
      </c>
      <c r="BD65" s="52">
        <v>10.49</v>
      </c>
      <c r="BE65" s="52">
        <v>10.66</v>
      </c>
      <c r="BF65" s="52">
        <v>10.64</v>
      </c>
      <c r="BG65" s="67">
        <v>10.66</v>
      </c>
      <c r="BH65" s="52">
        <v>10.4</v>
      </c>
      <c r="BI65" s="52">
        <v>10.66</v>
      </c>
      <c r="BJ65" s="52">
        <v>11.49</v>
      </c>
      <c r="BK65" s="52">
        <v>11.25</v>
      </c>
      <c r="BL65" s="52">
        <v>11.16</v>
      </c>
      <c r="BM65" s="52">
        <v>11.09</v>
      </c>
      <c r="BN65" s="52">
        <v>11.36</v>
      </c>
      <c r="BO65" s="52">
        <v>11.62</v>
      </c>
      <c r="BP65" s="52" cm="1">
        <f t="array" aca="1" ref="BP65" ca="1">_FV(ED65,"Preço")</f>
        <v>12.19</v>
      </c>
      <c r="BQ65" s="69" t="s">
        <v>159</v>
      </c>
      <c r="BR65" s="36" cm="1">
        <f t="array" aca="1" ref="BR65" ca="1">_FV(ED65,"Média de volume",TRUE)</f>
        <v>614590</v>
      </c>
      <c r="BS65" s="36">
        <v>900900</v>
      </c>
      <c r="BT65" s="36" cm="1">
        <f t="array" aca="1" ref="BT65" ca="1">_FV(ED65,"Volume")</f>
        <v>547900</v>
      </c>
      <c r="BU65" s="24" cm="1">
        <f t="array" aca="1" ref="BU65" ca="1">_FV(ED65,"Beta")</f>
        <v>1.52</v>
      </c>
      <c r="BV65" s="71" cm="1">
        <f t="array" aca="1" ref="BV65" ca="1">_FV(ED65,"Variação (%)",TRUE)</f>
        <v>5.7759999999999999E-3</v>
      </c>
      <c r="BX65" s="17" cm="1">
        <f t="array" aca="1" ref="BX65" ca="1">_FV(ED65,"Baixo")</f>
        <v>12.03</v>
      </c>
      <c r="BY65" s="17" cm="1">
        <f t="array" aca="1" ref="BY65" ca="1">_FV(ED65,"Alto")</f>
        <v>12.3</v>
      </c>
      <c r="BZ65" s="24"/>
      <c r="CA65" s="63">
        <f ca="1">SQRT(22.5*(BP65/VLOOKUP(BQ65,Fundamentus!A:U,3,FALSE))*(BP65/VLOOKUP(BQ65,Fundamentus!A:U,4,FALSE)))</f>
        <v>14.71270654938753</v>
      </c>
      <c r="CC65" s="62">
        <f t="shared" ca="1" si="24"/>
        <v>4.9053356282271976E-2</v>
      </c>
      <c r="CD65" s="8"/>
      <c r="CE65" s="61">
        <f t="shared" si="25"/>
        <v>8.17</v>
      </c>
      <c r="CF65" s="61">
        <f t="shared" si="26"/>
        <v>13.86</v>
      </c>
      <c r="CG65" s="61">
        <f t="shared" si="27"/>
        <v>10.425223880597013</v>
      </c>
      <c r="CH65" s="14"/>
      <c r="CI65" s="35">
        <f t="shared" si="1"/>
        <v>11.348925883413909</v>
      </c>
      <c r="CJ65" s="15">
        <f t="shared" si="28"/>
        <v>11.7199999999998</v>
      </c>
      <c r="CK65" s="35">
        <f t="shared" si="2"/>
        <v>12.091074116585691</v>
      </c>
      <c r="CM65" s="14"/>
      <c r="CN65" s="17">
        <f t="shared" si="3"/>
        <v>2.8833333333333346</v>
      </c>
      <c r="CO65" s="17">
        <f t="shared" si="4"/>
        <v>5.5266666666666673</v>
      </c>
      <c r="CP65" s="17">
        <f t="shared" si="5"/>
        <v>8.5733333333333341</v>
      </c>
      <c r="CQ65" s="38">
        <f t="shared" si="29"/>
        <v>11.216666666666667</v>
      </c>
      <c r="CR65" s="17">
        <f t="shared" si="6"/>
        <v>14.263333333333334</v>
      </c>
      <c r="CS65" s="17">
        <f t="shared" si="7"/>
        <v>16.906666666666666</v>
      </c>
      <c r="CT65" s="17">
        <f t="shared" si="8"/>
        <v>19.953333333333333</v>
      </c>
      <c r="CU65" s="2" cm="1">
        <f t="array" aca="1" ref="CU65" ca="1">MAX(_xlfn._xlws.FILTER(CN65:CT65,CN65:CT65&lt;BP65))</f>
        <v>11.216666666666667</v>
      </c>
      <c r="CV65" s="2" cm="1">
        <f t="array" aca="1" ref="CV65" ca="1">MIN(_xlfn._xlws.FILTER($CN65:$CT65,$CN65:$CT65&gt;BP65))</f>
        <v>14.263333333333334</v>
      </c>
      <c r="CW65" s="16">
        <f t="shared" ca="1" si="80"/>
        <v>0.27161961367013365</v>
      </c>
      <c r="CX65" s="20">
        <f t="shared" ca="1" si="81"/>
        <v>-0.13580980683506683</v>
      </c>
      <c r="CY65" s="20">
        <f t="shared" ca="1" si="82"/>
        <v>-9.053987122337788E-2</v>
      </c>
      <c r="CZ65" s="20">
        <f t="shared" ca="1" si="83"/>
        <v>-5.4323922734026732E-2</v>
      </c>
      <c r="DA65" s="20">
        <f t="shared" ca="1" si="84"/>
        <v>-3.0179957074459293E-2</v>
      </c>
      <c r="DB65" s="20">
        <f t="shared" ca="1" si="85"/>
        <v>-1.5977624333537273E-2</v>
      </c>
      <c r="DC65" s="20">
        <f t="shared" ca="1" si="86"/>
        <v>-8.2308973839434439E-3</v>
      </c>
      <c r="DD65" s="20">
        <f t="shared" ca="1" si="87"/>
        <v>-4.1787632872328255E-3</v>
      </c>
      <c r="DE65" s="21">
        <f t="shared" ca="1" si="88"/>
        <v>4.1787632872328255E-3</v>
      </c>
      <c r="DF65" s="21">
        <f t="shared" ca="1" si="89"/>
        <v>8.2308973839434439E-3</v>
      </c>
      <c r="DG65" s="21">
        <f t="shared" ca="1" si="90"/>
        <v>1.5977624333537273E-2</v>
      </c>
      <c r="DH65" s="21">
        <f t="shared" ca="1" si="91"/>
        <v>3.0179957074459293E-2</v>
      </c>
      <c r="DI65" s="21">
        <f t="shared" ca="1" si="92"/>
        <v>5.4323922734026732E-2</v>
      </c>
      <c r="DJ65" s="21">
        <f t="shared" ca="1" si="93"/>
        <v>9.053987122337788E-2</v>
      </c>
      <c r="DK65" s="21">
        <f t="shared" ca="1" si="94"/>
        <v>0.13580980683506683</v>
      </c>
      <c r="DM65" s="16" cm="1">
        <f t="array" aca="1" ref="DM65" ca="1">MAX(_xlfn._xlws.FILTER(CX65:DK65,CX65:DK65&lt;BV65))</f>
        <v>4.1787632872328255E-3</v>
      </c>
      <c r="DN65" s="16" cm="1">
        <f t="array" aca="1" ref="DN65" ca="1">MIN(_xlfn._xlws.FILTER(CX65:DK65,CX65:DK65&gt;BV65))</f>
        <v>8.2308973839434439E-3</v>
      </c>
      <c r="DO65" s="2" cm="1">
        <f t="array" aca="1" ref="DO65" ca="1">_FV(ED65,"Fechamento anterior",TRUE)</f>
        <v>12.12</v>
      </c>
      <c r="DP65" s="28">
        <f t="shared" ca="1" si="15"/>
        <v>0.39406747960763533</v>
      </c>
      <c r="DQ65" s="15">
        <f t="shared" ca="1" si="95"/>
        <v>12.170646611041262</v>
      </c>
      <c r="DR65" s="15">
        <f t="shared" ca="1" si="96"/>
        <v>12.219758476293395</v>
      </c>
      <c r="DS65" s="9"/>
      <c r="DT65" s="9"/>
      <c r="DU65" s="9"/>
      <c r="DV65" s="89">
        <v>4.0521340967106185E-3</v>
      </c>
      <c r="DW65" s="89">
        <f t="shared" ca="1" si="18"/>
        <v>4.0521340967106185E-3</v>
      </c>
      <c r="DX65" s="72">
        <f t="shared" ca="1" si="19"/>
        <v>1.2665933272966783</v>
      </c>
      <c r="DY65" s="37"/>
      <c r="DZ65" s="35">
        <f t="shared" si="39"/>
        <v>0.18553705829294559</v>
      </c>
      <c r="EA65" s="56"/>
      <c r="EB65" s="56"/>
      <c r="ED65" s="2" t="e" vm="65">
        <v>#VALUE!</v>
      </c>
      <c r="EF65" s="10" cm="1">
        <f t="array" aca="1" ref="EF65" ca="1">_FV(ED65,"Ações em circulação",TRUE)</f>
        <v>234178200</v>
      </c>
      <c r="EG65" s="18">
        <f>VLOOKUP(BQ65,Fundamentus!A:U,5,FALSE)</f>
        <v>1.5660000000000001</v>
      </c>
      <c r="EH65" s="2">
        <f t="shared" ca="1" si="20"/>
        <v>1822881390.8045976</v>
      </c>
      <c r="EI65" s="17">
        <v>303392662.46896553</v>
      </c>
      <c r="EJ65" s="17">
        <f t="shared" ca="1" si="21"/>
        <v>318275090.83448273</v>
      </c>
      <c r="EL65" s="16">
        <f t="shared" ca="1" si="22"/>
        <v>4.9053356282271698E-2</v>
      </c>
      <c r="EM65" s="32" t="str">
        <f>IF(VLOOKUP(BQ65,Fundamentus!A:U,3,FALSE)&lt;15,"Bom",IF(VLOOKUP(BQ65,Fundamentus!A:U,3,FALSE)&gt;15,"Ruim","n/a"))</f>
        <v>Bom</v>
      </c>
      <c r="EN65" s="28" t="str">
        <f>IF(VLOOKUP(BQ65,Fundamentus!A:U,4,FALSE)&lt;1,"Baixo",IF(VLOOKUP(BQ65,Fundamentus!A:U,4,FALSE)&lt;1.5,"Moderado",IF(VLOOKUP(BQ65,Fundamentus!A:U,4,FALSE)&gt;1.5,"Alto","n/a")))</f>
        <v>Alto</v>
      </c>
      <c r="EO65" s="17" t="str">
        <f>IF(VLOOKUP(BQ65,Fundamentus!A:U,8,FALSE)&lt;0,"Risco elevado",IF(VLOOKUP(BQ65,Fundamentus!A:U,8,FALSE)&lt;1,"Saudável",IF(VLOOKUP(BQ65,Fundamentus!A:U,8,FALSE)&lt;3,"Estável",IF(VLOOKUP(BQ65,Fundamentus!A:U,8,FALSE)&gt;3,"Alerta","n/a"))))</f>
        <v>Alerta</v>
      </c>
      <c r="EP65" s="28" t="str">
        <f t="shared" si="23"/>
        <v>Bom</v>
      </c>
      <c r="EQ65" s="17" t="str">
        <f>IF(VLOOKUP(BQ65,Fundamentus!A:U,12,FALSE)&lt;2,"Subvalorizada",IF(VLOOKUP(BQ65,Fundamentus!A:U,12,FALSE)&lt;6,"Muita barata",IF(VLOOKUP(BQ65,Fundamentus!A:U,12,FALSE)&lt;6,"Barata",IF(VLOOKUP(BQ65,Fundamentus!A:U,12,FALSE)&lt;8,"Atrativa",IF(VLOOKUP(BQ65,Fundamentus!A:U,12,FALSE)&gt;8,"Supervalorizada","n/a")))))</f>
        <v>Muita barata</v>
      </c>
      <c r="ES65" s="17" t="str">
        <f>IF(VLOOKUP(BQ65,Fundamentus!A:U,17,FALSE)&lt;0.1,"Fraco retorno",IF(VLOOKUP(BQ65,Fundamentus!A:U,17,FALSE)&gt;0.1,"Bom retorno","n/a"))</f>
        <v>Bom retorno</v>
      </c>
      <c r="ET65" s="17" t="str">
        <f>IF(VLOOKUP(BQ65,Fundamentus!A:U,16,FALSE)&lt;0.1,"Ineficiente",IF(VLOOKUP(BQ65,Fundamentus!A:U,16,FALSE)&gt;0.1,"Eficiente","n/a"))</f>
        <v>Eficiente</v>
      </c>
      <c r="EU65" s="33" t="str">
        <f>IF(VLOOKUP(BQ65,Fundamentus!A:U,16,FALSE)&lt;0.1,"Oper. Ineficiente",IF(VLOOKUP(BQ65,Fundamentus!A:U,16,FALSE)&gt;0.1,"Oper.Eficiente","n/a"))</f>
        <v>Oper.Eficiente</v>
      </c>
      <c r="EV65" s="34">
        <f>VLOOKUP(BQ65,Fundamentus!A:U,14,FALSE)</f>
        <v>0.17460000000000001</v>
      </c>
      <c r="EW65" s="17" t="str">
        <f>IF(VLOOKUP(BQ65,Fundamentus!A:U,21,FALSE)&lt;0,"Negativo",IF(VLOOKUP(BQ65,Fundamentus!A:U,21,FALSE)&lt;0.05,"Fraco",IF(VLOOKUP(BQ65,Fundamentus!A:U,21,FALSE)&lt;0.1,"Bom",IF(VLOOKUP(BQ65,Fundamentus!A:U,21,FALSE)&gt;0.1,"Muito bom","n/a"))))</f>
        <v>Muito bom</v>
      </c>
      <c r="EY65" s="29" t="str">
        <f>IF(VLOOKUP(BQ65,Fundamentus!A:U,15,FALSE)&gt;1,"Bom",IF(VLOOKUP(BQ65,Fundamentus!A:U,15,FALSE)&lt;1,"Ruim","n/a"))</f>
        <v>Bom</v>
      </c>
      <c r="EZ65" s="17" t="str">
        <f>IF(VLOOKUP(BQ65,Fundamentus!A:U,20,FALSE)&lt;0.5,"Baixa",IF(VLOOKUP(BQ65,Fundamentus!A:U,20,FALSE)&lt;1,"Moderada",IF(VLOOKUP(BQ65,Fundamentus!A:U,20,FALSE)&lt;2,"Alerta",IF(VLOOKUP(BQ65,Fundamentus!A:U,20,FALSE)&gt;2,"Alta","n/a"))))</f>
        <v>Alerta</v>
      </c>
    </row>
    <row r="66" spans="1:157" s="2" customFormat="1" ht="11.25" hidden="1" x14ac:dyDescent="0.2">
      <c r="A66" s="4">
        <v>14.03</v>
      </c>
      <c r="B66" s="4">
        <v>13.16</v>
      </c>
      <c r="C66" s="4">
        <v>12.63</v>
      </c>
      <c r="D66" s="4">
        <v>12.1</v>
      </c>
      <c r="E66" s="4">
        <v>11.56</v>
      </c>
      <c r="F66" s="4">
        <v>11.95</v>
      </c>
      <c r="G66" s="4">
        <v>11.79</v>
      </c>
      <c r="H66" s="4">
        <v>13.06</v>
      </c>
      <c r="I66" s="4">
        <v>13.65</v>
      </c>
      <c r="J66" s="4">
        <v>14.43</v>
      </c>
      <c r="K66" s="4">
        <v>14.88</v>
      </c>
      <c r="L66" s="4">
        <v>14.16</v>
      </c>
      <c r="M66" s="4">
        <v>13.81</v>
      </c>
      <c r="N66" s="4">
        <v>13.43</v>
      </c>
      <c r="O66" s="4">
        <v>14.45</v>
      </c>
      <c r="P66" s="4">
        <v>14.13</v>
      </c>
      <c r="Q66" s="4">
        <v>13.12</v>
      </c>
      <c r="R66" s="4">
        <v>13</v>
      </c>
      <c r="S66" s="4">
        <v>13.68</v>
      </c>
      <c r="T66" s="4">
        <v>13.19</v>
      </c>
      <c r="U66" s="4">
        <v>12.71</v>
      </c>
      <c r="V66" s="4">
        <v>14.86</v>
      </c>
      <c r="W66" s="4">
        <v>14.69</v>
      </c>
      <c r="X66" s="4">
        <v>14.73</v>
      </c>
      <c r="Y66" s="4">
        <v>12.89</v>
      </c>
      <c r="Z66" s="4">
        <v>12.82</v>
      </c>
      <c r="AA66" s="4">
        <v>12.68</v>
      </c>
      <c r="AB66" s="4">
        <v>12.66</v>
      </c>
      <c r="AC66" s="4">
        <v>12.84</v>
      </c>
      <c r="AD66" s="4">
        <v>12.9</v>
      </c>
      <c r="AE66" s="4">
        <v>12.82</v>
      </c>
      <c r="AF66" s="4">
        <v>12.91</v>
      </c>
      <c r="AG66" s="4">
        <v>13</v>
      </c>
      <c r="AH66" s="4">
        <v>12.98</v>
      </c>
      <c r="AI66" s="4">
        <v>13.12</v>
      </c>
      <c r="AJ66" s="4">
        <v>13.18</v>
      </c>
      <c r="AK66" s="4">
        <v>13.14</v>
      </c>
      <c r="AL66" s="4">
        <v>13.14</v>
      </c>
      <c r="AM66" s="4">
        <v>13.15</v>
      </c>
      <c r="AN66" s="4">
        <v>13.18</v>
      </c>
      <c r="AO66" s="4">
        <v>13.18</v>
      </c>
      <c r="AP66" s="4">
        <v>13.2</v>
      </c>
      <c r="AQ66" s="4">
        <v>13.15</v>
      </c>
      <c r="AR66" s="4">
        <v>13.36</v>
      </c>
      <c r="AS66" s="4">
        <v>13.12</v>
      </c>
      <c r="AT66" s="4">
        <v>13.34</v>
      </c>
      <c r="AU66" s="4">
        <v>13.39</v>
      </c>
      <c r="AV66" s="4">
        <v>13.26</v>
      </c>
      <c r="AW66" s="4">
        <v>13.3</v>
      </c>
      <c r="AX66" s="4">
        <v>13.33</v>
      </c>
      <c r="AY66" s="12">
        <v>13.43</v>
      </c>
      <c r="AZ66" s="12">
        <v>13.52</v>
      </c>
      <c r="BA66" s="12">
        <v>13.54</v>
      </c>
      <c r="BB66" s="15">
        <v>13.53</v>
      </c>
      <c r="BC66" s="52">
        <v>13.55</v>
      </c>
      <c r="BD66" s="52">
        <v>13.62</v>
      </c>
      <c r="BE66" s="52">
        <v>13.68</v>
      </c>
      <c r="BF66" s="52">
        <v>13.69</v>
      </c>
      <c r="BG66" s="67">
        <v>13.71</v>
      </c>
      <c r="BH66" s="52">
        <v>13.69</v>
      </c>
      <c r="BI66" s="52">
        <v>13.75</v>
      </c>
      <c r="BJ66" s="52">
        <v>13.76</v>
      </c>
      <c r="BK66" s="52">
        <v>13.82</v>
      </c>
      <c r="BL66" s="52">
        <v>13.86</v>
      </c>
      <c r="BM66" s="52">
        <v>13.93</v>
      </c>
      <c r="BN66" s="52">
        <v>13.96</v>
      </c>
      <c r="BO66" s="52">
        <v>13.99</v>
      </c>
      <c r="BP66" s="52" cm="1">
        <f t="array" aca="1" ref="BP66" ca="1">_FV(ED66,"Preço")</f>
        <v>14.11</v>
      </c>
      <c r="BQ66" s="66" t="s">
        <v>63</v>
      </c>
      <c r="BR66" s="36" cm="1">
        <f t="array" aca="1" ref="BR66" ca="1">_FV(ED66,"Média de volume",TRUE)</f>
        <v>3785410</v>
      </c>
      <c r="BS66" s="36">
        <v>2400200</v>
      </c>
      <c r="BT66" s="36" cm="1">
        <f t="array" aca="1" ref="BT66" ca="1">_FV(ED66,"Volume")</f>
        <v>4564100</v>
      </c>
      <c r="BU66" s="24" cm="1">
        <f t="array" aca="1" ref="BU66" ca="1">_FV(ED66,"Beta")</f>
        <v>1.2709999999999999</v>
      </c>
      <c r="BV66" s="71" cm="1">
        <f t="array" aca="1" ref="BV66" ca="1">_FV(ED66,"Variação (%)",TRUE)</f>
        <v>-1.4149999999999998E-3</v>
      </c>
      <c r="BX66" s="17" cm="1">
        <f t="array" aca="1" ref="BX66" ca="1">_FV(ED66,"Baixo")</f>
        <v>14.11</v>
      </c>
      <c r="BY66" s="17" cm="1">
        <f t="array" aca="1" ref="BY66" ca="1">_FV(ED66,"Alto")</f>
        <v>14.13</v>
      </c>
      <c r="BZ66" s="24"/>
      <c r="CA66" s="63">
        <f ca="1">SQRT(22.5*(BP66/VLOOKUP(BQ66,Fundamentus!A:U,3,FALSE))*(BP66/VLOOKUP(BQ66,Fundamentus!A:U,4,FALSE)))</f>
        <v>3.8783118616174139</v>
      </c>
      <c r="CC66" s="62">
        <f t="shared" ca="1" si="24"/>
        <v>8.577555396711881E-3</v>
      </c>
      <c r="CD66" s="8"/>
      <c r="CE66" s="61">
        <f t="shared" si="25"/>
        <v>11.56</v>
      </c>
      <c r="CF66" s="61">
        <f t="shared" si="26"/>
        <v>14.88</v>
      </c>
      <c r="CG66" s="61">
        <f t="shared" si="27"/>
        <v>13.377164179104478</v>
      </c>
      <c r="CH66" s="14"/>
      <c r="CI66" s="35">
        <f t="shared" si="1"/>
        <v>13.913888937836488</v>
      </c>
      <c r="CJ66" s="15">
        <f t="shared" si="28"/>
        <v>14.039999999999964</v>
      </c>
      <c r="CK66" s="35">
        <f t="shared" si="2"/>
        <v>14.16611106216344</v>
      </c>
      <c r="CM66" s="14"/>
      <c r="CN66" s="17">
        <f t="shared" si="3"/>
        <v>8.7533333333333321</v>
      </c>
      <c r="CO66" s="17">
        <f t="shared" si="4"/>
        <v>10.156666666666666</v>
      </c>
      <c r="CP66" s="17">
        <f t="shared" si="5"/>
        <v>12.073333333333332</v>
      </c>
      <c r="CQ66" s="38">
        <f t="shared" si="29"/>
        <v>13.476666666666667</v>
      </c>
      <c r="CR66" s="17">
        <f t="shared" si="6"/>
        <v>15.393333333333333</v>
      </c>
      <c r="CS66" s="17">
        <f t="shared" si="7"/>
        <v>16.796666666666667</v>
      </c>
      <c r="CT66" s="17">
        <f t="shared" si="8"/>
        <v>18.713333333333331</v>
      </c>
      <c r="CU66" s="2" cm="1">
        <f t="array" aca="1" ref="CU66" ca="1">MAX(_xlfn._xlws.FILTER(CN66:CT66,CN66:CT66&lt;BP66))</f>
        <v>13.476666666666667</v>
      </c>
      <c r="CV66" s="2" cm="1">
        <f t="array" aca="1" ref="CV66" ca="1">MIN(_xlfn._xlws.FILTER($CN66:$CT66,$CN66:$CT66&gt;BP66))</f>
        <v>15.393333333333333</v>
      </c>
      <c r="CW66" s="16">
        <f t="shared" ca="1" si="80"/>
        <v>0.14222112292851841</v>
      </c>
      <c r="CX66" s="20">
        <f t="shared" ca="1" si="81"/>
        <v>-7.1110561464259203E-2</v>
      </c>
      <c r="CY66" s="20">
        <f t="shared" ca="1" si="82"/>
        <v>-4.74070409761728E-2</v>
      </c>
      <c r="CZ66" s="20">
        <f t="shared" ca="1" si="83"/>
        <v>-2.8444224585703681E-2</v>
      </c>
      <c r="DA66" s="20">
        <f t="shared" ca="1" si="84"/>
        <v>-1.5802346992057601E-2</v>
      </c>
      <c r="DB66" s="20">
        <f t="shared" ca="1" si="85"/>
        <v>-8.3659484075599058E-3</v>
      </c>
      <c r="DC66" s="20">
        <f t="shared" ca="1" si="86"/>
        <v>-4.3097309978338914E-3</v>
      </c>
      <c r="DD66" s="20">
        <f t="shared" ca="1" si="87"/>
        <v>-2.1880172758233602E-3</v>
      </c>
      <c r="DE66" s="21">
        <f t="shared" ca="1" si="88"/>
        <v>2.1880172758233602E-3</v>
      </c>
      <c r="DF66" s="21">
        <f t="shared" ca="1" si="89"/>
        <v>4.3097309978338914E-3</v>
      </c>
      <c r="DG66" s="21">
        <f t="shared" ca="1" si="90"/>
        <v>8.3659484075599058E-3</v>
      </c>
      <c r="DH66" s="21">
        <f t="shared" ca="1" si="91"/>
        <v>1.5802346992057601E-2</v>
      </c>
      <c r="DI66" s="21">
        <f t="shared" ca="1" si="92"/>
        <v>2.8444224585703681E-2</v>
      </c>
      <c r="DJ66" s="21">
        <f t="shared" ca="1" si="93"/>
        <v>4.74070409761728E-2</v>
      </c>
      <c r="DK66" s="21">
        <f t="shared" ca="1" si="94"/>
        <v>7.1110561464259203E-2</v>
      </c>
      <c r="DM66" s="16" cm="1">
        <f t="array" aca="1" ref="DM66" ca="1">MAX(_xlfn._xlws.FILTER(CX66:DK66,CX66:DK66&lt;BV66))</f>
        <v>-2.1880172758233602E-3</v>
      </c>
      <c r="DN66" s="16" cm="1">
        <f t="array" aca="1" ref="DN66" ca="1">MIN(_xlfn._xlws.FILTER(CX66:DK66,CX66:DK66&gt;BV66))</f>
        <v>2.1880172758233602E-3</v>
      </c>
      <c r="DO66" s="2" cm="1">
        <f t="array" aca="1" ref="DO66" ca="1">_FV(ED66,"Fechamento anterior",TRUE)</f>
        <v>14.13</v>
      </c>
      <c r="DP66" s="28">
        <f t="shared" ca="1" si="15"/>
        <v>0.17655004769374805</v>
      </c>
      <c r="DQ66" s="15">
        <f t="shared" ca="1" si="95"/>
        <v>14.099083315892617</v>
      </c>
      <c r="DR66" s="15">
        <f t="shared" ca="1" si="96"/>
        <v>14.160916684107384</v>
      </c>
      <c r="DS66" s="9"/>
      <c r="DT66" s="9"/>
      <c r="DU66" s="9"/>
      <c r="DV66" s="89">
        <v>4.3760345516467205E-3</v>
      </c>
      <c r="DW66" s="89">
        <f t="shared" ca="1" si="18"/>
        <v>4.3760345516467205E-3</v>
      </c>
      <c r="DX66" s="75">
        <f t="shared" ca="1" si="19"/>
        <v>0.55506629473388935</v>
      </c>
      <c r="DY66" s="37"/>
      <c r="DZ66" s="35">
        <f t="shared" si="39"/>
        <v>6.3055531081737962E-2</v>
      </c>
      <c r="EA66" s="56"/>
      <c r="EB66" s="56"/>
      <c r="ED66" s="2" t="e" vm="66">
        <v>#VALUE!</v>
      </c>
      <c r="EF66" s="10" cm="1">
        <f t="array" aca="1" ref="EF66" ca="1">_FV(ED66,"Ações em circulação",TRUE)</f>
        <v>864170300</v>
      </c>
      <c r="EG66" s="18">
        <f>VLOOKUP(BQ66,Fundamentus!A:U,5,FALSE)</f>
        <v>3.8130000000000002</v>
      </c>
      <c r="EH66" s="2">
        <f t="shared" ca="1" si="20"/>
        <v>3197860722.0036716</v>
      </c>
      <c r="EI66" s="17">
        <v>799958571.201967</v>
      </c>
      <c r="EJ66" s="17">
        <f t="shared" ca="1" si="21"/>
        <v>806820260.16152644</v>
      </c>
      <c r="EL66" s="16">
        <f ca="1">(EJ66/EI66)-1</f>
        <v>8.5775553967120111E-3</v>
      </c>
      <c r="EM66" s="32" t="str">
        <f>IF(VLOOKUP(BQ66,Fundamentus!A:U,3,FALSE)&lt;15,"Bom",IF(VLOOKUP(BQ66,Fundamentus!A:U,3,FALSE)&gt;15,"Ruim","n/a"))</f>
        <v>Ruim</v>
      </c>
      <c r="EN66" s="28" t="str">
        <f>IF(VLOOKUP(BQ66,Fundamentus!A:U,4,FALSE)&lt;1,"Baixo",IF(VLOOKUP(BQ66,Fundamentus!A:U,4,FALSE)&lt;1.5,"Moderado",IF(VLOOKUP(BQ66,Fundamentus!A:U,4,FALSE)&gt;1.5,"Alto","n/a")))</f>
        <v>Alto</v>
      </c>
      <c r="EO66" s="17" t="str">
        <f>IF(VLOOKUP(BQ66,Fundamentus!A:U,8,FALSE)&lt;0,"Risco elevado",IF(VLOOKUP(BQ66,Fundamentus!A:U,8,FALSE)&lt;1,"Saudável",IF(VLOOKUP(BQ66,Fundamentus!A:U,8,FALSE)&lt;3,"Estável",IF(VLOOKUP(BQ66,Fundamentus!A:U,8,FALSE)&gt;3,"Alerta","n/a"))))</f>
        <v>Alerta</v>
      </c>
      <c r="EP66" s="28" t="str">
        <f t="shared" si="23"/>
        <v>Bom</v>
      </c>
      <c r="EQ66" s="17" t="str">
        <f>IF(VLOOKUP(BQ66,Fundamentus!A:U,12,FALSE)&lt;2,"Subvalorizada",IF(VLOOKUP(BQ66,Fundamentus!A:U,12,FALSE)&lt;6,"Muita barata",IF(VLOOKUP(BQ66,Fundamentus!A:U,12,FALSE)&lt;6,"Barata",IF(VLOOKUP(BQ66,Fundamentus!A:U,12,FALSE)&lt;8,"Atrativa",IF(VLOOKUP(BQ66,Fundamentus!A:U,12,FALSE)&gt;8,"Supervalorizada","n/a")))))</f>
        <v>Supervalorizada</v>
      </c>
      <c r="ES66" s="17" t="str">
        <f>IF(VLOOKUP(BQ66,Fundamentus!A:U,17,FALSE)&lt;0.1,"Fraco retorno",IF(VLOOKUP(BQ66,Fundamentus!A:U,17,FALSE)&gt;0.1,"Bom retorno","n/a"))</f>
        <v>Bom retorno</v>
      </c>
      <c r="ET66" s="17" t="str">
        <f>IF(VLOOKUP(BQ66,Fundamentus!A:U,16,FALSE)&lt;0.1,"Ineficiente",IF(VLOOKUP(BQ66,Fundamentus!A:U,16,FALSE)&gt;0.1,"Eficiente","n/a"))</f>
        <v>Eficiente</v>
      </c>
      <c r="EU66" s="33" t="str">
        <f>IF(VLOOKUP(BQ66,Fundamentus!A:U,16,FALSE)&lt;0.1,"Oper. Ineficiente",IF(VLOOKUP(BQ66,Fundamentus!A:U,16,FALSE)&gt;0.1,"Oper.Eficiente","n/a"))</f>
        <v>Oper.Eficiente</v>
      </c>
      <c r="EV66" s="34">
        <f>VLOOKUP(BQ66,Fundamentus!A:U,14,FALSE)</f>
        <v>0.25230000000000002</v>
      </c>
      <c r="EW66" s="17" t="str">
        <f>IF(VLOOKUP(BQ66,Fundamentus!A:U,21,FALSE)&lt;0,"Negativo",IF(VLOOKUP(BQ66,Fundamentus!A:U,21,FALSE)&lt;0.05,"Fraco",IF(VLOOKUP(BQ66,Fundamentus!A:U,21,FALSE)&lt;0.1,"Bom",IF(VLOOKUP(BQ66,Fundamentus!A:U,21,FALSE)&gt;0.1,"Muito bom","n/a"))))</f>
        <v>Muito bom</v>
      </c>
      <c r="EY66" s="29" t="str">
        <f>IF(VLOOKUP(BQ66,Fundamentus!A:U,15,FALSE)&gt;1,"Bom",IF(VLOOKUP(BQ66,Fundamentus!A:U,15,FALSE)&lt;1,"Ruim","n/a"))</f>
        <v>Bom</v>
      </c>
      <c r="EZ66" s="17" t="str">
        <f>IF(VLOOKUP(BQ66,Fundamentus!A:U,20,FALSE)&lt;0.5,"Baixa",IF(VLOOKUP(BQ66,Fundamentus!A:U,20,FALSE)&lt;1,"Moderada",IF(VLOOKUP(BQ66,Fundamentus!A:U,20,FALSE)&lt;2,"Alerta",IF(VLOOKUP(BQ66,Fundamentus!A:U,20,FALSE)&gt;2,"Alta","n/a"))))</f>
        <v>Alta</v>
      </c>
    </row>
    <row r="67" spans="1:157" s="2" customFormat="1" ht="11.25" hidden="1" x14ac:dyDescent="0.2">
      <c r="A67" s="4">
        <v>24.09</v>
      </c>
      <c r="B67" s="4">
        <v>23.59</v>
      </c>
      <c r="C67" s="4">
        <v>23.69</v>
      </c>
      <c r="D67" s="4">
        <v>22.45</v>
      </c>
      <c r="E67" s="4">
        <v>21.63</v>
      </c>
      <c r="F67" s="4">
        <v>20.8</v>
      </c>
      <c r="G67" s="4">
        <v>20.72</v>
      </c>
      <c r="H67" s="4">
        <v>20.93</v>
      </c>
      <c r="I67" s="4">
        <v>20.9</v>
      </c>
      <c r="J67" s="4">
        <v>22.11</v>
      </c>
      <c r="K67" s="4">
        <v>22.75</v>
      </c>
      <c r="L67" s="4">
        <v>23.09</v>
      </c>
      <c r="M67" s="4">
        <v>23.24</v>
      </c>
      <c r="N67" s="4">
        <v>23.31</v>
      </c>
      <c r="O67" s="4">
        <v>24.75</v>
      </c>
      <c r="P67" s="4">
        <v>26.03</v>
      </c>
      <c r="Q67" s="4">
        <v>25.45</v>
      </c>
      <c r="R67" s="4">
        <v>25.72</v>
      </c>
      <c r="S67" s="4">
        <v>25.91</v>
      </c>
      <c r="T67" s="4">
        <v>25.28</v>
      </c>
      <c r="U67" s="4">
        <v>24.78</v>
      </c>
      <c r="V67" s="4">
        <v>23.62</v>
      </c>
      <c r="W67" s="4">
        <v>23.09</v>
      </c>
      <c r="X67" s="4">
        <v>22.87</v>
      </c>
      <c r="Y67" s="4">
        <v>22.15</v>
      </c>
      <c r="Z67" s="4">
        <v>21.91</v>
      </c>
      <c r="AA67" s="4">
        <v>22.12</v>
      </c>
      <c r="AB67" s="4">
        <v>22.45</v>
      </c>
      <c r="AC67" s="4">
        <v>22.21</v>
      </c>
      <c r="AD67" s="4">
        <v>21.83</v>
      </c>
      <c r="AE67" s="4">
        <v>20.63</v>
      </c>
      <c r="AF67" s="4">
        <v>20.190000000000001</v>
      </c>
      <c r="AG67" s="4">
        <v>20.09</v>
      </c>
      <c r="AH67" s="4">
        <v>18.510000000000002</v>
      </c>
      <c r="AI67" s="4">
        <v>17.899999999999999</v>
      </c>
      <c r="AJ67" s="4">
        <v>17.600000000000001</v>
      </c>
      <c r="AK67" s="4">
        <v>17.399999999999999</v>
      </c>
      <c r="AL67" s="4">
        <v>17.02</v>
      </c>
      <c r="AM67" s="4">
        <v>17.59</v>
      </c>
      <c r="AN67" s="4">
        <v>16.86</v>
      </c>
      <c r="AO67" s="4">
        <v>16.48</v>
      </c>
      <c r="AP67" s="4">
        <v>18.170000000000002</v>
      </c>
      <c r="AQ67" s="4">
        <v>17.579999999999998</v>
      </c>
      <c r="AR67" s="4">
        <v>17.02</v>
      </c>
      <c r="AS67" s="4">
        <v>16.670000000000002</v>
      </c>
      <c r="AT67" s="4">
        <v>17.53</v>
      </c>
      <c r="AU67" s="4">
        <v>17.93</v>
      </c>
      <c r="AV67" s="4">
        <v>18.190000000000001</v>
      </c>
      <c r="AW67" s="4">
        <v>17.690000000000001</v>
      </c>
      <c r="AX67" s="4">
        <v>17.899999999999999</v>
      </c>
      <c r="AY67" s="12">
        <v>18.100000000000001</v>
      </c>
      <c r="AZ67" s="12">
        <v>19.100000000000001</v>
      </c>
      <c r="BA67" s="12">
        <v>18.8</v>
      </c>
      <c r="BB67" s="15">
        <v>17.88</v>
      </c>
      <c r="BC67" s="52">
        <v>18.95</v>
      </c>
      <c r="BD67" s="52">
        <v>19.18</v>
      </c>
      <c r="BE67" s="52">
        <v>20.18</v>
      </c>
      <c r="BF67" s="52">
        <v>20.13</v>
      </c>
      <c r="BG67" s="67">
        <v>21.07</v>
      </c>
      <c r="BH67" s="52">
        <v>21.43</v>
      </c>
      <c r="BI67" s="52">
        <v>21.21</v>
      </c>
      <c r="BJ67" s="52">
        <v>22.59</v>
      </c>
      <c r="BK67" s="52">
        <v>21.74</v>
      </c>
      <c r="BL67" s="52">
        <v>20.239999999999998</v>
      </c>
      <c r="BM67" s="52">
        <v>21.05</v>
      </c>
      <c r="BN67" s="52">
        <v>21.2</v>
      </c>
      <c r="BO67" s="52">
        <v>21.4</v>
      </c>
      <c r="BP67" s="52" cm="1">
        <f t="array" aca="1" ref="BP67" ca="1">_FV(ED67,"Preço")</f>
        <v>20.86</v>
      </c>
      <c r="BQ67" s="69" t="s">
        <v>116</v>
      </c>
      <c r="BR67" s="36" cm="1">
        <f t="array" aca="1" ref="BR67" ca="1">_FV(ED67,"Média de volume",TRUE)</f>
        <v>10319620</v>
      </c>
      <c r="BS67" s="36">
        <v>9658700</v>
      </c>
      <c r="BT67" s="36" cm="1">
        <f t="array" aca="1" ref="BT67" ca="1">_FV(ED67,"Volume")</f>
        <v>14183300</v>
      </c>
      <c r="BU67" s="24" cm="1">
        <f t="array" aca="1" ref="BU67" ca="1">_FV(ED67,"Beta")</f>
        <v>1.026</v>
      </c>
      <c r="BV67" s="71" cm="1">
        <f t="array" aca="1" ref="BV67" ca="1">_FV(ED67,"Variação (%)",TRUE)</f>
        <v>-1.9737000000000001E-2</v>
      </c>
      <c r="BX67" s="17" cm="1">
        <f t="array" aca="1" ref="BX67" ca="1">_FV(ED67,"Baixo")</f>
        <v>20.73</v>
      </c>
      <c r="BY67" s="17" cm="1">
        <f t="array" aca="1" ref="BY67" ca="1">_FV(ED67,"Alto")</f>
        <v>21.36</v>
      </c>
      <c r="BZ67" s="24"/>
      <c r="CA67" s="63">
        <f ca="1">SQRT(22.5*(BP67/VLOOKUP(BQ67,Fundamentus!A:U,3,FALSE))*(BP67/VLOOKUP(BQ67,Fundamentus!A:U,4,FALSE)))</f>
        <v>49.381330639130795</v>
      </c>
      <c r="CC67" s="62">
        <f t="shared" ca="1" si="24"/>
        <v>-2.5233644859813047E-2</v>
      </c>
      <c r="CD67" s="8"/>
      <c r="CE67" s="61">
        <f t="shared" si="25"/>
        <v>16.48</v>
      </c>
      <c r="CF67" s="61">
        <f t="shared" si="26"/>
        <v>26.03</v>
      </c>
      <c r="CG67" s="61">
        <f t="shared" si="27"/>
        <v>20.845820895522397</v>
      </c>
      <c r="CH67" s="14"/>
      <c r="CI67" s="35">
        <f t="shared" si="1"/>
        <v>20.880672225943513</v>
      </c>
      <c r="CJ67" s="15">
        <f t="shared" si="28"/>
        <v>21.879999999999654</v>
      </c>
      <c r="CK67" s="35">
        <f t="shared" si="2"/>
        <v>22.879327774055795</v>
      </c>
      <c r="CM67" s="14"/>
      <c r="CN67" s="17">
        <f t="shared" si="3"/>
        <v>7.0266666666666673</v>
      </c>
      <c r="CO67" s="17">
        <f t="shared" si="4"/>
        <v>11.753333333333334</v>
      </c>
      <c r="CP67" s="17">
        <f t="shared" si="5"/>
        <v>16.576666666666668</v>
      </c>
      <c r="CQ67" s="38">
        <f t="shared" si="29"/>
        <v>21.303333333333335</v>
      </c>
      <c r="CR67" s="17">
        <f t="shared" si="6"/>
        <v>26.126666666666669</v>
      </c>
      <c r="CS67" s="17">
        <f t="shared" si="7"/>
        <v>30.853333333333335</v>
      </c>
      <c r="CT67" s="17">
        <f t="shared" si="8"/>
        <v>35.676666666666669</v>
      </c>
      <c r="CU67" s="2" cm="1">
        <f t="array" aca="1" ref="CU67" ca="1">MAX(_xlfn._xlws.FILTER(CN67:CT67,CN67:CT67&lt;BP67))</f>
        <v>16.576666666666668</v>
      </c>
      <c r="CV67" s="2" cm="1">
        <f t="array" aca="1" ref="CV67" ca="1">MIN(_xlfn._xlws.FILTER($CN67:$CT67,$CN67:$CT67&gt;BP67))</f>
        <v>21.303333333333335</v>
      </c>
      <c r="CW67" s="16">
        <f t="shared" ca="1" si="80"/>
        <v>0.28513975467524633</v>
      </c>
      <c r="CX67" s="20">
        <f t="shared" ca="1" si="81"/>
        <v>-0.14256987733762316</v>
      </c>
      <c r="CY67" s="20">
        <f t="shared" ca="1" si="82"/>
        <v>-9.5046584891748775E-2</v>
      </c>
      <c r="CZ67" s="20">
        <f t="shared" ca="1" si="83"/>
        <v>-5.7027950935049268E-2</v>
      </c>
      <c r="DA67" s="20">
        <f t="shared" ca="1" si="84"/>
        <v>-3.1682194963916256E-2</v>
      </c>
      <c r="DB67" s="20">
        <f t="shared" ca="1" si="85"/>
        <v>-1.6772926745602726E-2</v>
      </c>
      <c r="DC67" s="20">
        <f t="shared" ca="1" si="86"/>
        <v>-8.6405986265226161E-3</v>
      </c>
      <c r="DD67" s="20">
        <f t="shared" ca="1" si="87"/>
        <v>-4.386765456542251E-3</v>
      </c>
      <c r="DE67" s="21">
        <f t="shared" ca="1" si="88"/>
        <v>4.386765456542251E-3</v>
      </c>
      <c r="DF67" s="21">
        <f t="shared" ca="1" si="89"/>
        <v>8.6405986265226161E-3</v>
      </c>
      <c r="DG67" s="21">
        <f t="shared" ca="1" si="90"/>
        <v>1.6772926745602726E-2</v>
      </c>
      <c r="DH67" s="21">
        <f t="shared" ca="1" si="91"/>
        <v>3.1682194963916256E-2</v>
      </c>
      <c r="DI67" s="21">
        <f t="shared" ca="1" si="92"/>
        <v>5.7027950935049268E-2</v>
      </c>
      <c r="DJ67" s="21">
        <f t="shared" ca="1" si="93"/>
        <v>9.5046584891748775E-2</v>
      </c>
      <c r="DK67" s="21">
        <f t="shared" ca="1" si="94"/>
        <v>0.14256987733762316</v>
      </c>
      <c r="DM67" s="16" cm="1">
        <f t="array" aca="1" ref="DM67" ca="1">MAX(_xlfn._xlws.FILTER(CX67:DK67,CX67:DK67&lt;BV67))</f>
        <v>-3.1682194963916256E-2</v>
      </c>
      <c r="DN67" s="16" cm="1">
        <f t="array" aca="1" ref="DN67" ca="1">MIN(_xlfn._xlws.FILTER(CX67:DK67,CX67:DK67&gt;BV67))</f>
        <v>-1.6772926745602726E-2</v>
      </c>
      <c r="DO67" s="2" cm="1">
        <f t="array" aca="1" ref="DO67" ca="1">_FV(ED67,"Fechamento anterior",TRUE)</f>
        <v>21.28</v>
      </c>
      <c r="DP67" s="28">
        <f t="shared" ca="1" si="15"/>
        <v>0.80120316327666341</v>
      </c>
      <c r="DQ67" s="15">
        <f t="shared" ca="1" si="95"/>
        <v>20.605802891167862</v>
      </c>
      <c r="DR67" s="15">
        <f t="shared" ca="1" si="96"/>
        <v>20.923072118853575</v>
      </c>
      <c r="DS67" s="9"/>
      <c r="DT67" s="9"/>
      <c r="DU67" s="9"/>
      <c r="DV67" s="89">
        <v>6.4573872962507715E-3</v>
      </c>
      <c r="DW67" s="89">
        <f t="shared" ca="1" si="18"/>
        <v>1.490926821831353E-2</v>
      </c>
      <c r="DX67" s="72">
        <f t="shared" ca="1" si="19"/>
        <v>-1.0206861316979194</v>
      </c>
      <c r="DY67" s="37"/>
      <c r="DZ67" s="35">
        <f t="shared" si="39"/>
        <v>0.49966388702807013</v>
      </c>
      <c r="EA67" s="56"/>
      <c r="EB67" s="56"/>
      <c r="ED67" s="2" t="e" vm="67">
        <v>#VALUE!</v>
      </c>
      <c r="EF67" s="10" cm="1">
        <f t="array" aca="1" ref="EF67" ca="1">_FV(ED67,"Ações em circulação",TRUE)</f>
        <v>1119000000</v>
      </c>
      <c r="EG67" s="18">
        <f>VLOOKUP(BQ67,Fundamentus!A:U,5,FALSE)</f>
        <v>0.127</v>
      </c>
      <c r="EH67" s="2">
        <f t="shared" ca="1" si="20"/>
        <v>183797952755.90552</v>
      </c>
      <c r="EI67" s="17">
        <v>6561745511.8110237</v>
      </c>
      <c r="EJ67" s="17">
        <f t="shared" ca="1" si="21"/>
        <v>6396168755.9055119</v>
      </c>
      <c r="EL67" s="16">
        <f t="shared" ref="EL67:EL130" ca="1" si="97">(EJ67/EI67)-1</f>
        <v>-2.5233644859813054E-2</v>
      </c>
      <c r="EM67" s="32" t="str">
        <f>IF(VLOOKUP(BQ67,Fundamentus!A:U,3,FALSE)&lt;15,"Bom",IF(VLOOKUP(BQ67,Fundamentus!A:U,3,FALSE)&gt;15,"Ruim","n/a"))</f>
        <v>Bom</v>
      </c>
      <c r="EN67" s="28" t="str">
        <f>IF(VLOOKUP(BQ67,Fundamentus!A:U,4,FALSE)&lt;1,"Baixo",IF(VLOOKUP(BQ67,Fundamentus!A:U,4,FALSE)&lt;1.5,"Moderado",IF(VLOOKUP(BQ67,Fundamentus!A:U,4,FALSE)&gt;1.5,"Alto","n/a")))</f>
        <v>Moderado</v>
      </c>
      <c r="EO67" s="17" t="str">
        <f>IF(VLOOKUP(BQ67,Fundamentus!A:U,8,FALSE)&lt;0,"Risco elevado",IF(VLOOKUP(BQ67,Fundamentus!A:U,8,FALSE)&lt;1,"Saudável",IF(VLOOKUP(BQ67,Fundamentus!A:U,8,FALSE)&lt;3,"Estável",IF(VLOOKUP(BQ67,Fundamentus!A:U,8,FALSE)&gt;3,"Alerta","n/a"))))</f>
        <v>Estável</v>
      </c>
      <c r="EP67" s="28" t="str">
        <f t="shared" si="23"/>
        <v>Ruim</v>
      </c>
      <c r="EQ67" s="17" t="str">
        <f>IF(VLOOKUP(BQ67,Fundamentus!A:U,12,FALSE)&lt;2,"Subvalorizada",IF(VLOOKUP(BQ67,Fundamentus!A:U,12,FALSE)&lt;6,"Muita barata",IF(VLOOKUP(BQ67,Fundamentus!A:U,12,FALSE)&lt;6,"Barata",IF(VLOOKUP(BQ67,Fundamentus!A:U,12,FALSE)&lt;8,"Atrativa",IF(VLOOKUP(BQ67,Fundamentus!A:U,12,FALSE)&gt;8,"Supervalorizada","n/a")))))</f>
        <v>Supervalorizada</v>
      </c>
      <c r="ES67" s="17" t="str">
        <f>IF(VLOOKUP(BQ67,Fundamentus!A:U,17,FALSE)&lt;0.1,"Fraco retorno",IF(VLOOKUP(BQ67,Fundamentus!A:U,17,FALSE)&gt;0.1,"Bom retorno","n/a"))</f>
        <v>Bom retorno</v>
      </c>
      <c r="ET67" s="17" t="str">
        <f>IF(VLOOKUP(BQ67,Fundamentus!A:U,16,FALSE)&lt;0.1,"Ineficiente",IF(VLOOKUP(BQ67,Fundamentus!A:U,16,FALSE)&gt;0.1,"Eficiente","n/a"))</f>
        <v>Ineficiente</v>
      </c>
      <c r="EU67" s="33" t="str">
        <f>IF(VLOOKUP(BQ67,Fundamentus!A:U,16,FALSE)&lt;0.1,"Oper. Ineficiente",IF(VLOOKUP(BQ67,Fundamentus!A:U,16,FALSE)&gt;0.1,"Oper.Eficiente","n/a"))</f>
        <v>Oper. Ineficiente</v>
      </c>
      <c r="EV67" s="34">
        <f>VLOOKUP(BQ67,Fundamentus!A:U,14,FALSE)</f>
        <v>3.4799999999999998E-2</v>
      </c>
      <c r="EW67" s="17" t="str">
        <f>IF(VLOOKUP(BQ67,Fundamentus!A:U,21,FALSE)&lt;0,"Negativo",IF(VLOOKUP(BQ67,Fundamentus!A:U,21,FALSE)&lt;0.05,"Fraco",IF(VLOOKUP(BQ67,Fundamentus!A:U,21,FALSE)&lt;0.1,"Bom",IF(VLOOKUP(BQ67,Fundamentus!A:U,21,FALSE)&gt;0.1,"Muito bom","n/a"))))</f>
        <v>Muito bom</v>
      </c>
      <c r="EY67" s="29" t="str">
        <f>IF(VLOOKUP(BQ67,Fundamentus!A:U,15,FALSE)&gt;1,"Bom",IF(VLOOKUP(BQ67,Fundamentus!A:U,15,FALSE)&lt;1,"Ruim","n/a"))</f>
        <v>Bom</v>
      </c>
      <c r="EZ67" s="17" t="str">
        <f>IF(VLOOKUP(BQ67,Fundamentus!A:U,20,FALSE)&lt;0.5,"Baixa",IF(VLOOKUP(BQ67,Fundamentus!A:U,20,FALSE)&lt;1,"Moderada",IF(VLOOKUP(BQ67,Fundamentus!A:U,20,FALSE)&lt;2,"Alerta",IF(VLOOKUP(BQ67,Fundamentus!A:U,20,FALSE)&gt;2,"Alta","n/a"))))</f>
        <v>Alerta</v>
      </c>
      <c r="FA67" s="10"/>
    </row>
    <row r="68" spans="1:157" s="2" customFormat="1" ht="11.25" hidden="1" x14ac:dyDescent="0.2">
      <c r="A68" s="4">
        <v>18.46</v>
      </c>
      <c r="B68" s="4">
        <v>18</v>
      </c>
      <c r="C68" s="4">
        <v>18.29</v>
      </c>
      <c r="D68" s="4">
        <v>17.8</v>
      </c>
      <c r="E68" s="4">
        <v>17.510000000000002</v>
      </c>
      <c r="F68" s="4">
        <v>17.21</v>
      </c>
      <c r="G68" s="4">
        <v>17.03</v>
      </c>
      <c r="H68" s="4">
        <v>17.7</v>
      </c>
      <c r="I68" s="4">
        <v>19.39</v>
      </c>
      <c r="J68" s="4">
        <v>20.25</v>
      </c>
      <c r="K68" s="4">
        <v>20.52</v>
      </c>
      <c r="L68" s="4">
        <v>20.49</v>
      </c>
      <c r="M68" s="4">
        <v>19.34</v>
      </c>
      <c r="N68" s="4">
        <v>18.97</v>
      </c>
      <c r="O68" s="4">
        <v>18.47</v>
      </c>
      <c r="P68" s="4">
        <v>18.25</v>
      </c>
      <c r="Q68" s="4">
        <v>19.190000000000001</v>
      </c>
      <c r="R68" s="4">
        <v>19.739999999999998</v>
      </c>
      <c r="S68" s="4">
        <v>20.100000000000001</v>
      </c>
      <c r="T68" s="4">
        <v>20.41</v>
      </c>
      <c r="U68" s="4">
        <v>20.350000000000001</v>
      </c>
      <c r="V68" s="4">
        <v>20.350000000000001</v>
      </c>
      <c r="W68" s="4">
        <v>21.08</v>
      </c>
      <c r="X68" s="4">
        <v>20.84</v>
      </c>
      <c r="Y68" s="4">
        <v>22.26</v>
      </c>
      <c r="Z68" s="4">
        <v>22.33</v>
      </c>
      <c r="AA68" s="4">
        <v>21.1</v>
      </c>
      <c r="AB68" s="4">
        <v>20.8</v>
      </c>
      <c r="AC68" s="4">
        <v>20.73</v>
      </c>
      <c r="AD68" s="4">
        <v>20.65</v>
      </c>
      <c r="AE68" s="4">
        <v>20.36</v>
      </c>
      <c r="AF68" s="4">
        <v>20.97</v>
      </c>
      <c r="AG68" s="4">
        <v>21.28</v>
      </c>
      <c r="AH68" s="4">
        <v>20.25</v>
      </c>
      <c r="AI68" s="4">
        <v>20.59</v>
      </c>
      <c r="AJ68" s="4">
        <v>20.38</v>
      </c>
      <c r="AK68" s="4">
        <v>20.34</v>
      </c>
      <c r="AL68" s="4">
        <v>20.88</v>
      </c>
      <c r="AM68" s="4">
        <v>21.38</v>
      </c>
      <c r="AN68" s="4">
        <v>21.65</v>
      </c>
      <c r="AO68" s="4">
        <v>21.61</v>
      </c>
      <c r="AP68" s="4">
        <v>23.29</v>
      </c>
      <c r="AQ68" s="4">
        <v>23.79</v>
      </c>
      <c r="AR68" s="4">
        <v>23.77</v>
      </c>
      <c r="AS68" s="4">
        <v>25.2</v>
      </c>
      <c r="AT68" s="4">
        <v>26.38</v>
      </c>
      <c r="AU68" s="4">
        <v>27.3</v>
      </c>
      <c r="AV68" s="4">
        <v>27.47</v>
      </c>
      <c r="AW68" s="4">
        <v>26.99</v>
      </c>
      <c r="AX68" s="4">
        <v>27.3</v>
      </c>
      <c r="AY68" s="12">
        <v>27.69</v>
      </c>
      <c r="AZ68" s="12">
        <v>28.79</v>
      </c>
      <c r="BA68" s="12">
        <v>29.24</v>
      </c>
      <c r="BB68" s="15">
        <v>28.78</v>
      </c>
      <c r="BC68" s="52">
        <v>27.33</v>
      </c>
      <c r="BD68" s="52">
        <v>26.15</v>
      </c>
      <c r="BE68" s="52">
        <v>26.34</v>
      </c>
      <c r="BF68" s="52">
        <v>26.88</v>
      </c>
      <c r="BG68" s="67">
        <v>27.03</v>
      </c>
      <c r="BH68" s="52">
        <v>26.86</v>
      </c>
      <c r="BI68" s="52">
        <v>27.01</v>
      </c>
      <c r="BJ68" s="52">
        <v>27.74</v>
      </c>
      <c r="BK68" s="52">
        <v>23.91</v>
      </c>
      <c r="BL68" s="52">
        <v>23.75</v>
      </c>
      <c r="BM68" s="52">
        <v>22.85</v>
      </c>
      <c r="BN68" s="52">
        <v>23.65</v>
      </c>
      <c r="BO68" s="52">
        <v>21.46</v>
      </c>
      <c r="BP68" s="52" cm="1">
        <f t="array" aca="1" ref="BP68" ca="1">_FV(ED68,"Preço")</f>
        <v>22.27</v>
      </c>
      <c r="BQ68" s="69" t="s">
        <v>65</v>
      </c>
      <c r="BR68" s="36" cm="1">
        <f t="array" aca="1" ref="BR68" ca="1">_FV(ED68,"Média de volume",TRUE)</f>
        <v>747680</v>
      </c>
      <c r="BS68" s="36">
        <v>1190700</v>
      </c>
      <c r="BT68" s="36" cm="1">
        <f t="array" aca="1" ref="BT68" ca="1">_FV(ED68,"Volume")</f>
        <v>133200</v>
      </c>
      <c r="BU68" s="24" cm="1">
        <f t="array" aca="1" ref="BU68" ca="1">_FV(ED68,"Beta")</f>
        <v>0.97170000000000001</v>
      </c>
      <c r="BV68" s="71" cm="1">
        <f t="array" aca="1" ref="BV68" ca="1">_FV(ED68,"Variação (%)",TRUE)</f>
        <v>9.0620000000000006E-3</v>
      </c>
      <c r="BX68" s="17" cm="1">
        <f t="array" aca="1" ref="BX68" ca="1">_FV(ED68,"Baixo")</f>
        <v>21.97</v>
      </c>
      <c r="BY68" s="17" cm="1">
        <f t="array" aca="1" ref="BY68" ca="1">_FV(ED68,"Alto")</f>
        <v>22.28</v>
      </c>
      <c r="BZ68" s="24"/>
      <c r="CA68" s="63">
        <f ca="1">SQRT(22.5*(BP68/VLOOKUP(BQ68,Fundamentus!A:U,3,FALSE))*(BP68/VLOOKUP(BQ68,Fundamentus!A:U,4,FALSE)))</f>
        <v>13.442465463623595</v>
      </c>
      <c r="CC68" s="62">
        <f t="shared" ca="1" si="24"/>
        <v>3.7744641192916997E-2</v>
      </c>
      <c r="CD68" s="8"/>
      <c r="CE68" s="61">
        <f t="shared" si="25"/>
        <v>17.03</v>
      </c>
      <c r="CF68" s="61">
        <f t="shared" si="26"/>
        <v>29.24</v>
      </c>
      <c r="CG68" s="61">
        <f t="shared" si="27"/>
        <v>22.302238805970148</v>
      </c>
      <c r="CH68" s="14"/>
      <c r="CI68" s="35">
        <f t="shared" si="1"/>
        <v>19.592238739547867</v>
      </c>
      <c r="CJ68" s="15">
        <f t="shared" si="28"/>
        <v>21.409999999999854</v>
      </c>
      <c r="CK68" s="35">
        <f t="shared" si="2"/>
        <v>23.227761260451842</v>
      </c>
      <c r="CM68" s="14"/>
      <c r="CN68" s="17">
        <f t="shared" si="3"/>
        <v>3.7033333333333331</v>
      </c>
      <c r="CO68" s="17">
        <f t="shared" si="4"/>
        <v>10.366666666666667</v>
      </c>
      <c r="CP68" s="17">
        <f t="shared" si="5"/>
        <v>15.91333333333333</v>
      </c>
      <c r="CQ68" s="38">
        <f t="shared" si="29"/>
        <v>22.576666666666664</v>
      </c>
      <c r="CR68" s="17">
        <f t="shared" si="6"/>
        <v>28.123333333333328</v>
      </c>
      <c r="CS68" s="17">
        <f t="shared" si="7"/>
        <v>34.786666666666662</v>
      </c>
      <c r="CT68" s="17">
        <f t="shared" si="8"/>
        <v>40.333333333333329</v>
      </c>
      <c r="CU68" s="2" cm="1">
        <f t="array" aca="1" ref="CU68" ca="1">MAX(_xlfn._xlws.FILTER(CN68:CT68,CN68:CT68&lt;BP68))</f>
        <v>15.91333333333333</v>
      </c>
      <c r="CV68" s="2" cm="1">
        <f t="array" aca="1" ref="CV68" ca="1">MIN(_xlfn._xlws.FILTER($CN68:$CT68,$CN68:$CT68&gt;BP68))</f>
        <v>22.576666666666664</v>
      </c>
      <c r="CW68" s="16">
        <f t="shared" ca="1" si="80"/>
        <v>0.41872643485546712</v>
      </c>
      <c r="CX68" s="20">
        <f t="shared" ca="1" si="81"/>
        <v>-0.20936321742773356</v>
      </c>
      <c r="CY68" s="20">
        <f t="shared" ca="1" si="82"/>
        <v>-0.13957547828515571</v>
      </c>
      <c r="CZ68" s="20">
        <f t="shared" ca="1" si="83"/>
        <v>-8.374528697109343E-2</v>
      </c>
      <c r="DA68" s="20">
        <f t="shared" ca="1" si="84"/>
        <v>-4.6525159428385233E-2</v>
      </c>
      <c r="DB68" s="20">
        <f t="shared" ca="1" si="85"/>
        <v>-2.4630966756203947E-2</v>
      </c>
      <c r="DC68" s="20">
        <f t="shared" ca="1" si="86"/>
        <v>-1.2688679844105065E-2</v>
      </c>
      <c r="DD68" s="20">
        <f t="shared" ca="1" si="87"/>
        <v>-6.4419451516225714E-3</v>
      </c>
      <c r="DE68" s="21">
        <f t="shared" ca="1" si="88"/>
        <v>6.4419451516225714E-3</v>
      </c>
      <c r="DF68" s="21">
        <f t="shared" ca="1" si="89"/>
        <v>1.2688679844105065E-2</v>
      </c>
      <c r="DG68" s="21">
        <f t="shared" ca="1" si="90"/>
        <v>2.4630966756203947E-2</v>
      </c>
      <c r="DH68" s="21">
        <f t="shared" ca="1" si="91"/>
        <v>4.6525159428385233E-2</v>
      </c>
      <c r="DI68" s="21">
        <f t="shared" ca="1" si="92"/>
        <v>8.374528697109343E-2</v>
      </c>
      <c r="DJ68" s="21">
        <f t="shared" ca="1" si="93"/>
        <v>0.13957547828515571</v>
      </c>
      <c r="DK68" s="21">
        <f t="shared" ca="1" si="94"/>
        <v>0.20936321742773356</v>
      </c>
      <c r="DM68" s="16" cm="1">
        <f t="array" aca="1" ref="DM68" ca="1">MAX(_xlfn._xlws.FILTER(CX68:DK68,CX68:DK68&lt;BV68))</f>
        <v>6.4419451516225714E-3</v>
      </c>
      <c r="DN68" s="16" cm="1">
        <f t="array" aca="1" ref="DN68" ca="1">MIN(_xlfn._xlws.FILTER(CX68:DK68,CX68:DK68&gt;BV68))</f>
        <v>1.2688679844105065E-2</v>
      </c>
      <c r="DO68" s="2" cm="1">
        <f t="array" aca="1" ref="DO68" ca="1">_FV(ED68,"Fechamento anterior",TRUE)</f>
        <v>22.07</v>
      </c>
      <c r="DP68" s="28">
        <f t="shared" ca="1" si="15"/>
        <v>0.41943994624180997</v>
      </c>
      <c r="DQ68" s="15">
        <f t="shared" ca="1" si="95"/>
        <v>22.21217372949631</v>
      </c>
      <c r="DR68" s="15">
        <f t="shared" ca="1" si="96"/>
        <v>22.350039164159398</v>
      </c>
      <c r="DS68" s="9"/>
      <c r="DT68" s="9"/>
      <c r="DU68" s="9"/>
      <c r="DV68" s="89">
        <v>1.1942286912098882E-2</v>
      </c>
      <c r="DW68" s="89">
        <f t="shared" ca="1" si="18"/>
        <v>6.2467346924824935E-3</v>
      </c>
      <c r="DX68" s="72">
        <f t="shared" ca="1" si="19"/>
        <v>0.47310943340618083</v>
      </c>
      <c r="DY68" s="37"/>
      <c r="DZ68" s="35">
        <f t="shared" si="39"/>
        <v>0.90888063022599352</v>
      </c>
      <c r="EA68" s="56"/>
      <c r="EB68" s="56"/>
      <c r="ED68" s="2" t="e" vm="68">
        <v>#VALUE!</v>
      </c>
      <c r="EF68" s="10" cm="1">
        <f t="array" aca="1" ref="EF68" ca="1">_FV(ED68,"Ações em circulação",TRUE)</f>
        <v>280335100</v>
      </c>
      <c r="EG68" s="18">
        <f>VLOOKUP(BQ68,Fundamentus!A:U,5,FALSE)</f>
        <v>1.4750000000000001</v>
      </c>
      <c r="EH68" s="2">
        <f t="shared" ca="1" si="20"/>
        <v>4232584865.7627115</v>
      </c>
      <c r="EI68" s="17">
        <v>307121451.4059661</v>
      </c>
      <c r="EJ68" s="17">
        <f t="shared" ca="1" si="21"/>
        <v>318713640.39193219</v>
      </c>
      <c r="EL68" s="16">
        <f t="shared" ca="1" si="97"/>
        <v>3.7744641192916983E-2</v>
      </c>
      <c r="EM68" s="32" t="str">
        <f>IF(VLOOKUP(BQ68,Fundamentus!A:U,3,FALSE)&lt;15,"Bom",IF(VLOOKUP(BQ68,Fundamentus!A:U,3,FALSE)&gt;15,"Ruim","n/a"))</f>
        <v>Ruim</v>
      </c>
      <c r="EN68" s="28" t="str">
        <f>IF(VLOOKUP(BQ68,Fundamentus!A:U,4,FALSE)&lt;1,"Baixo",IF(VLOOKUP(BQ68,Fundamentus!A:U,4,FALSE)&lt;1.5,"Moderado",IF(VLOOKUP(BQ68,Fundamentus!A:U,4,FALSE)&gt;1.5,"Alto","n/a")))</f>
        <v>Alto</v>
      </c>
      <c r="EO68" s="17" t="str">
        <f>IF(VLOOKUP(BQ68,Fundamentus!A:U,8,FALSE)&lt;0,"Risco elevado",IF(VLOOKUP(BQ68,Fundamentus!A:U,8,FALSE)&lt;1,"Saudável",IF(VLOOKUP(BQ68,Fundamentus!A:U,8,FALSE)&lt;3,"Estável",IF(VLOOKUP(BQ68,Fundamentus!A:U,8,FALSE)&gt;3,"Alerta","n/a"))))</f>
        <v>Alerta</v>
      </c>
      <c r="EP68" s="28" t="str">
        <f t="shared" si="23"/>
        <v>Bom</v>
      </c>
      <c r="EQ68" s="17" t="str">
        <f>IF(VLOOKUP(BQ68,Fundamentus!A:U,12,FALSE)&lt;2,"Subvalorizada",IF(VLOOKUP(BQ68,Fundamentus!A:U,12,FALSE)&lt;6,"Muita barata",IF(VLOOKUP(BQ68,Fundamentus!A:U,12,FALSE)&lt;6,"Barata",IF(VLOOKUP(BQ68,Fundamentus!A:U,12,FALSE)&lt;8,"Atrativa",IF(VLOOKUP(BQ68,Fundamentus!A:U,12,FALSE)&gt;8,"Supervalorizada","n/a")))))</f>
        <v>Supervalorizada</v>
      </c>
      <c r="ES68" s="17" t="str">
        <f>IF(VLOOKUP(BQ68,Fundamentus!A:U,17,FALSE)&lt;0.1,"Fraco retorno",IF(VLOOKUP(BQ68,Fundamentus!A:U,17,FALSE)&gt;0.1,"Bom retorno","n/a"))</f>
        <v>Bom retorno</v>
      </c>
      <c r="ET68" s="17" t="str">
        <f>IF(VLOOKUP(BQ68,Fundamentus!A:U,16,FALSE)&lt;0.1,"Ineficiente",IF(VLOOKUP(BQ68,Fundamentus!A:U,16,FALSE)&gt;0.1,"Eficiente","n/a"))</f>
        <v>Eficiente</v>
      </c>
      <c r="EU68" s="33" t="str">
        <f>IF(VLOOKUP(BQ68,Fundamentus!A:U,16,FALSE)&lt;0.1,"Oper. Ineficiente",IF(VLOOKUP(BQ68,Fundamentus!A:U,16,FALSE)&gt;0.1,"Oper.Eficiente","n/a"))</f>
        <v>Oper.Eficiente</v>
      </c>
      <c r="EV68" s="34">
        <f>VLOOKUP(BQ68,Fundamentus!A:U,14,FALSE)</f>
        <v>7.5300000000000006E-2</v>
      </c>
      <c r="EW68" s="17" t="str">
        <f>IF(VLOOKUP(BQ68,Fundamentus!A:U,21,FALSE)&lt;0,"Negativo",IF(VLOOKUP(BQ68,Fundamentus!A:U,21,FALSE)&lt;0.05,"Fraco",IF(VLOOKUP(BQ68,Fundamentus!A:U,21,FALSE)&lt;0.1,"Bom",IF(VLOOKUP(BQ68,Fundamentus!A:U,21,FALSE)&gt;0.1,"Muito bom","n/a"))))</f>
        <v>Muito bom</v>
      </c>
      <c r="EY68" s="29" t="str">
        <f>IF(VLOOKUP(BQ68,Fundamentus!A:U,15,FALSE)&gt;1,"Bom",IF(VLOOKUP(BQ68,Fundamentus!A:U,15,FALSE)&lt;1,"Ruim","n/a"))</f>
        <v>Bom</v>
      </c>
      <c r="EZ68" s="17" t="str">
        <f>IF(VLOOKUP(BQ68,Fundamentus!A:U,20,FALSE)&lt;0.5,"Baixa",IF(VLOOKUP(BQ68,Fundamentus!A:U,20,FALSE)&lt;1,"Moderada",IF(VLOOKUP(BQ68,Fundamentus!A:U,20,FALSE)&lt;2,"Alerta",IF(VLOOKUP(BQ68,Fundamentus!A:U,20,FALSE)&gt;2,"Alta","n/a"))))</f>
        <v>Alerta</v>
      </c>
    </row>
    <row r="69" spans="1:157" s="2" customFormat="1" ht="11.25" hidden="1" x14ac:dyDescent="0.2">
      <c r="A69" s="4">
        <v>9.69</v>
      </c>
      <c r="B69" s="4">
        <v>9.68</v>
      </c>
      <c r="C69" s="4">
        <v>9.74</v>
      </c>
      <c r="D69" s="4">
        <v>9.7899999999999991</v>
      </c>
      <c r="E69" s="4">
        <v>9.64</v>
      </c>
      <c r="F69" s="4">
        <v>9.8699999999999992</v>
      </c>
      <c r="G69" s="4">
        <v>9.73</v>
      </c>
      <c r="H69" s="4">
        <v>9.93</v>
      </c>
      <c r="I69" s="4">
        <v>9.9600000000000009</v>
      </c>
      <c r="J69" s="4">
        <v>10.14</v>
      </c>
      <c r="K69" s="4">
        <v>10.49</v>
      </c>
      <c r="L69" s="4">
        <v>10.199999999999999</v>
      </c>
      <c r="M69" s="4">
        <v>10.32</v>
      </c>
      <c r="N69" s="4">
        <v>10.050000000000001</v>
      </c>
      <c r="O69" s="4">
        <v>10.32</v>
      </c>
      <c r="P69" s="4">
        <v>10.17</v>
      </c>
      <c r="Q69" s="4">
        <v>10.47</v>
      </c>
      <c r="R69" s="4">
        <v>10.45</v>
      </c>
      <c r="S69" s="4">
        <v>10.28</v>
      </c>
      <c r="T69" s="4">
        <v>10.39</v>
      </c>
      <c r="U69" s="4">
        <v>10.18</v>
      </c>
      <c r="V69" s="4">
        <v>10.130000000000001</v>
      </c>
      <c r="W69" s="4">
        <v>9.7100000000000009</v>
      </c>
      <c r="X69" s="4">
        <v>9.6</v>
      </c>
      <c r="Y69" s="4">
        <v>9.58</v>
      </c>
      <c r="Z69" s="4">
        <v>9.65</v>
      </c>
      <c r="AA69" s="4">
        <v>9.3000000000000007</v>
      </c>
      <c r="AB69" s="4">
        <v>9.39</v>
      </c>
      <c r="AC69" s="4">
        <v>9.5</v>
      </c>
      <c r="AD69" s="4">
        <v>9.4499999999999993</v>
      </c>
      <c r="AE69" s="4">
        <v>9.17</v>
      </c>
      <c r="AF69" s="4">
        <v>9.01</v>
      </c>
      <c r="AG69" s="4">
        <v>9.07</v>
      </c>
      <c r="AH69" s="4">
        <v>8.83</v>
      </c>
      <c r="AI69" s="4">
        <v>8.75</v>
      </c>
      <c r="AJ69" s="4">
        <v>8.69</v>
      </c>
      <c r="AK69" s="4">
        <v>8.9600000000000009</v>
      </c>
      <c r="AL69" s="4">
        <v>9.02</v>
      </c>
      <c r="AM69" s="4">
        <v>8.9700000000000006</v>
      </c>
      <c r="AN69" s="4">
        <v>9.2100000000000009</v>
      </c>
      <c r="AO69" s="4">
        <v>9.17</v>
      </c>
      <c r="AP69" s="4">
        <v>9.57</v>
      </c>
      <c r="AQ69" s="4">
        <v>9.35</v>
      </c>
      <c r="AR69" s="4">
        <v>9.1</v>
      </c>
      <c r="AS69" s="4">
        <v>9.2899999999999991</v>
      </c>
      <c r="AT69" s="4">
        <v>9.67</v>
      </c>
      <c r="AU69" s="4">
        <v>9.7899999999999991</v>
      </c>
      <c r="AV69" s="4">
        <v>9.64</v>
      </c>
      <c r="AW69" s="4">
        <v>9.7799999999999994</v>
      </c>
      <c r="AX69" s="4">
        <v>9.81</v>
      </c>
      <c r="AY69" s="12">
        <v>9.51</v>
      </c>
      <c r="AZ69" s="12">
        <v>9.99</v>
      </c>
      <c r="BA69" s="12">
        <v>9.9600000000000009</v>
      </c>
      <c r="BB69" s="15">
        <v>9.84</v>
      </c>
      <c r="BC69" s="52">
        <v>9.9</v>
      </c>
      <c r="BD69" s="52">
        <v>9.99</v>
      </c>
      <c r="BE69" s="52">
        <v>10.14</v>
      </c>
      <c r="BF69" s="52">
        <v>9.61</v>
      </c>
      <c r="BG69" s="67">
        <v>9.6300000000000008</v>
      </c>
      <c r="BH69" s="52">
        <v>9.6199999999999992</v>
      </c>
      <c r="BI69" s="52">
        <v>9.83</v>
      </c>
      <c r="BJ69" s="52">
        <v>9.86</v>
      </c>
      <c r="BK69" s="52">
        <v>9.6199999999999992</v>
      </c>
      <c r="BL69" s="52">
        <v>9.5500000000000007</v>
      </c>
      <c r="BM69" s="52">
        <v>9.49</v>
      </c>
      <c r="BN69" s="52">
        <v>9.4600000000000009</v>
      </c>
      <c r="BO69" s="52">
        <v>9.36</v>
      </c>
      <c r="BP69" s="52" cm="1">
        <f t="array" aca="1" ref="BP69" ca="1">_FV(ED69,"Preço")</f>
        <v>9.52</v>
      </c>
      <c r="BQ69" s="69" t="s">
        <v>66</v>
      </c>
      <c r="BR69" s="36" cm="1">
        <f t="array" aca="1" ref="BR69" ca="1">_FV(ED69,"Média de volume",TRUE)</f>
        <v>1420460</v>
      </c>
      <c r="BS69" s="36">
        <v>7700</v>
      </c>
      <c r="BT69" s="36" cm="1">
        <f t="array" aca="1" ref="BT69" ca="1">_FV(ED69,"Volume")</f>
        <v>4900</v>
      </c>
      <c r="BU69" s="24" cm="1">
        <f t="array" aca="1" ref="BU69" ca="1">_FV(ED69,"Beta")</f>
        <v>0.62260000000000004</v>
      </c>
      <c r="BV69" s="71" cm="1">
        <f t="array" aca="1" ref="BV69" ca="1">_FV(ED69,"Variação (%)",TRUE)</f>
        <v>1.1690000000000001E-2</v>
      </c>
      <c r="BX69" s="17" cm="1">
        <f t="array" aca="1" ref="BX69" ca="1">_FV(ED69,"Baixo")</f>
        <v>9.31</v>
      </c>
      <c r="BY69" s="17" cm="1">
        <f t="array" aca="1" ref="BY69" ca="1">_FV(ED69,"Alto")</f>
        <v>9.52</v>
      </c>
      <c r="BZ69" s="24"/>
      <c r="CA69" s="63">
        <f ca="1">SQRT(22.5*(BP69/VLOOKUP(BQ69,Fundamentus!A:U,3,FALSE))*(BP69/VLOOKUP(BQ69,Fundamentus!A:U,4,FALSE)))</f>
        <v>14.850607413184839</v>
      </c>
      <c r="CC69" s="62">
        <f t="shared" ca="1" si="24"/>
        <v>1.709401709401711E-2</v>
      </c>
      <c r="CD69" s="8"/>
      <c r="CE69" s="61">
        <f t="shared" si="25"/>
        <v>8.69</v>
      </c>
      <c r="CF69" s="61">
        <f t="shared" si="26"/>
        <v>10.49</v>
      </c>
      <c r="CG69" s="61">
        <f t="shared" si="27"/>
        <v>9.6717910447761213</v>
      </c>
      <c r="CH69" s="14"/>
      <c r="CI69" s="35">
        <f t="shared" si="1"/>
        <v>9.1403689603763958</v>
      </c>
      <c r="CJ69" s="15">
        <f t="shared" si="28"/>
        <v>9.3149999999999409</v>
      </c>
      <c r="CK69" s="35">
        <f t="shared" si="2"/>
        <v>9.489631039623486</v>
      </c>
      <c r="CM69" s="14"/>
      <c r="CN69" s="17">
        <f t="shared" si="3"/>
        <v>6.7366666666666664</v>
      </c>
      <c r="CO69" s="17">
        <f t="shared" si="4"/>
        <v>7.7133333333333329</v>
      </c>
      <c r="CP69" s="17">
        <f t="shared" si="5"/>
        <v>8.5366666666666671</v>
      </c>
      <c r="CQ69" s="38">
        <f t="shared" si="29"/>
        <v>9.5133333333333336</v>
      </c>
      <c r="CR69" s="17">
        <f t="shared" si="6"/>
        <v>10.336666666666668</v>
      </c>
      <c r="CS69" s="17">
        <f t="shared" si="7"/>
        <v>11.313333333333334</v>
      </c>
      <c r="CT69" s="17">
        <f t="shared" si="8"/>
        <v>12.136666666666668</v>
      </c>
      <c r="CU69" s="2" cm="1">
        <f t="array" aca="1" ref="CU69" ca="1">MAX(_xlfn._xlws.FILTER(CN69:CT69,CN69:CT69&lt;BP69))</f>
        <v>9.5133333333333336</v>
      </c>
      <c r="CV69" s="2" cm="1">
        <f t="array" aca="1" ref="CV69" ca="1">MIN(_xlfn._xlws.FILTER($CN69:$CT69,$CN69:$CT69&gt;BP69))</f>
        <v>10.336666666666668</v>
      </c>
      <c r="CW69" s="16">
        <f t="shared" ca="1" si="80"/>
        <v>8.6545199719691768E-2</v>
      </c>
      <c r="CX69" s="20">
        <f t="shared" ca="1" si="81"/>
        <v>-4.3272599859845884E-2</v>
      </c>
      <c r="CY69" s="20">
        <f t="shared" ca="1" si="82"/>
        <v>-2.8848399906563921E-2</v>
      </c>
      <c r="CZ69" s="20">
        <f t="shared" ca="1" si="83"/>
        <v>-1.7309039943938353E-2</v>
      </c>
      <c r="DA69" s="20">
        <f t="shared" ca="1" si="84"/>
        <v>-9.616133302187975E-3</v>
      </c>
      <c r="DB69" s="20">
        <f t="shared" ca="1" si="85"/>
        <v>-5.090894101158339E-3</v>
      </c>
      <c r="DC69" s="20">
        <f t="shared" ca="1" si="86"/>
        <v>-2.6225818096876291E-3</v>
      </c>
      <c r="DD69" s="20">
        <f t="shared" ca="1" si="87"/>
        <v>-1.331464611072181E-3</v>
      </c>
      <c r="DE69" s="21">
        <f t="shared" ca="1" si="88"/>
        <v>1.331464611072181E-3</v>
      </c>
      <c r="DF69" s="21">
        <f t="shared" ca="1" si="89"/>
        <v>2.6225818096876291E-3</v>
      </c>
      <c r="DG69" s="21">
        <f t="shared" ca="1" si="90"/>
        <v>5.090894101158339E-3</v>
      </c>
      <c r="DH69" s="21">
        <f t="shared" ca="1" si="91"/>
        <v>9.616133302187975E-3</v>
      </c>
      <c r="DI69" s="21">
        <f t="shared" ca="1" si="92"/>
        <v>1.7309039943938353E-2</v>
      </c>
      <c r="DJ69" s="21">
        <f t="shared" ca="1" si="93"/>
        <v>2.8848399906563921E-2</v>
      </c>
      <c r="DK69" s="21">
        <f t="shared" ca="1" si="94"/>
        <v>4.3272599859845884E-2</v>
      </c>
      <c r="DM69" s="16" cm="1">
        <f t="array" aca="1" ref="DM69" ca="1">MAX(_xlfn._xlws.FILTER(CX69:DK69,CX69:DK69&lt;BV69))</f>
        <v>9.616133302187975E-3</v>
      </c>
      <c r="DN69" s="16" cm="1">
        <f t="array" aca="1" ref="DN69" ca="1">MIN(_xlfn._xlws.FILTER(CX69:DK69,CX69:DK69&gt;BV69))</f>
        <v>1.7309039943938353E-2</v>
      </c>
      <c r="DO69" s="2" cm="1">
        <f t="array" aca="1" ref="DO69" ca="1">_FV(ED69,"Fechamento anterior",TRUE)</f>
        <v>9.41</v>
      </c>
      <c r="DP69" s="28">
        <f t="shared" ca="1" si="15"/>
        <v>0.26954161951923805</v>
      </c>
      <c r="DQ69" s="15">
        <f t="shared" ca="1" si="95"/>
        <v>9.5004878143735887</v>
      </c>
      <c r="DR69" s="15">
        <f t="shared" ca="1" si="96"/>
        <v>9.5728780658724606</v>
      </c>
      <c r="DS69" s="9"/>
      <c r="DT69" s="9"/>
      <c r="DU69" s="9"/>
      <c r="DV69" s="89">
        <v>5.982140350608553E-3</v>
      </c>
      <c r="DW69" s="89">
        <f t="shared" ca="1" si="18"/>
        <v>7.6929066417503779E-3</v>
      </c>
      <c r="DX69" s="72">
        <f t="shared" ca="1" si="19"/>
        <v>1.1739035651507341</v>
      </c>
      <c r="DY69" s="37"/>
      <c r="DZ69" s="35">
        <f t="shared" si="39"/>
        <v>8.7315519811772269E-2</v>
      </c>
      <c r="EA69" s="56"/>
      <c r="EB69" s="56"/>
      <c r="ED69" s="2" t="e" vm="69">
        <v>#VALUE!</v>
      </c>
      <c r="EF69" s="10" cm="1">
        <f t="array" aca="1" ref="EF69" ca="1">_FV(ED69,"Ações em circulação",TRUE)</f>
        <v>109875600</v>
      </c>
      <c r="EG69" s="18">
        <f>VLOOKUP(BQ69,Fundamentus!A:U,5,FALSE)</f>
        <v>2.226</v>
      </c>
      <c r="EH69" s="2">
        <f t="shared" ca="1" si="20"/>
        <v>469908226.41509432</v>
      </c>
      <c r="EI69" s="17">
        <v>212201472.78921831</v>
      </c>
      <c r="EJ69" s="17">
        <f t="shared" ca="1" si="21"/>
        <v>215828848.39245281</v>
      </c>
      <c r="EL69" s="16">
        <f t="shared" ca="1" si="97"/>
        <v>1.7094017094017033E-2</v>
      </c>
      <c r="EM69" s="39" t="str">
        <f>IF(VLOOKUP(BQ69,Fundamentus!A:U,3,FALSE)&lt;15,"Bom",IF(VLOOKUP(BQ69,Fundamentus!A:U,3,FALSE)&gt;15,"Ruim","n/a"))</f>
        <v>Bom</v>
      </c>
      <c r="EN69" s="40" t="str">
        <f>IF(VLOOKUP(BQ69,Fundamentus!A:U,4,FALSE)&lt;1,"Baixo",IF(VLOOKUP(BQ69,Fundamentus!A:U,4,FALSE)&lt;1.5,"Moderado",IF(VLOOKUP(BQ69,Fundamentus!A:U,4,FALSE)&gt;1.5,"Alto","n/a")))</f>
        <v>Moderado</v>
      </c>
      <c r="EO69" s="41" t="str">
        <f>IF(VLOOKUP(BQ69,Fundamentus!A:U,8,FALSE)&lt;0,"Risco elevado",IF(VLOOKUP(BQ69,Fundamentus!A:U,8,FALSE)&lt;1,"Saudável",IF(VLOOKUP(BQ69,Fundamentus!A:U,8,FALSE)&lt;3,"Estável",IF(VLOOKUP(BQ69,Fundamentus!A:U,8,FALSE)&gt;3,"Alerta","n/a"))))</f>
        <v>Estável</v>
      </c>
      <c r="EP69" s="40" t="str">
        <f t="shared" si="23"/>
        <v>Bom</v>
      </c>
      <c r="EQ69" s="41" t="str">
        <f>IF(VLOOKUP(BQ69,Fundamentus!A:U,12,FALSE)&lt;2,"Subvalorizada",IF(VLOOKUP(BQ69,Fundamentus!A:U,12,FALSE)&lt;6,"Muita barata",IF(VLOOKUP(BQ69,Fundamentus!A:U,12,FALSE)&lt;6,"Barata",IF(VLOOKUP(BQ69,Fundamentus!A:U,12,FALSE)&lt;8,"Atrativa",IF(VLOOKUP(BQ69,Fundamentus!A:U,12,FALSE)&gt;8,"Supervalorizada","n/a")))))</f>
        <v>Atrativa</v>
      </c>
      <c r="ES69" s="41" t="str">
        <f>IF(VLOOKUP(BQ69,Fundamentus!A:U,17,FALSE)&lt;0.1,"Fraco retorno",IF(VLOOKUP(BQ69,Fundamentus!A:U,17,FALSE)&gt;0.1,"Bom retorno","n/a"))</f>
        <v>Bom retorno</v>
      </c>
      <c r="ET69" s="41" t="str">
        <f>IF(VLOOKUP(BQ69,Fundamentus!A:U,16,FALSE)&lt;0.1,"Ineficiente",IF(VLOOKUP(BQ69,Fundamentus!A:U,16,FALSE)&gt;0.1,"Eficiente","n/a"))</f>
        <v>Eficiente</v>
      </c>
      <c r="EU69" s="42" t="str">
        <f>IF(VLOOKUP(BQ69,Fundamentus!A:U,16,FALSE)&lt;0.1,"Oper. Ineficiente",IF(VLOOKUP(BQ69,Fundamentus!A:U,16,FALSE)&gt;0.1,"Oper.Eficiente","n/a"))</f>
        <v>Oper.Eficiente</v>
      </c>
      <c r="EV69" s="43">
        <f>VLOOKUP(BQ69,Fundamentus!A:U,14,FALSE)</f>
        <v>0.45929999999999999</v>
      </c>
      <c r="EW69" s="41" t="str">
        <f>IF(VLOOKUP(BQ69,Fundamentus!A:U,21,FALSE)&lt;0,"Negativo",IF(VLOOKUP(BQ69,Fundamentus!A:U,21,FALSE)&lt;0.05,"Fraco",IF(VLOOKUP(BQ69,Fundamentus!A:U,21,FALSE)&lt;0.1,"Bom",IF(VLOOKUP(BQ69,Fundamentus!A:U,21,FALSE)&gt;0.1,"Muito bom","n/a"))))</f>
        <v>Negativo</v>
      </c>
      <c r="EY69" s="44" t="str">
        <f>IF(VLOOKUP(BQ69,Fundamentus!A:U,15,FALSE)&gt;1,"Bom",IF(VLOOKUP(BQ69,Fundamentus!A:U,15,FALSE)&lt;1,"Ruim","n/a"))</f>
        <v>Bom</v>
      </c>
      <c r="EZ69" s="41" t="str">
        <f>IF(VLOOKUP(BQ69,Fundamentus!A:U,20,FALSE)&lt;0.5,"Baixa",IF(VLOOKUP(BQ69,Fundamentus!A:U,20,FALSE)&lt;1,"Moderada",IF(VLOOKUP(BQ69,Fundamentus!A:U,20,FALSE)&lt;2,"Alerta",IF(VLOOKUP(BQ69,Fundamentus!A:U,20,FALSE)&gt;2,"Alta","n/a"))))</f>
        <v>Alerta</v>
      </c>
    </row>
    <row r="70" spans="1:157" s="2" customFormat="1" ht="11.25" hidden="1" x14ac:dyDescent="0.2">
      <c r="A70" s="4">
        <v>4.71</v>
      </c>
      <c r="B70" s="4">
        <v>4.84</v>
      </c>
      <c r="C70" s="4">
        <v>4.84</v>
      </c>
      <c r="D70" s="4">
        <v>4.6399999999999997</v>
      </c>
      <c r="E70" s="4">
        <v>4.7</v>
      </c>
      <c r="F70" s="4">
        <v>4.71</v>
      </c>
      <c r="G70" s="4">
        <v>4.63</v>
      </c>
      <c r="H70" s="4">
        <v>4.6500000000000004</v>
      </c>
      <c r="I70" s="4">
        <v>4.8499999999999996</v>
      </c>
      <c r="J70" s="4">
        <v>5.15</v>
      </c>
      <c r="K70" s="4">
        <v>5.19</v>
      </c>
      <c r="L70" s="4">
        <v>5.05</v>
      </c>
      <c r="M70" s="4">
        <v>5.01</v>
      </c>
      <c r="N70" s="4">
        <v>4.78</v>
      </c>
      <c r="O70" s="4">
        <v>4.79</v>
      </c>
      <c r="P70" s="4">
        <v>4.66</v>
      </c>
      <c r="Q70" s="4">
        <v>4.8</v>
      </c>
      <c r="R70" s="4">
        <v>4.62</v>
      </c>
      <c r="S70" s="4">
        <v>4.6399999999999997</v>
      </c>
      <c r="T70" s="4">
        <v>4.8600000000000003</v>
      </c>
      <c r="U70" s="4">
        <v>4.9000000000000004</v>
      </c>
      <c r="V70" s="4">
        <v>4.84</v>
      </c>
      <c r="W70" s="4">
        <v>4.9400000000000004</v>
      </c>
      <c r="X70" s="4">
        <v>4.93</v>
      </c>
      <c r="Y70" s="4">
        <v>5.19</v>
      </c>
      <c r="Z70" s="4">
        <v>5.27</v>
      </c>
      <c r="AA70" s="4">
        <v>5.2</v>
      </c>
      <c r="AB70" s="4">
        <v>5.53</v>
      </c>
      <c r="AC70" s="4">
        <v>5.6</v>
      </c>
      <c r="AD70" s="4">
        <v>5.52</v>
      </c>
      <c r="AE70" s="4">
        <v>5.3</v>
      </c>
      <c r="AF70" s="4">
        <v>5.0199999999999996</v>
      </c>
      <c r="AG70" s="4">
        <v>4.87</v>
      </c>
      <c r="AH70" s="4">
        <v>4.34</v>
      </c>
      <c r="AI70" s="4">
        <v>4.4000000000000004</v>
      </c>
      <c r="AJ70" s="4">
        <v>4.22</v>
      </c>
      <c r="AK70" s="4">
        <v>4.32</v>
      </c>
      <c r="AL70" s="4">
        <v>4.88</v>
      </c>
      <c r="AM70" s="4">
        <v>5.16</v>
      </c>
      <c r="AN70" s="4">
        <v>5.31</v>
      </c>
      <c r="AO70" s="4">
        <v>5.26</v>
      </c>
      <c r="AP70" s="4">
        <v>5.49</v>
      </c>
      <c r="AQ70" s="4">
        <v>5.85</v>
      </c>
      <c r="AR70" s="4">
        <v>5.58</v>
      </c>
      <c r="AS70" s="4">
        <v>5.97</v>
      </c>
      <c r="AT70" s="4">
        <v>6.43</v>
      </c>
      <c r="AU70" s="4">
        <v>6.51</v>
      </c>
      <c r="AV70" s="4">
        <v>6.26</v>
      </c>
      <c r="AW70" s="4">
        <v>6.28</v>
      </c>
      <c r="AX70" s="4">
        <v>6.29</v>
      </c>
      <c r="AY70" s="12">
        <v>6.65</v>
      </c>
      <c r="AZ70" s="12">
        <v>7.02</v>
      </c>
      <c r="BA70" s="12">
        <v>6.96</v>
      </c>
      <c r="BB70" s="15">
        <v>7</v>
      </c>
      <c r="BC70" s="52">
        <v>7.13</v>
      </c>
      <c r="BD70" s="52">
        <v>7.17</v>
      </c>
      <c r="BE70" s="52">
        <v>7.79</v>
      </c>
      <c r="BF70" s="52">
        <v>7.8</v>
      </c>
      <c r="BG70" s="67">
        <v>7.64</v>
      </c>
      <c r="BH70" s="52">
        <v>7.78</v>
      </c>
      <c r="BI70" s="52">
        <v>7.2</v>
      </c>
      <c r="BJ70" s="52">
        <v>6.96</v>
      </c>
      <c r="BK70" s="52">
        <v>6.7</v>
      </c>
      <c r="BL70" s="52">
        <v>6.3</v>
      </c>
      <c r="BM70" s="52">
        <v>6.2</v>
      </c>
      <c r="BN70" s="52">
        <v>6.4</v>
      </c>
      <c r="BO70" s="52">
        <v>6.15</v>
      </c>
      <c r="BP70" s="52" cm="1">
        <f t="array" aca="1" ref="BP70" ca="1">_FV(ED70,"Preço")</f>
        <v>6.53</v>
      </c>
      <c r="BQ70" s="69" t="s">
        <v>117</v>
      </c>
      <c r="BR70" s="36" cm="1">
        <f t="array" aca="1" ref="BR70" ca="1">_FV(ED70,"Média de volume",TRUE)</f>
        <v>332130</v>
      </c>
      <c r="BS70" s="36">
        <v>635600</v>
      </c>
      <c r="BT70" s="36" cm="1">
        <f t="array" aca="1" ref="BT70" ca="1">_FV(ED70,"Volume")</f>
        <v>352800</v>
      </c>
      <c r="BU70" s="24" cm="1">
        <f t="array" aca="1" ref="BU70" ca="1">_FV(ED70,"Beta")</f>
        <v>1.5337000000000001</v>
      </c>
      <c r="BV70" s="71" cm="1">
        <f t="array" aca="1" ref="BV70" ca="1">_FV(ED70,"Variação (%)",TRUE)</f>
        <v>3.0719999999999996E-3</v>
      </c>
      <c r="BX70" s="17" cm="1">
        <f t="array" aca="1" ref="BX70" ca="1">_FV(ED70,"Baixo")</f>
        <v>6.5</v>
      </c>
      <c r="BY70" s="17" cm="1">
        <f t="array" aca="1" ref="BY70" ca="1">_FV(ED70,"Alto")</f>
        <v>6.75</v>
      </c>
      <c r="BZ70" s="24"/>
      <c r="CA70" s="60">
        <f ca="1">SQRT(22.5*(BP70/VLOOKUP(BQ70,Fundamentus!A:U,3,FALSE))*(BP70/VLOOKUP(BQ70,Fundamentus!A:U,4,FALSE)))</f>
        <v>13.820196095376794</v>
      </c>
      <c r="CC70" s="62">
        <f t="shared" ca="1" si="24"/>
        <v>6.1788617886178843E-2</v>
      </c>
      <c r="CD70" s="8"/>
      <c r="CE70" s="61">
        <f t="shared" si="25"/>
        <v>4.22</v>
      </c>
      <c r="CF70" s="61">
        <f t="shared" si="26"/>
        <v>7.8</v>
      </c>
      <c r="CG70" s="61">
        <f t="shared" si="27"/>
        <v>5.5914925373134308</v>
      </c>
      <c r="CH70" s="14"/>
      <c r="CI70" s="35">
        <f t="shared" ref="CI70:CI133" si="98">CJ70-DZ70*2</f>
        <v>5.8101282262076301</v>
      </c>
      <c r="CJ70" s="15">
        <f t="shared" si="28"/>
        <v>6.1999999999999886</v>
      </c>
      <c r="CK70" s="35">
        <f t="shared" ref="CK70:CK133" si="99">CJ70+DZ70*2</f>
        <v>6.5898717737923471</v>
      </c>
      <c r="CM70" s="14"/>
      <c r="CN70" s="17">
        <f t="shared" ref="CN70:CN133" si="100">CE70-2*(CF70-CQ70)</f>
        <v>0.73333333333333517</v>
      </c>
      <c r="CO70" s="17">
        <f t="shared" ref="CO70:CO133" si="101">CQ70-(CF70-CE70)</f>
        <v>2.4766666666666675</v>
      </c>
      <c r="CP70" s="17">
        <f t="shared" ref="CP70:CP133" si="102">2*CQ70-CF70</f>
        <v>4.3133333333333352</v>
      </c>
      <c r="CQ70" s="38">
        <f t="shared" si="29"/>
        <v>6.0566666666666675</v>
      </c>
      <c r="CR70" s="17">
        <f t="shared" ref="CR70:CR133" si="103">2*CQ70-CE70</f>
        <v>7.8933333333333353</v>
      </c>
      <c r="CS70" s="17">
        <f t="shared" ref="CS70:CS133" si="104">CQ70+(CF70-CE70)</f>
        <v>9.6366666666666667</v>
      </c>
      <c r="CT70" s="17">
        <f t="shared" ref="CT70:CT133" si="105">CF70+2*(CQ70-CE70)</f>
        <v>11.473333333333336</v>
      </c>
      <c r="CU70" s="2" cm="1">
        <f t="array" aca="1" ref="CU70" ca="1">MAX(_xlfn._xlws.FILTER(CN70:CT70,CN70:CT70&lt;BP70))</f>
        <v>6.0566666666666675</v>
      </c>
      <c r="CV70" s="2" cm="1">
        <f t="array" aca="1" ref="CV70" ca="1">MIN(_xlfn._xlws.FILTER($CN70:$CT70,$CN70:$CT70&gt;BP70))</f>
        <v>7.8933333333333353</v>
      </c>
      <c r="CW70" s="16">
        <f t="shared" ca="1" si="80"/>
        <v>0.30324711062190435</v>
      </c>
      <c r="CX70" s="20">
        <f t="shared" ca="1" si="81"/>
        <v>-0.15162355531095217</v>
      </c>
      <c r="CY70" s="20">
        <f t="shared" ca="1" si="82"/>
        <v>-0.10108237020730144</v>
      </c>
      <c r="CZ70" s="20">
        <f t="shared" ca="1" si="83"/>
        <v>-6.0649422124380868E-2</v>
      </c>
      <c r="DA70" s="20">
        <f t="shared" ca="1" si="84"/>
        <v>-3.3694123402433815E-2</v>
      </c>
      <c r="DB70" s="20">
        <f t="shared" ca="1" si="85"/>
        <v>-1.7838065330700256E-2</v>
      </c>
      <c r="DC70" s="20">
        <f t="shared" ca="1" si="86"/>
        <v>-9.1893063824819501E-3</v>
      </c>
      <c r="DD70" s="20">
        <f t="shared" ca="1" si="87"/>
        <v>-4.6653401634139131E-3</v>
      </c>
      <c r="DE70" s="21">
        <f t="shared" ca="1" si="88"/>
        <v>4.6653401634139131E-3</v>
      </c>
      <c r="DF70" s="21">
        <f t="shared" ca="1" si="89"/>
        <v>9.1893063824819501E-3</v>
      </c>
      <c r="DG70" s="21">
        <f t="shared" ca="1" si="90"/>
        <v>1.7838065330700256E-2</v>
      </c>
      <c r="DH70" s="21">
        <f t="shared" ca="1" si="91"/>
        <v>3.3694123402433815E-2</v>
      </c>
      <c r="DI70" s="21">
        <f t="shared" ca="1" si="92"/>
        <v>6.0649422124380868E-2</v>
      </c>
      <c r="DJ70" s="21">
        <f t="shared" ca="1" si="93"/>
        <v>0.10108237020730144</v>
      </c>
      <c r="DK70" s="21">
        <f t="shared" ca="1" si="94"/>
        <v>0.15162355531095217</v>
      </c>
      <c r="DM70" s="23" cm="1">
        <f t="array" aca="1" ref="DM70" ca="1">MAX(_xlfn._xlws.FILTER(CX70:DK70,CX70:DK70&lt;BV70))</f>
        <v>-4.6653401634139131E-3</v>
      </c>
      <c r="DN70" s="23" cm="1">
        <f t="array" aca="1" ref="DN70" ca="1">MIN(_xlfn._xlws.FILTER(CX70:DK70,CX70:DK70&gt;BV70))</f>
        <v>4.6653401634139131E-3</v>
      </c>
      <c r="DO70" s="2" cm="1">
        <f t="array" aca="1" ref="DO70" ca="1">_FV(ED70,"Fechamento anterior",TRUE)</f>
        <v>6.51</v>
      </c>
      <c r="DP70" s="28">
        <f t="shared" ref="DP70:DP133" ca="1" si="106">(BP70-DQ70)/(DR70-DQ70)</f>
        <v>0.82925751531220793</v>
      </c>
      <c r="DQ70" s="15">
        <f t="shared" ca="1" si="95"/>
        <v>6.4796286355361756</v>
      </c>
      <c r="DR70" s="15">
        <f t="shared" ca="1" si="96"/>
        <v>6.5403713644638239</v>
      </c>
      <c r="DS70" s="9"/>
      <c r="DT70" s="9"/>
      <c r="DU70" s="9"/>
      <c r="DV70" s="89">
        <v>2.6955298721947053E-2</v>
      </c>
      <c r="DW70" s="89">
        <f t="shared" ref="DW70:DW133" ca="1" si="107">DN70-DM70</f>
        <v>9.3306803268278261E-3</v>
      </c>
      <c r="DX70" s="72">
        <f t="shared" ref="DX70:DX133" ca="1" si="108">(BP70-CJ70)/(CJ70-CI70)</f>
        <v>0.84643214047028204</v>
      </c>
      <c r="DY70" s="37"/>
      <c r="DZ70" s="35">
        <f t="shared" si="39"/>
        <v>0.19493588689617924</v>
      </c>
      <c r="EA70" s="56"/>
      <c r="EB70" s="56"/>
      <c r="ED70" s="2" t="e" vm="70">
        <v>#VALUE!</v>
      </c>
      <c r="EF70" s="10" cm="1">
        <f t="array" aca="1" ref="EF70" ca="1">_FV(ED70,"Ações em circulação",TRUE)</f>
        <v>186617500</v>
      </c>
      <c r="EG70" s="18">
        <f>VLOOKUP(BQ70,Fundamentus!A:U,5,FALSE)</f>
        <v>0.89200000000000002</v>
      </c>
      <c r="EH70" s="2">
        <f t="shared" ref="EH70:EH133" ca="1" si="109">(BP70*EF70)/EG70</f>
        <v>1366157258.9686098</v>
      </c>
      <c r="EI70" s="17">
        <v>182576561.64517936</v>
      </c>
      <c r="EJ70" s="17">
        <f t="shared" ref="EJ70:EJ133" ca="1" si="110">EH70*EV70</f>
        <v>193857715.04764572</v>
      </c>
      <c r="EL70" s="16">
        <f t="shared" ca="1" si="97"/>
        <v>6.1788617886178843E-2</v>
      </c>
      <c r="EM70" s="32" t="str">
        <f>IF(VLOOKUP(BQ70,Fundamentus!A:U,3,FALSE)&lt;15,"Bom",IF(VLOOKUP(BQ70,Fundamentus!A:U,3,FALSE)&gt;15,"Ruim","n/a"))</f>
        <v>Bom</v>
      </c>
      <c r="EN70" s="55" t="str">
        <f>IF(VLOOKUP(BQ70,Fundamentus!A:U,4,FALSE)&lt;1,"Baixo",IF(VLOOKUP(BQ70,Fundamentus!A:U,4,FALSE)&lt;1.5,"Moderado",IF(VLOOKUP(BQ70,Fundamentus!A:U,4,FALSE)&gt;1.5,"Alto","n/a")))</f>
        <v>Baixo</v>
      </c>
      <c r="EO70" s="17" t="str">
        <f>IF(VLOOKUP(BQ70,Fundamentus!A:U,8,FALSE)&lt;0,"Risco elevado",IF(VLOOKUP(BQ70,Fundamentus!A:U,8,FALSE)&lt;1,"Saudável",IF(VLOOKUP(BQ70,Fundamentus!A:U,8,FALSE)&lt;3,"Estável",IF(VLOOKUP(BQ70,Fundamentus!A:U,8,FALSE)&gt;3,"Alerta","n/a"))))</f>
        <v>Saudável</v>
      </c>
      <c r="EP70" s="28" t="str">
        <f t="shared" ref="EP70:EP133" si="111">IF(EG70&gt;1,"Bom","Ruim")</f>
        <v>Ruim</v>
      </c>
      <c r="EQ70" s="17" t="str">
        <f>IF(VLOOKUP(BQ70,Fundamentus!A:U,12,FALSE)&lt;2,"Subvalorizada",IF(VLOOKUP(BQ70,Fundamentus!A:U,12,FALSE)&lt;6,"Muita barata",IF(VLOOKUP(BQ70,Fundamentus!A:U,12,FALSE)&lt;6,"Barata",IF(VLOOKUP(BQ70,Fundamentus!A:U,12,FALSE)&lt;8,"Atrativa",IF(VLOOKUP(BQ70,Fundamentus!A:U,12,FALSE)&gt;8,"Supervalorizada","n/a")))))</f>
        <v>Atrativa</v>
      </c>
      <c r="ES70" s="17" t="str">
        <f>IF(VLOOKUP(BQ70,Fundamentus!A:U,17,FALSE)&lt;0.1,"Fraco retorno",IF(VLOOKUP(BQ70,Fundamentus!A:U,17,FALSE)&gt;0.1,"Bom retorno","n/a"))</f>
        <v>Bom retorno</v>
      </c>
      <c r="ET70" s="53" t="str">
        <f>IF(VLOOKUP(BQ70,Fundamentus!A:U,16,FALSE)&lt;0.1,"Ineficiente",IF(VLOOKUP(BQ70,Fundamentus!A:U,16,FALSE)&gt;0.1,"Eficiente","n/a"))</f>
        <v>Ineficiente</v>
      </c>
      <c r="EU70" s="54" t="str">
        <f>IF(VLOOKUP(BQ70,Fundamentus!A:U,16,FALSE)&lt;0.1,"Oper. Ineficiente",IF(VLOOKUP(BQ70,Fundamentus!A:U,16,FALSE)&gt;0.1,"Oper.Eficiente","n/a"))</f>
        <v>Oper. Ineficiente</v>
      </c>
      <c r="EV70" s="34">
        <f>VLOOKUP(BQ70,Fundamentus!A:U,14,FALSE)</f>
        <v>0.1419</v>
      </c>
      <c r="EW70" s="17" t="str">
        <f>IF(VLOOKUP(BQ70,Fundamentus!A:U,21,FALSE)&lt;0,"Negativo",IF(VLOOKUP(BQ70,Fundamentus!A:U,21,FALSE)&lt;0.05,"Fraco",IF(VLOOKUP(BQ70,Fundamentus!A:U,21,FALSE)&lt;0.1,"Bom",IF(VLOOKUP(BQ70,Fundamentus!A:U,21,FALSE)&gt;0.1,"Muito bom","n/a"))))</f>
        <v>Muito bom</v>
      </c>
      <c r="EY70" s="29" t="str">
        <f>IF(VLOOKUP(BQ70,Fundamentus!A:U,15,FALSE)&gt;1,"Bom",IF(VLOOKUP(BQ70,Fundamentus!A:U,15,FALSE)&lt;1,"Ruim","n/a"))</f>
        <v>Bom</v>
      </c>
      <c r="EZ70" s="17" t="str">
        <f>IF(VLOOKUP(BQ70,Fundamentus!A:U,20,FALSE)&lt;0.5,"Baixa",IF(VLOOKUP(BQ70,Fundamentus!A:U,20,FALSE)&lt;1,"Moderada",IF(VLOOKUP(BQ70,Fundamentus!A:U,20,FALSE)&lt;2,"Alerta",IF(VLOOKUP(BQ70,Fundamentus!A:U,20,FALSE)&gt;2,"Alta","n/a"))))</f>
        <v>Moderada</v>
      </c>
      <c r="FA70" s="10"/>
    </row>
    <row r="71" spans="1:157" s="2" customFormat="1" ht="11.25" hidden="1" x14ac:dyDescent="0.2">
      <c r="A71" s="4">
        <v>26.12</v>
      </c>
      <c r="B71" s="4">
        <v>25.86</v>
      </c>
      <c r="C71" s="4">
        <v>25.74</v>
      </c>
      <c r="D71" s="4">
        <v>24.47</v>
      </c>
      <c r="E71" s="4">
        <v>24.16</v>
      </c>
      <c r="F71" s="4">
        <v>23.41</v>
      </c>
      <c r="G71" s="4">
        <v>23.29</v>
      </c>
      <c r="H71" s="4">
        <v>23.88</v>
      </c>
      <c r="I71" s="4">
        <v>24.44</v>
      </c>
      <c r="J71" s="4">
        <v>25.64</v>
      </c>
      <c r="K71" s="4">
        <v>25.99</v>
      </c>
      <c r="L71" s="4">
        <v>24.18</v>
      </c>
      <c r="M71" s="4">
        <v>24.82</v>
      </c>
      <c r="N71" s="4">
        <v>24.3</v>
      </c>
      <c r="O71" s="4">
        <v>24.98</v>
      </c>
      <c r="P71" s="4">
        <v>25</v>
      </c>
      <c r="Q71" s="4">
        <v>26.19</v>
      </c>
      <c r="R71" s="4">
        <v>26.25</v>
      </c>
      <c r="S71" s="4">
        <v>27.5</v>
      </c>
      <c r="T71" s="4">
        <v>28.25</v>
      </c>
      <c r="U71" s="4">
        <v>26.75</v>
      </c>
      <c r="V71" s="4">
        <v>26.85</v>
      </c>
      <c r="W71" s="4">
        <v>25.76</v>
      </c>
      <c r="X71" s="4">
        <v>26</v>
      </c>
      <c r="Y71" s="4">
        <v>27.76</v>
      </c>
      <c r="Z71" s="4">
        <v>29.05</v>
      </c>
      <c r="AA71" s="4">
        <v>29.36</v>
      </c>
      <c r="AB71" s="4">
        <v>31.09</v>
      </c>
      <c r="AC71" s="4">
        <v>31.32</v>
      </c>
      <c r="AD71" s="4">
        <v>31.35</v>
      </c>
      <c r="AE71" s="4">
        <v>30.6</v>
      </c>
      <c r="AF71" s="4">
        <v>31.71</v>
      </c>
      <c r="AG71" s="4">
        <v>31.11</v>
      </c>
      <c r="AH71" s="4">
        <v>29.45</v>
      </c>
      <c r="AI71" s="4">
        <v>29.4</v>
      </c>
      <c r="AJ71" s="4">
        <v>27.71</v>
      </c>
      <c r="AK71" s="4">
        <v>28.04</v>
      </c>
      <c r="AL71" s="4">
        <v>28.7</v>
      </c>
      <c r="AM71" s="4">
        <v>29.15</v>
      </c>
      <c r="AN71" s="4">
        <v>30.18</v>
      </c>
      <c r="AO71" s="4">
        <v>29.94</v>
      </c>
      <c r="AP71" s="4">
        <v>32.33</v>
      </c>
      <c r="AQ71" s="4">
        <v>33.01</v>
      </c>
      <c r="AR71" s="4">
        <v>32.299999999999997</v>
      </c>
      <c r="AS71" s="4">
        <v>33.729999999999997</v>
      </c>
      <c r="AT71" s="4">
        <v>34.49</v>
      </c>
      <c r="AU71" s="4">
        <v>35.049999999999997</v>
      </c>
      <c r="AV71" s="4">
        <v>33.39</v>
      </c>
      <c r="AW71" s="4">
        <v>33.89</v>
      </c>
      <c r="AX71" s="4">
        <v>34.14</v>
      </c>
      <c r="AY71" s="12">
        <v>34.909999999999997</v>
      </c>
      <c r="AZ71" s="12">
        <v>36.31</v>
      </c>
      <c r="BA71" s="12">
        <v>35.659999999999997</v>
      </c>
      <c r="BB71" s="15">
        <v>34.33</v>
      </c>
      <c r="BC71" s="52">
        <v>34.22</v>
      </c>
      <c r="BD71" s="52">
        <v>35.4</v>
      </c>
      <c r="BE71" s="52">
        <v>36.729999999999997</v>
      </c>
      <c r="BF71" s="52">
        <v>35.85</v>
      </c>
      <c r="BG71" s="67">
        <v>36.4</v>
      </c>
      <c r="BH71" s="52">
        <v>34.630000000000003</v>
      </c>
      <c r="BI71" s="52">
        <v>34.630000000000003</v>
      </c>
      <c r="BJ71" s="52">
        <v>36.72</v>
      </c>
      <c r="BK71" s="52">
        <v>35.340000000000003</v>
      </c>
      <c r="BL71" s="52">
        <v>33.82</v>
      </c>
      <c r="BM71" s="52">
        <v>34.450000000000003</v>
      </c>
      <c r="BN71" s="52">
        <v>37.229999999999997</v>
      </c>
      <c r="BO71" s="52">
        <v>36.1</v>
      </c>
      <c r="BP71" s="52" cm="1">
        <f t="array" aca="1" ref="BP71" ca="1">_FV(ED71,"Preço")</f>
        <v>36.44</v>
      </c>
      <c r="BQ71" s="69" t="s">
        <v>68</v>
      </c>
      <c r="BR71" s="36" cm="1">
        <f t="array" aca="1" ref="BR71" ca="1">_FV(ED71,"Média de volume",TRUE)</f>
        <v>265530</v>
      </c>
      <c r="BS71" s="36">
        <v>420400</v>
      </c>
      <c r="BT71" s="36" cm="1">
        <f t="array" aca="1" ref="BT71" ca="1">_FV(ED71,"Volume")</f>
        <v>241500</v>
      </c>
      <c r="BU71" s="24" cm="1">
        <f t="array" aca="1" ref="BU71" ca="1">_FV(ED71,"Beta")</f>
        <v>1.1415</v>
      </c>
      <c r="BV71" s="71" cm="1">
        <f t="array" aca="1" ref="BV71" ca="1">_FV(ED71,"Variação (%)",TRUE)</f>
        <v>2.5611999999999999E-2</v>
      </c>
      <c r="BX71" s="17" cm="1">
        <f t="array" aca="1" ref="BX71" ca="1">_FV(ED71,"Baixo")</f>
        <v>35.299999999999997</v>
      </c>
      <c r="BY71" s="17" cm="1">
        <f t="array" aca="1" ref="BY71" ca="1">_FV(ED71,"Alto")</f>
        <v>36.49</v>
      </c>
      <c r="BZ71" s="24"/>
      <c r="CA71" s="63">
        <f ca="1">SQRT(22.5*(BP71/VLOOKUP(BQ71,Fundamentus!A:U,3,FALSE))*(BP71/VLOOKUP(BQ71,Fundamentus!A:U,4,FALSE)))</f>
        <v>38.866965687478881</v>
      </c>
      <c r="CC71" s="62">
        <f t="shared" ref="CC71:CC134" ca="1" si="112">(BP71 - BO71) / BO71</f>
        <v>9.4182825484763512E-3</v>
      </c>
      <c r="CD71" s="8"/>
      <c r="CE71" s="61">
        <f t="shared" ref="CE71:CE134" si="113">MIN(A71:BO71)</f>
        <v>23.29</v>
      </c>
      <c r="CF71" s="61">
        <f t="shared" ref="CF71:CF134" si="114">MAX(A71:BO71)</f>
        <v>37.229999999999997</v>
      </c>
      <c r="CG71" s="61">
        <f t="shared" ref="CG71:CG134" si="115">AVERAGE(A71:BO71)</f>
        <v>30.161343283582102</v>
      </c>
      <c r="CH71" s="14"/>
      <c r="CI71" s="35">
        <f t="shared" si="98"/>
        <v>35.398229549790223</v>
      </c>
      <c r="CJ71" s="15">
        <f t="shared" ref="CJ71:CJ134" si="116">FORECAST("15/08/2025", BL71:BO71, $BL$5:$BO$5)</f>
        <v>37.804999999999382</v>
      </c>
      <c r="CK71" s="35">
        <f t="shared" si="99"/>
        <v>40.21177045020854</v>
      </c>
      <c r="CM71" s="14"/>
      <c r="CN71" s="17">
        <f t="shared" si="100"/>
        <v>13.243333333333347</v>
      </c>
      <c r="CO71" s="17">
        <f t="shared" si="101"/>
        <v>18.266666666666673</v>
      </c>
      <c r="CP71" s="17">
        <f t="shared" si="102"/>
        <v>27.183333333333344</v>
      </c>
      <c r="CQ71" s="38">
        <f t="shared" ref="CQ71:CQ134" si="117">(CF71+CE71+BO71)/3</f>
        <v>32.206666666666671</v>
      </c>
      <c r="CR71" s="17">
        <f t="shared" si="103"/>
        <v>41.123333333333342</v>
      </c>
      <c r="CS71" s="17">
        <f t="shared" si="104"/>
        <v>46.146666666666668</v>
      </c>
      <c r="CT71" s="17">
        <f t="shared" si="105"/>
        <v>55.06333333333334</v>
      </c>
      <c r="CU71" s="2" cm="1">
        <f t="array" aca="1" ref="CU71" ca="1">MAX(_xlfn._xlws.FILTER(CN71:CT71,CN71:CT71&lt;BP71))</f>
        <v>32.206666666666671</v>
      </c>
      <c r="CV71" s="2" cm="1">
        <f t="array" aca="1" ref="CV71" ca="1">MIN(_xlfn._xlws.FILTER($CN71:$CT71,$CN71:$CT71&gt;BP71))</f>
        <v>41.123333333333342</v>
      </c>
      <c r="CW71" s="16">
        <f t="shared" ca="1" si="80"/>
        <v>0.27685779341751204</v>
      </c>
      <c r="CX71" s="20">
        <f t="shared" ca="1" si="81"/>
        <v>-0.13842889670875602</v>
      </c>
      <c r="CY71" s="20">
        <f t="shared" ca="1" si="82"/>
        <v>-9.2285931139170677E-2</v>
      </c>
      <c r="CZ71" s="20">
        <f t="shared" ca="1" si="83"/>
        <v>-5.5371558683502409E-2</v>
      </c>
      <c r="DA71" s="20">
        <f t="shared" ca="1" si="84"/>
        <v>-3.0761977046390228E-2</v>
      </c>
      <c r="DB71" s="20">
        <f t="shared" ca="1" si="85"/>
        <v>-1.6285752553971296E-2</v>
      </c>
      <c r="DC71" s="20">
        <f t="shared" ca="1" si="86"/>
        <v>-8.3896301035609709E-3</v>
      </c>
      <c r="DD71" s="20">
        <f t="shared" ca="1" si="87"/>
        <v>-4.2593506679617235E-3</v>
      </c>
      <c r="DE71" s="21">
        <f t="shared" ca="1" si="88"/>
        <v>4.2593506679617235E-3</v>
      </c>
      <c r="DF71" s="21">
        <f t="shared" ca="1" si="89"/>
        <v>8.3896301035609709E-3</v>
      </c>
      <c r="DG71" s="21">
        <f t="shared" ca="1" si="90"/>
        <v>1.6285752553971296E-2</v>
      </c>
      <c r="DH71" s="21">
        <f t="shared" ca="1" si="91"/>
        <v>3.0761977046390228E-2</v>
      </c>
      <c r="DI71" s="21">
        <f t="shared" ca="1" si="92"/>
        <v>5.5371558683502409E-2</v>
      </c>
      <c r="DJ71" s="21">
        <f t="shared" ca="1" si="93"/>
        <v>9.2285931139170677E-2</v>
      </c>
      <c r="DK71" s="21">
        <f t="shared" ca="1" si="94"/>
        <v>0.13842889670875602</v>
      </c>
      <c r="DM71" s="16" cm="1">
        <f t="array" aca="1" ref="DM71" ca="1">MAX(_xlfn._xlws.FILTER(CX71:DK71,CX71:DK71&lt;BV71))</f>
        <v>1.6285752553971296E-2</v>
      </c>
      <c r="DN71" s="16" cm="1">
        <f t="array" aca="1" ref="DN71" ca="1">MIN(_xlfn._xlws.FILTER(CX71:DK71,CX71:DK71&gt;BV71))</f>
        <v>3.0761977046390228E-2</v>
      </c>
      <c r="DO71" s="2" cm="1">
        <f t="array" aca="1" ref="DO71" ca="1">_FV(ED71,"Fechamento anterior",TRUE)</f>
        <v>35.53</v>
      </c>
      <c r="DP71" s="28">
        <f t="shared" ca="1" si="106"/>
        <v>0.64425680812054487</v>
      </c>
      <c r="DQ71" s="15">
        <f t="shared" ca="1" si="95"/>
        <v>36.108632788242602</v>
      </c>
      <c r="DR71" s="15">
        <f t="shared" ca="1" si="96"/>
        <v>36.622973044458249</v>
      </c>
      <c r="DS71" s="9"/>
      <c r="DT71" s="9"/>
      <c r="DU71" s="9"/>
      <c r="DV71" s="89">
        <v>7.8961224504103256E-3</v>
      </c>
      <c r="DW71" s="89">
        <f t="shared" ca="1" si="107"/>
        <v>1.4476224492418931E-2</v>
      </c>
      <c r="DX71" s="72">
        <f t="shared" ca="1" si="108"/>
        <v>-0.56715005782157557</v>
      </c>
      <c r="DY71" s="37"/>
      <c r="DZ71" s="35">
        <f t="shared" ref="DZ71:DZ134" si="118">_xlfn.STDEV.P(BK71:BO71)</f>
        <v>1.2033852251045785</v>
      </c>
      <c r="EA71" s="56"/>
      <c r="EB71" s="56"/>
      <c r="ED71" s="2" t="e" vm="71">
        <v>#VALUE!</v>
      </c>
      <c r="EF71" s="10" cm="1">
        <f t="array" aca="1" ref="EF71" ca="1">_FV(ED71,"Ações em circulação",TRUE)</f>
        <v>66002920</v>
      </c>
      <c r="EG71" s="18">
        <f>VLOOKUP(BQ71,Fundamentus!A:U,5,FALSE)</f>
        <v>1.0720000000000001</v>
      </c>
      <c r="EH71" s="2">
        <f t="shared" ca="1" si="109"/>
        <v>2243606720.8955221</v>
      </c>
      <c r="EI71" s="17">
        <v>287391613.59291041</v>
      </c>
      <c r="EJ71" s="17">
        <f t="shared" ca="1" si="110"/>
        <v>290098349.01179099</v>
      </c>
      <c r="EL71" s="16">
        <f t="shared" ca="1" si="97"/>
        <v>9.41828254847632E-3</v>
      </c>
      <c r="EM71" s="45" t="str">
        <f>IF(VLOOKUP(BQ71,Fundamentus!A:U,3,FALSE)&lt;15,"Bom",IF(VLOOKUP(BQ71,Fundamentus!A:U,3,FALSE)&gt;15,"Ruim","n/a"))</f>
        <v>Bom</v>
      </c>
      <c r="EN71" s="46" t="str">
        <f>IF(VLOOKUP(BQ71,Fundamentus!A:U,4,FALSE)&lt;1,"Baixo",IF(VLOOKUP(BQ71,Fundamentus!A:U,4,FALSE)&lt;1.5,"Moderado",IF(VLOOKUP(BQ71,Fundamentus!A:U,4,FALSE)&gt;1.5,"Alto","n/a")))</f>
        <v>Alto</v>
      </c>
      <c r="EO71" s="30" t="str">
        <f>IF(VLOOKUP(BQ71,Fundamentus!A:U,8,FALSE)&lt;0,"Risco elevado",IF(VLOOKUP(BQ71,Fundamentus!A:U,8,FALSE)&lt;1,"Saudável",IF(VLOOKUP(BQ71,Fundamentus!A:U,8,FALSE)&lt;3,"Estável",IF(VLOOKUP(BQ71,Fundamentus!A:U,8,FALSE)&gt;3,"Alerta","n/a"))))</f>
        <v>Alerta</v>
      </c>
      <c r="EP71" s="46" t="str">
        <f t="shared" si="111"/>
        <v>Bom</v>
      </c>
      <c r="EQ71" s="30" t="str">
        <f>IF(VLOOKUP(BQ71,Fundamentus!A:U,12,FALSE)&lt;2,"Subvalorizada",IF(VLOOKUP(BQ71,Fundamentus!A:U,12,FALSE)&lt;6,"Muita barata",IF(VLOOKUP(BQ71,Fundamentus!A:U,12,FALSE)&lt;6,"Barata",IF(VLOOKUP(BQ71,Fundamentus!A:U,12,FALSE)&lt;8,"Atrativa",IF(VLOOKUP(BQ71,Fundamentus!A:U,12,FALSE)&gt;8,"Supervalorizada","n/a")))))</f>
        <v>Muita barata</v>
      </c>
      <c r="ES71" s="30" t="str">
        <f>IF(VLOOKUP(BQ71,Fundamentus!A:U,17,FALSE)&lt;0.1,"Fraco retorno",IF(VLOOKUP(BQ71,Fundamentus!A:U,17,FALSE)&gt;0.1,"Bom retorno","n/a"))</f>
        <v>Bom retorno</v>
      </c>
      <c r="ET71" s="30" t="str">
        <f>IF(VLOOKUP(BQ71,Fundamentus!A:U,16,FALSE)&lt;0.1,"Ineficiente",IF(VLOOKUP(BQ71,Fundamentus!A:U,16,FALSE)&gt;0.1,"Eficiente","n/a"))</f>
        <v>Eficiente</v>
      </c>
      <c r="EU71" s="49" t="str">
        <f>IF(VLOOKUP(BQ71,Fundamentus!A:U,16,FALSE)&lt;0.1,"Oper. Ineficiente",IF(VLOOKUP(BQ71,Fundamentus!A:U,16,FALSE)&gt;0.1,"Oper.Eficiente","n/a"))</f>
        <v>Oper.Eficiente</v>
      </c>
      <c r="EV71" s="48">
        <f>VLOOKUP(BQ71,Fundamentus!A:U,14,FALSE)</f>
        <v>0.1293</v>
      </c>
      <c r="EW71" s="30" t="str">
        <f>IF(VLOOKUP(BQ71,Fundamentus!A:U,21,FALSE)&lt;0,"Negativo",IF(VLOOKUP(BQ71,Fundamentus!A:U,21,FALSE)&lt;0.05,"Fraco",IF(VLOOKUP(BQ71,Fundamentus!A:U,21,FALSE)&lt;0.1,"Bom",IF(VLOOKUP(BQ71,Fundamentus!A:U,21,FALSE)&gt;0.1,"Muito bom","n/a"))))</f>
        <v>Muito bom</v>
      </c>
      <c r="EY71" s="31" t="str">
        <f>IF(VLOOKUP(BQ71,Fundamentus!A:U,15,FALSE)&gt;1,"Bom",IF(VLOOKUP(BQ71,Fundamentus!A:U,15,FALSE)&lt;1,"Ruim","n/a"))</f>
        <v>Bom</v>
      </c>
      <c r="EZ71" s="30" t="str">
        <f>IF(VLOOKUP(BQ71,Fundamentus!A:U,20,FALSE)&lt;0.5,"Baixa",IF(VLOOKUP(BQ71,Fundamentus!A:U,20,FALSE)&lt;1,"Moderada",IF(VLOOKUP(BQ71,Fundamentus!A:U,20,FALSE)&lt;2,"Alerta",IF(VLOOKUP(BQ71,Fundamentus!A:U,20,FALSE)&gt;2,"Alta","n/a"))))</f>
        <v>Baixa</v>
      </c>
      <c r="FA71" s="10"/>
    </row>
    <row r="72" spans="1:157" s="2" customFormat="1" ht="11.25" hidden="1" x14ac:dyDescent="0.2">
      <c r="A72" s="4">
        <v>6.85</v>
      </c>
      <c r="B72" s="4">
        <v>6.92</v>
      </c>
      <c r="C72" s="4">
        <v>6.85</v>
      </c>
      <c r="D72" s="4">
        <v>6.86</v>
      </c>
      <c r="E72" s="4">
        <v>6.82</v>
      </c>
      <c r="F72" s="4">
        <v>6.7</v>
      </c>
      <c r="G72" s="4">
        <v>6.71</v>
      </c>
      <c r="H72" s="4">
        <v>6.67</v>
      </c>
      <c r="I72" s="4">
        <v>6.64</v>
      </c>
      <c r="J72" s="4">
        <v>6.98</v>
      </c>
      <c r="K72" s="4">
        <v>6.99</v>
      </c>
      <c r="L72" s="4">
        <v>6.91</v>
      </c>
      <c r="M72" s="4">
        <v>6.95</v>
      </c>
      <c r="N72" s="4">
        <v>6.97</v>
      </c>
      <c r="O72" s="4">
        <v>6.85</v>
      </c>
      <c r="P72" s="4">
        <v>6.82</v>
      </c>
      <c r="Q72" s="4">
        <v>6.95</v>
      </c>
      <c r="R72" s="4">
        <v>7</v>
      </c>
      <c r="S72" s="4">
        <v>6.97</v>
      </c>
      <c r="T72" s="4">
        <v>6.92</v>
      </c>
      <c r="U72" s="4">
        <v>6.97</v>
      </c>
      <c r="V72" s="4">
        <v>6.87</v>
      </c>
      <c r="W72" s="4">
        <v>6.93</v>
      </c>
      <c r="X72" s="4">
        <v>6.87</v>
      </c>
      <c r="Y72" s="4">
        <v>6.91</v>
      </c>
      <c r="Z72" s="4">
        <v>6.74</v>
      </c>
      <c r="AA72" s="4">
        <v>6.83</v>
      </c>
      <c r="AB72" s="4">
        <v>6.79</v>
      </c>
      <c r="AC72" s="4">
        <v>6.71</v>
      </c>
      <c r="AD72" s="4">
        <v>6.56</v>
      </c>
      <c r="AE72" s="4">
        <v>6.57</v>
      </c>
      <c r="AF72" s="4">
        <v>6.46</v>
      </c>
      <c r="AG72" s="4">
        <v>6.39</v>
      </c>
      <c r="AH72" s="4">
        <v>6.24</v>
      </c>
      <c r="AI72" s="4">
        <v>6.27</v>
      </c>
      <c r="AJ72" s="4">
        <v>6.28</v>
      </c>
      <c r="AK72" s="4">
        <v>6.27</v>
      </c>
      <c r="AL72" s="4">
        <v>6.33</v>
      </c>
      <c r="AM72" s="4">
        <v>6.32</v>
      </c>
      <c r="AN72" s="4">
        <v>6.57</v>
      </c>
      <c r="AO72" s="4">
        <v>6.38</v>
      </c>
      <c r="AP72" s="4">
        <v>6.4</v>
      </c>
      <c r="AQ72" s="4">
        <v>6.65</v>
      </c>
      <c r="AR72" s="4">
        <v>6.51</v>
      </c>
      <c r="AS72" s="4">
        <v>6.53</v>
      </c>
      <c r="AT72" s="4">
        <v>6.59</v>
      </c>
      <c r="AU72" s="4">
        <v>6.67</v>
      </c>
      <c r="AV72" s="4">
        <v>6.7</v>
      </c>
      <c r="AW72" s="4">
        <v>6.66</v>
      </c>
      <c r="AX72" s="4">
        <v>6.46</v>
      </c>
      <c r="AY72" s="12">
        <v>6.5</v>
      </c>
      <c r="AZ72" s="12">
        <v>6.5</v>
      </c>
      <c r="BA72" s="12">
        <v>6.52</v>
      </c>
      <c r="BB72" s="15">
        <v>6.51</v>
      </c>
      <c r="BC72" s="52">
        <v>6.66</v>
      </c>
      <c r="BD72" s="52">
        <v>6.65</v>
      </c>
      <c r="BE72" s="52">
        <v>6.8</v>
      </c>
      <c r="BF72" s="52">
        <v>6.79</v>
      </c>
      <c r="BG72" s="67">
        <v>6.82</v>
      </c>
      <c r="BH72" s="52">
        <v>6.77</v>
      </c>
      <c r="BI72" s="52">
        <v>6.63</v>
      </c>
      <c r="BJ72" s="52">
        <v>6.7</v>
      </c>
      <c r="BK72" s="52">
        <v>6.61</v>
      </c>
      <c r="BL72" s="52">
        <v>6.55</v>
      </c>
      <c r="BM72" s="52">
        <v>6.54</v>
      </c>
      <c r="BN72" s="52">
        <v>6.28</v>
      </c>
      <c r="BO72" s="52">
        <v>6.59</v>
      </c>
      <c r="BP72" s="52" cm="1">
        <f t="array" aca="1" ref="BP72" ca="1">_FV(ED72,"Preço")</f>
        <v>6.61</v>
      </c>
      <c r="BQ72" s="69" t="s">
        <v>69</v>
      </c>
      <c r="BR72" s="36" cm="1">
        <f t="array" aca="1" ref="BR72" ca="1">_FV(ED72,"Média de volume",TRUE)</f>
        <v>2790</v>
      </c>
      <c r="BS72" s="36">
        <v>7500</v>
      </c>
      <c r="BT72" s="36" cm="1">
        <f t="array" aca="1" ref="BT72" ca="1">_FV(ED72,"Volume")</f>
        <v>900</v>
      </c>
      <c r="BU72" s="24" cm="1">
        <f t="array" aca="1" ref="BU72" ca="1">_FV(ED72,"Beta")</f>
        <v>0.23419999999999999</v>
      </c>
      <c r="BV72" s="71" cm="1">
        <f t="array" aca="1" ref="BV72" ca="1">_FV(ED72,"Variação (%)",TRUE)</f>
        <v>2.6398000000000001E-2</v>
      </c>
      <c r="BX72" s="17" cm="1">
        <f t="array" aca="1" ref="BX72" ca="1">_FV(ED72,"Baixo")</f>
        <v>6.55</v>
      </c>
      <c r="BY72" s="17" cm="1">
        <f t="array" aca="1" ref="BY72" ca="1">_FV(ED72,"Alto")</f>
        <v>6.61</v>
      </c>
      <c r="BZ72" s="24"/>
      <c r="CA72" s="63">
        <f ca="1">SQRT(22.5*(BP72/VLOOKUP(BQ72,Fundamentus!A:U,3,FALSE))*(BP72/VLOOKUP(BQ72,Fundamentus!A:U,4,FALSE)))</f>
        <v>5.4536914260144753</v>
      </c>
      <c r="CC72" s="62">
        <f t="shared" ca="1" si="112"/>
        <v>3.0349013657056849E-3</v>
      </c>
      <c r="CD72" s="8"/>
      <c r="CE72" s="61">
        <f t="shared" si="113"/>
        <v>6.24</v>
      </c>
      <c r="CF72" s="61">
        <f t="shared" si="114"/>
        <v>7</v>
      </c>
      <c r="CG72" s="61">
        <f t="shared" si="115"/>
        <v>6.6743283582089532</v>
      </c>
      <c r="CH72" s="14"/>
      <c r="CI72" s="35">
        <f t="shared" si="98"/>
        <v>6.2154671212547061</v>
      </c>
      <c r="CJ72" s="15">
        <f t="shared" si="116"/>
        <v>6.4549999999999841</v>
      </c>
      <c r="CK72" s="35">
        <f t="shared" si="99"/>
        <v>6.694532878745262</v>
      </c>
      <c r="CM72" s="14"/>
      <c r="CN72" s="17">
        <f t="shared" si="100"/>
        <v>5.4599999999999991</v>
      </c>
      <c r="CO72" s="17">
        <f t="shared" si="101"/>
        <v>5.85</v>
      </c>
      <c r="CP72" s="17">
        <f t="shared" si="102"/>
        <v>6.2199999999999989</v>
      </c>
      <c r="CQ72" s="38">
        <f t="shared" si="117"/>
        <v>6.6099999999999994</v>
      </c>
      <c r="CR72" s="17">
        <f t="shared" si="103"/>
        <v>6.9799999999999986</v>
      </c>
      <c r="CS72" s="17">
        <f t="shared" si="104"/>
        <v>7.3699999999999992</v>
      </c>
      <c r="CT72" s="17">
        <f t="shared" si="105"/>
        <v>7.7399999999999984</v>
      </c>
      <c r="CU72" s="2" cm="1">
        <f t="array" aca="1" ref="CU72" ca="1">MAX(_xlfn._xlws.FILTER(CN72:CT72,CN72:CT72&lt;BP72))</f>
        <v>6.2199999999999989</v>
      </c>
      <c r="CV72" s="2" cm="1">
        <f t="array" aca="1" ref="CV72" ca="1">MIN(_xlfn._xlws.FILTER($CN72:$CT72,$CN72:$CT72&gt;BP72))</f>
        <v>6.9799999999999986</v>
      </c>
      <c r="CW72" s="16">
        <f t="shared" ca="1" si="80"/>
        <v>0.12218649517684876</v>
      </c>
      <c r="CX72" s="20">
        <f t="shared" ca="1" si="81"/>
        <v>-6.1093247588424382E-2</v>
      </c>
      <c r="CY72" s="20">
        <f t="shared" ca="1" si="82"/>
        <v>-4.0728831725616255E-2</v>
      </c>
      <c r="CZ72" s="20">
        <f t="shared" ca="1" si="83"/>
        <v>-2.4437299035369751E-2</v>
      </c>
      <c r="DA72" s="20">
        <f t="shared" ca="1" si="84"/>
        <v>-1.3576277241872084E-2</v>
      </c>
      <c r="DB72" s="20">
        <f t="shared" ca="1" si="85"/>
        <v>-7.1874408927558101E-3</v>
      </c>
      <c r="DC72" s="20">
        <f t="shared" ca="1" si="86"/>
        <v>-3.7026210659651141E-3</v>
      </c>
      <c r="DD72" s="20">
        <f t="shared" ca="1" si="87"/>
        <v>-1.879792233489981E-3</v>
      </c>
      <c r="DE72" s="21">
        <f t="shared" ca="1" si="88"/>
        <v>1.879792233489981E-3</v>
      </c>
      <c r="DF72" s="21">
        <f t="shared" ca="1" si="89"/>
        <v>3.7026210659651141E-3</v>
      </c>
      <c r="DG72" s="21">
        <f t="shared" ca="1" si="90"/>
        <v>7.1874408927558101E-3</v>
      </c>
      <c r="DH72" s="21">
        <f t="shared" ca="1" si="91"/>
        <v>1.3576277241872084E-2</v>
      </c>
      <c r="DI72" s="21">
        <f t="shared" ca="1" si="92"/>
        <v>2.4437299035369751E-2</v>
      </c>
      <c r="DJ72" s="21">
        <f t="shared" ca="1" si="93"/>
        <v>4.0728831725616255E-2</v>
      </c>
      <c r="DK72" s="21">
        <f t="shared" ca="1" si="94"/>
        <v>6.1093247588424382E-2</v>
      </c>
      <c r="DM72" s="16" cm="1">
        <f t="array" aca="1" ref="DM72" ca="1">MAX(_xlfn._xlws.FILTER(CX72:DK72,CX72:DK72&lt;BV72))</f>
        <v>2.4437299035369751E-2</v>
      </c>
      <c r="DN72" s="16" cm="1">
        <f t="array" aca="1" ref="DN72" ca="1">MIN(_xlfn._xlws.FILTER(CX72:DK72,CX72:DK72&gt;BV72))</f>
        <v>4.0728831725616255E-2</v>
      </c>
      <c r="DO72" s="2" cm="1">
        <f t="array" aca="1" ref="DO72" ca="1">_FV(ED72,"Fechamento anterior",TRUE)</f>
        <v>6.44</v>
      </c>
      <c r="DP72" s="28">
        <f t="shared" ca="1" si="106"/>
        <v>0.12032118339326255</v>
      </c>
      <c r="DQ72" s="15">
        <f t="shared" ca="1" si="95"/>
        <v>6.5973762057877821</v>
      </c>
      <c r="DR72" s="15">
        <f t="shared" ca="1" si="96"/>
        <v>6.7022936763129692</v>
      </c>
      <c r="DS72" s="9"/>
      <c r="DT72" s="9"/>
      <c r="DU72" s="9"/>
      <c r="DV72" s="89" t="e" vm="5">
        <v>#VALUE!</v>
      </c>
      <c r="DW72" s="89">
        <f t="shared" ca="1" si="107"/>
        <v>1.6291532690246503E-2</v>
      </c>
      <c r="DX72" s="72">
        <f t="shared" ca="1" si="108"/>
        <v>0.64709279499306249</v>
      </c>
      <c r="DY72" s="37"/>
      <c r="DZ72" s="35">
        <f t="shared" si="118"/>
        <v>0.11976643937263888</v>
      </c>
      <c r="EA72" s="56"/>
      <c r="EB72" s="56"/>
      <c r="ED72" s="2" t="e" vm="72">
        <v>#VALUE!</v>
      </c>
      <c r="EF72" s="10" cm="1">
        <f t="array" aca="1" ref="EF72" ca="1">_FV(ED72,"Ações em circulação",TRUE)</f>
        <v>2110323000</v>
      </c>
      <c r="EG72" s="18">
        <f>VLOOKUP(BQ72,Fundamentus!A:U,5,FALSE)</f>
        <v>0.747</v>
      </c>
      <c r="EH72" s="2">
        <f t="shared" ca="1" si="109"/>
        <v>18673674738.955822</v>
      </c>
      <c r="EI72" s="17">
        <v>1872887649.4538152</v>
      </c>
      <c r="EJ72" s="17">
        <f t="shared" ca="1" si="110"/>
        <v>1878571678.7389555</v>
      </c>
      <c r="EL72" s="16">
        <f t="shared" ca="1" si="97"/>
        <v>3.0349013657053892E-3</v>
      </c>
      <c r="EM72" s="32" t="str">
        <f>IF(VLOOKUP(BQ72,Fundamentus!A:U,3,FALSE)&lt;15,"Bom",IF(VLOOKUP(BQ72,Fundamentus!A:U,3,FALSE)&gt;15,"Ruim","n/a"))</f>
        <v>Bom</v>
      </c>
      <c r="EN72" s="28" t="str">
        <f>IF(VLOOKUP(BQ72,Fundamentus!A:U,4,FALSE)&lt;1,"Baixo",IF(VLOOKUP(BQ72,Fundamentus!A:U,4,FALSE)&lt;1.5,"Moderado",IF(VLOOKUP(BQ72,Fundamentus!A:U,4,FALSE)&gt;1.5,"Alto","n/a")))</f>
        <v>Alto</v>
      </c>
      <c r="EO72" s="17" t="str">
        <f>IF(VLOOKUP(BQ72,Fundamentus!A:U,8,FALSE)&lt;0,"Risco elevado",IF(VLOOKUP(BQ72,Fundamentus!A:U,8,FALSE)&lt;1,"Saudável",IF(VLOOKUP(BQ72,Fundamentus!A:U,8,FALSE)&lt;3,"Estável",IF(VLOOKUP(BQ72,Fundamentus!A:U,8,FALSE)&gt;3,"Alerta","n/a"))))</f>
        <v>Alerta</v>
      </c>
      <c r="EP72" s="28" t="str">
        <f t="shared" si="111"/>
        <v>Ruim</v>
      </c>
      <c r="EQ72" s="17" t="str">
        <f>IF(VLOOKUP(BQ72,Fundamentus!A:U,12,FALSE)&lt;2,"Subvalorizada",IF(VLOOKUP(BQ72,Fundamentus!A:U,12,FALSE)&lt;6,"Muita barata",IF(VLOOKUP(BQ72,Fundamentus!A:U,12,FALSE)&lt;6,"Barata",IF(VLOOKUP(BQ72,Fundamentus!A:U,12,FALSE)&lt;8,"Atrativa",IF(VLOOKUP(BQ72,Fundamentus!A:U,12,FALSE)&gt;8,"Supervalorizada","n/a")))))</f>
        <v>Atrativa</v>
      </c>
      <c r="ES72" s="17" t="str">
        <f>IF(VLOOKUP(BQ72,Fundamentus!A:U,17,FALSE)&lt;0.1,"Fraco retorno",IF(VLOOKUP(BQ72,Fundamentus!A:U,17,FALSE)&gt;0.1,"Bom retorno","n/a"))</f>
        <v>Bom retorno</v>
      </c>
      <c r="ET72" s="17" t="str">
        <f>IF(VLOOKUP(BQ72,Fundamentus!A:U,16,FALSE)&lt;0.1,"Ineficiente",IF(VLOOKUP(BQ72,Fundamentus!A:U,16,FALSE)&gt;0.1,"Eficiente","n/a"))</f>
        <v>Eficiente</v>
      </c>
      <c r="EU72" s="33" t="str">
        <f>IF(VLOOKUP(BQ72,Fundamentus!A:U,16,FALSE)&lt;0.1,"Oper. Ineficiente",IF(VLOOKUP(BQ72,Fundamentus!A:U,16,FALSE)&gt;0.1,"Oper.Eficiente","n/a"))</f>
        <v>Oper.Eficiente</v>
      </c>
      <c r="EV72" s="34">
        <f>VLOOKUP(BQ72,Fundamentus!A:U,14,FALSE)</f>
        <v>0.10059999999999999</v>
      </c>
      <c r="EW72" s="17" t="str">
        <f>IF(VLOOKUP(BQ72,Fundamentus!A:U,21,FALSE)&lt;0,"Negativo",IF(VLOOKUP(BQ72,Fundamentus!A:U,21,FALSE)&lt;0.05,"Fraco",IF(VLOOKUP(BQ72,Fundamentus!A:U,21,FALSE)&lt;0.1,"Bom",IF(VLOOKUP(BQ72,Fundamentus!A:U,21,FALSE)&gt;0.1,"Muito bom","n/a"))))</f>
        <v>Bom</v>
      </c>
      <c r="EY72" s="29" t="str">
        <f>IF(VLOOKUP(BQ72,Fundamentus!A:U,15,FALSE)&gt;1,"Bom",IF(VLOOKUP(BQ72,Fundamentus!A:U,15,FALSE)&lt;1,"Ruim","n/a"))</f>
        <v>Bom</v>
      </c>
      <c r="EZ72" s="17" t="str">
        <f>IF(VLOOKUP(BQ72,Fundamentus!A:U,20,FALSE)&lt;0.5,"Baixa",IF(VLOOKUP(BQ72,Fundamentus!A:U,20,FALSE)&lt;1,"Moderada",IF(VLOOKUP(BQ72,Fundamentus!A:U,20,FALSE)&lt;2,"Alerta",IF(VLOOKUP(BQ72,Fundamentus!A:U,20,FALSE)&gt;2,"Alta","n/a"))))</f>
        <v>Alta</v>
      </c>
      <c r="FA72" s="10"/>
    </row>
    <row r="73" spans="1:157" s="2" customFormat="1" ht="11.25" hidden="1" x14ac:dyDescent="0.2">
      <c r="A73" s="4">
        <v>1.1399999999999999</v>
      </c>
      <c r="B73" s="4">
        <v>1.08</v>
      </c>
      <c r="C73" s="4">
        <v>1.03</v>
      </c>
      <c r="D73" s="4">
        <v>0.98</v>
      </c>
      <c r="E73" s="4">
        <v>0.99</v>
      </c>
      <c r="F73" s="4">
        <v>0.98</v>
      </c>
      <c r="G73" s="4">
        <v>0.95</v>
      </c>
      <c r="H73" s="4">
        <v>0.95</v>
      </c>
      <c r="I73" s="4">
        <v>0.91</v>
      </c>
      <c r="J73" s="4">
        <v>0.92</v>
      </c>
      <c r="K73" s="4">
        <v>0.9</v>
      </c>
      <c r="L73" s="4">
        <v>0.91</v>
      </c>
      <c r="M73" s="4">
        <v>0.89</v>
      </c>
      <c r="N73" s="4">
        <v>0.89</v>
      </c>
      <c r="O73" s="4">
        <v>0.84</v>
      </c>
      <c r="P73" s="4">
        <v>0.97</v>
      </c>
      <c r="Q73" s="4">
        <v>1.02</v>
      </c>
      <c r="R73" s="4">
        <v>1.02</v>
      </c>
      <c r="S73" s="4">
        <v>1.07</v>
      </c>
      <c r="T73" s="4">
        <v>1</v>
      </c>
      <c r="U73" s="4">
        <v>0.98</v>
      </c>
      <c r="V73" s="4">
        <v>1.1200000000000001</v>
      </c>
      <c r="W73" s="4">
        <v>1.04</v>
      </c>
      <c r="X73" s="4">
        <v>1.1000000000000001</v>
      </c>
      <c r="Y73" s="4">
        <v>1.17</v>
      </c>
      <c r="Z73" s="4">
        <v>1.17</v>
      </c>
      <c r="AA73" s="4">
        <v>1.04</v>
      </c>
      <c r="AB73" s="4">
        <v>1.08</v>
      </c>
      <c r="AC73" s="4">
        <v>0.99</v>
      </c>
      <c r="AD73" s="4">
        <v>0.99</v>
      </c>
      <c r="AE73" s="4">
        <v>0.99</v>
      </c>
      <c r="AF73" s="4">
        <v>0.98</v>
      </c>
      <c r="AG73" s="4">
        <v>0.94</v>
      </c>
      <c r="AH73" s="4">
        <v>0.98</v>
      </c>
      <c r="AI73" s="4">
        <v>0.96</v>
      </c>
      <c r="AJ73" s="4">
        <v>0.96</v>
      </c>
      <c r="AK73" s="4">
        <v>0.97</v>
      </c>
      <c r="AL73" s="4">
        <v>0.91</v>
      </c>
      <c r="AM73" s="4">
        <v>0.91</v>
      </c>
      <c r="AN73" s="4">
        <v>0.96</v>
      </c>
      <c r="AO73" s="4">
        <v>1.05</v>
      </c>
      <c r="AP73" s="4">
        <v>0.97</v>
      </c>
      <c r="AQ73" s="4">
        <v>0.89</v>
      </c>
      <c r="AR73" s="4">
        <v>0.84</v>
      </c>
      <c r="AS73" s="4">
        <v>0.89</v>
      </c>
      <c r="AT73" s="4">
        <v>0.86</v>
      </c>
      <c r="AU73" s="4">
        <v>0.94500000000000006</v>
      </c>
      <c r="AV73" s="4">
        <v>1.01</v>
      </c>
      <c r="AW73" s="4">
        <v>0.93</v>
      </c>
      <c r="AX73" s="4">
        <v>0.86</v>
      </c>
      <c r="AY73" s="12">
        <v>0.86</v>
      </c>
      <c r="AZ73" s="12">
        <v>0.86</v>
      </c>
      <c r="BA73" s="12">
        <v>0.84</v>
      </c>
      <c r="BB73" s="15">
        <v>0.89</v>
      </c>
      <c r="BC73" s="52">
        <v>0.94</v>
      </c>
      <c r="BD73" s="52">
        <v>0.85</v>
      </c>
      <c r="BE73" s="52">
        <v>0.85</v>
      </c>
      <c r="BF73" s="52">
        <v>1.3</v>
      </c>
      <c r="BG73" s="67">
        <v>1.1599999999999999</v>
      </c>
      <c r="BH73" s="52">
        <v>1.1200000000000001</v>
      </c>
      <c r="BI73" s="52">
        <v>0.91</v>
      </c>
      <c r="BJ73" s="52">
        <v>0.97</v>
      </c>
      <c r="BK73" s="52">
        <v>0.98</v>
      </c>
      <c r="BL73" s="52">
        <v>1.4</v>
      </c>
      <c r="BM73" s="52">
        <v>1.21</v>
      </c>
      <c r="BN73" s="52">
        <v>1.21</v>
      </c>
      <c r="BO73" s="52">
        <v>1.04</v>
      </c>
      <c r="BP73" s="52" cm="1">
        <f t="array" aca="1" ref="BP73" ca="1">_FV(ED73,"Preço")</f>
        <v>1.04</v>
      </c>
      <c r="BQ73" s="69" t="s">
        <v>70</v>
      </c>
      <c r="BR73" s="36" cm="1">
        <f t="array" aca="1" ref="BR73" ca="1">_FV(ED73,"Média de volume",TRUE)</f>
        <v>36900</v>
      </c>
      <c r="BS73" s="36">
        <v>17100</v>
      </c>
      <c r="BT73" s="36" cm="1">
        <f t="array" aca="1" ref="BT73" ca="1">_FV(ED73,"Volume")</f>
        <v>17700</v>
      </c>
      <c r="BU73" s="24" cm="1">
        <f t="array" aca="1" ref="BU73" ca="1">_FV(ED73,"Beta")</f>
        <v>1.2154</v>
      </c>
      <c r="BV73" s="71" cm="1">
        <f t="array" aca="1" ref="BV73" ca="1">_FV(ED73,"Variação (%)",TRUE)</f>
        <v>0</v>
      </c>
      <c r="BX73" s="17" cm="1">
        <f t="array" aca="1" ref="BX73" ca="1">_FV(ED73,"Baixo")</f>
        <v>1.02</v>
      </c>
      <c r="BY73" s="17" cm="1">
        <f t="array" aca="1" ref="BY73" ca="1">_FV(ED73,"Alto")</f>
        <v>1.06</v>
      </c>
      <c r="BZ73" s="24"/>
      <c r="CA73" s="63" t="e">
        <f ca="1">SQRT(22.5*(BP73/VLOOKUP(BQ73,Fundamentus!A:U,3,FALSE))*(BP73/VLOOKUP(BQ73,Fundamentus!A:U,4,FALSE)))</f>
        <v>#NUM!</v>
      </c>
      <c r="CC73" s="62">
        <f t="shared" ca="1" si="112"/>
        <v>0</v>
      </c>
      <c r="CD73" s="8"/>
      <c r="CE73" s="61">
        <f t="shared" si="113"/>
        <v>0.84</v>
      </c>
      <c r="CF73" s="61">
        <f t="shared" si="114"/>
        <v>1.4</v>
      </c>
      <c r="CG73" s="61">
        <f t="shared" si="115"/>
        <v>0.9897761194029846</v>
      </c>
      <c r="CH73" s="14"/>
      <c r="CI73" s="35">
        <f t="shared" si="98"/>
        <v>0.64959519299785984</v>
      </c>
      <c r="CJ73" s="15">
        <f t="shared" si="116"/>
        <v>0.94500000000005002</v>
      </c>
      <c r="CK73" s="35">
        <f t="shared" si="99"/>
        <v>1.2404048070022402</v>
      </c>
      <c r="CM73" s="14"/>
      <c r="CN73" s="17">
        <f t="shared" si="100"/>
        <v>0.22666666666666668</v>
      </c>
      <c r="CO73" s="17">
        <f t="shared" si="101"/>
        <v>0.53333333333333333</v>
      </c>
      <c r="CP73" s="17">
        <f t="shared" si="102"/>
        <v>0.78666666666666663</v>
      </c>
      <c r="CQ73" s="38">
        <f t="shared" si="117"/>
        <v>1.0933333333333333</v>
      </c>
      <c r="CR73" s="17">
        <f t="shared" si="103"/>
        <v>1.3466666666666667</v>
      </c>
      <c r="CS73" s="17">
        <f t="shared" si="104"/>
        <v>1.6533333333333333</v>
      </c>
      <c r="CT73" s="17">
        <f t="shared" si="105"/>
        <v>1.9066666666666665</v>
      </c>
      <c r="CU73" s="2" cm="1">
        <f t="array" aca="1" ref="CU73" ca="1">MAX(_xlfn._xlws.FILTER(CN73:CT73,CN73:CT73&lt;BP73))</f>
        <v>0.78666666666666663</v>
      </c>
      <c r="CV73" s="2" cm="1">
        <f t="array" aca="1" ref="CV73" ca="1">MIN(_xlfn._xlws.FILTER($CN73:$CT73,$CN73:$CT73&gt;BP73))</f>
        <v>1.0933333333333333</v>
      </c>
      <c r="CW73" s="16">
        <f t="shared" ca="1" si="80"/>
        <v>0.38983050847457634</v>
      </c>
      <c r="CX73" s="20">
        <f t="shared" ca="1" si="81"/>
        <v>-0.19491525423728817</v>
      </c>
      <c r="CY73" s="20">
        <f t="shared" ca="1" si="82"/>
        <v>-0.12994350282485878</v>
      </c>
      <c r="CZ73" s="20">
        <f t="shared" ca="1" si="83"/>
        <v>-7.7966101694915274E-2</v>
      </c>
      <c r="DA73" s="20">
        <f t="shared" ca="1" si="84"/>
        <v>-4.3314500941619594E-2</v>
      </c>
      <c r="DB73" s="20">
        <f t="shared" ca="1" si="85"/>
        <v>-2.2931206380857432E-2</v>
      </c>
      <c r="DC73" s="20">
        <f t="shared" ca="1" si="86"/>
        <v>-1.1813045711350799E-2</v>
      </c>
      <c r="DD73" s="20">
        <f t="shared" ca="1" si="87"/>
        <v>-5.9973924380704053E-3</v>
      </c>
      <c r="DE73" s="21">
        <f t="shared" ca="1" si="88"/>
        <v>5.9973924380704053E-3</v>
      </c>
      <c r="DF73" s="21">
        <f t="shared" ca="1" si="89"/>
        <v>1.1813045711350799E-2</v>
      </c>
      <c r="DG73" s="21">
        <f t="shared" ca="1" si="90"/>
        <v>2.2931206380857432E-2</v>
      </c>
      <c r="DH73" s="21">
        <f t="shared" ca="1" si="91"/>
        <v>4.3314500941619594E-2</v>
      </c>
      <c r="DI73" s="21">
        <f t="shared" ca="1" si="92"/>
        <v>7.7966101694915274E-2</v>
      </c>
      <c r="DJ73" s="21">
        <f t="shared" ca="1" si="93"/>
        <v>0.12994350282485878</v>
      </c>
      <c r="DK73" s="21">
        <f t="shared" ca="1" si="94"/>
        <v>0.19491525423728817</v>
      </c>
      <c r="DM73" s="16" cm="1">
        <f t="array" aca="1" ref="DM73" ca="1">MAX(_xlfn._xlws.FILTER(CX73:DK73,CX73:DK73&lt;BV73))</f>
        <v>-5.9973924380704053E-3</v>
      </c>
      <c r="DN73" s="16" cm="1">
        <f t="array" aca="1" ref="DN73" ca="1">MIN(_xlfn._xlws.FILTER(CX73:DK73,CX73:DK73&gt;BV73))</f>
        <v>5.9973924380704053E-3</v>
      </c>
      <c r="DO73" s="2" cm="1">
        <f t="array" aca="1" ref="DO73" ca="1">_FV(ED73,"Fechamento anterior",TRUE)</f>
        <v>1.04</v>
      </c>
      <c r="DP73" s="28">
        <f t="shared" ca="1" si="106"/>
        <v>0.5</v>
      </c>
      <c r="DQ73" s="15">
        <f t="shared" ca="1" si="95"/>
        <v>1.0337627118644068</v>
      </c>
      <c r="DR73" s="15">
        <f t="shared" ca="1" si="96"/>
        <v>1.0462372881355932</v>
      </c>
      <c r="DS73" s="9"/>
      <c r="DT73" s="9"/>
      <c r="DU73" s="9"/>
      <c r="DV73" s="89">
        <v>2.0383294560762162E-2</v>
      </c>
      <c r="DW73" s="89">
        <f t="shared" ca="1" si="107"/>
        <v>1.1994784876140811E-2</v>
      </c>
      <c r="DX73" s="72">
        <f t="shared" ca="1" si="108"/>
        <v>0.32159260021535691</v>
      </c>
      <c r="DY73" s="37"/>
      <c r="DZ73" s="35">
        <f t="shared" si="118"/>
        <v>0.14770240350109512</v>
      </c>
      <c r="EA73" s="56"/>
      <c r="EB73" s="56"/>
      <c r="ED73" s="2" t="e" vm="73">
        <v>#VALUE!</v>
      </c>
      <c r="EF73" s="10" cm="1">
        <f t="array" aca="1" ref="EF73" ca="1">_FV(ED73,"Ações em circulação",TRUE)</f>
        <v>124398500</v>
      </c>
      <c r="EG73" s="18">
        <f>VLOOKUP(BQ73,Fundamentus!A:U,5,FALSE)</f>
        <v>1.609</v>
      </c>
      <c r="EH73" s="2">
        <f t="shared" ca="1" si="109"/>
        <v>80406737.103791177</v>
      </c>
      <c r="EI73" s="17">
        <v>-30128404.392790552</v>
      </c>
      <c r="EJ73" s="17">
        <f t="shared" ca="1" si="110"/>
        <v>-30128404.392790552</v>
      </c>
      <c r="EL73" s="16">
        <f t="shared" ca="1" si="97"/>
        <v>0</v>
      </c>
      <c r="EM73" s="32" t="str">
        <f>IF(VLOOKUP(BQ73,Fundamentus!A:U,3,FALSE)&lt;15,"Bom",IF(VLOOKUP(BQ73,Fundamentus!A:U,3,FALSE)&gt;15,"Ruim","n/a"))</f>
        <v>Bom</v>
      </c>
      <c r="EN73" s="28" t="str">
        <f>IF(VLOOKUP(BQ73,Fundamentus!A:U,4,FALSE)&lt;1,"Baixo",IF(VLOOKUP(BQ73,Fundamentus!A:U,4,FALSE)&lt;1.5,"Moderado",IF(VLOOKUP(BQ73,Fundamentus!A:U,4,FALSE)&gt;1.5,"Alto","n/a")))</f>
        <v>Baixo</v>
      </c>
      <c r="EO73" s="17" t="str">
        <f>IF(VLOOKUP(BQ73,Fundamentus!A:U,8,FALSE)&lt;0,"Risco elevado",IF(VLOOKUP(BQ73,Fundamentus!A:U,8,FALSE)&lt;1,"Saudável",IF(VLOOKUP(BQ73,Fundamentus!A:U,8,FALSE)&lt;3,"Estável",IF(VLOOKUP(BQ73,Fundamentus!A:U,8,FALSE)&gt;3,"Alerta","n/a"))))</f>
        <v>Risco elevado</v>
      </c>
      <c r="EP73" s="28" t="str">
        <f t="shared" si="111"/>
        <v>Bom</v>
      </c>
      <c r="EQ73" s="17" t="str">
        <f>IF(VLOOKUP(BQ73,Fundamentus!A:U,12,FALSE)&lt;2,"Subvalorizada",IF(VLOOKUP(BQ73,Fundamentus!A:U,12,FALSE)&lt;6,"Muita barata",IF(VLOOKUP(BQ73,Fundamentus!A:U,12,FALSE)&lt;6,"Barata",IF(VLOOKUP(BQ73,Fundamentus!A:U,12,FALSE)&lt;8,"Atrativa",IF(VLOOKUP(BQ73,Fundamentus!A:U,12,FALSE)&gt;8,"Supervalorizada","n/a")))))</f>
        <v>Supervalorizada</v>
      </c>
      <c r="ES73" s="17" t="str">
        <f>IF(VLOOKUP(BQ73,Fundamentus!A:U,17,FALSE)&lt;0.1,"Fraco retorno",IF(VLOOKUP(BQ73,Fundamentus!A:U,17,FALSE)&gt;0.1,"Bom retorno","n/a"))</f>
        <v>Fraco retorno</v>
      </c>
      <c r="ET73" s="17" t="str">
        <f>IF(VLOOKUP(BQ73,Fundamentus!A:U,16,FALSE)&lt;0.1,"Ineficiente",IF(VLOOKUP(BQ73,Fundamentus!A:U,16,FALSE)&gt;0.1,"Eficiente","n/a"))</f>
        <v>Ineficiente</v>
      </c>
      <c r="EU73" s="33" t="str">
        <f>IF(VLOOKUP(BQ73,Fundamentus!A:U,16,FALSE)&lt;0.1,"Oper. Ineficiente",IF(VLOOKUP(BQ73,Fundamentus!A:U,16,FALSE)&gt;0.1,"Oper.Eficiente","n/a"))</f>
        <v>Oper. Ineficiente</v>
      </c>
      <c r="EV73" s="34">
        <f>VLOOKUP(BQ73,Fundamentus!A:U,14,FALSE)</f>
        <v>-0.37469999999999998</v>
      </c>
      <c r="EW73" s="17" t="str">
        <f>IF(VLOOKUP(BQ73,Fundamentus!A:U,21,FALSE)&lt;0,"Negativo",IF(VLOOKUP(BQ73,Fundamentus!A:U,21,FALSE)&lt;0.05,"Fraco",IF(VLOOKUP(BQ73,Fundamentus!A:U,21,FALSE)&lt;0.1,"Bom",IF(VLOOKUP(BQ73,Fundamentus!A:U,21,FALSE)&gt;0.1,"Muito bom","n/a"))))</f>
        <v>Muito bom</v>
      </c>
      <c r="EY73" s="29" t="str">
        <f>IF(VLOOKUP(BQ73,Fundamentus!A:U,15,FALSE)&gt;1,"Bom",IF(VLOOKUP(BQ73,Fundamentus!A:U,15,FALSE)&lt;1,"Ruim","n/a"))</f>
        <v>Ruim</v>
      </c>
      <c r="EZ73" s="17" t="str">
        <f>IF(VLOOKUP(BQ73,Fundamentus!A:U,20,FALSE)&lt;0.5,"Baixa",IF(VLOOKUP(BQ73,Fundamentus!A:U,20,FALSE)&lt;1,"Moderada",IF(VLOOKUP(BQ73,Fundamentus!A:U,20,FALSE)&lt;2,"Alerta",IF(VLOOKUP(BQ73,Fundamentus!A:U,20,FALSE)&gt;2,"Alta","n/a"))))</f>
        <v>Alerta</v>
      </c>
      <c r="FA73" s="10"/>
    </row>
    <row r="74" spans="1:157" s="2" customFormat="1" ht="11.25" hidden="1" x14ac:dyDescent="0.2">
      <c r="A74" s="4">
        <v>2.39</v>
      </c>
      <c r="B74" s="4">
        <v>2.27</v>
      </c>
      <c r="C74" s="4">
        <v>2.0099999999999998</v>
      </c>
      <c r="D74" s="4">
        <v>2.06</v>
      </c>
      <c r="E74" s="4">
        <v>1.93</v>
      </c>
      <c r="F74" s="4">
        <v>1.9</v>
      </c>
      <c r="G74" s="4">
        <v>2.0099999999999998</v>
      </c>
      <c r="H74" s="4">
        <v>1.9</v>
      </c>
      <c r="I74" s="4">
        <v>1.96</v>
      </c>
      <c r="J74" s="4">
        <v>2.06</v>
      </c>
      <c r="K74" s="4">
        <v>2.09</v>
      </c>
      <c r="L74" s="4">
        <v>1.87</v>
      </c>
      <c r="M74" s="4">
        <v>1.86</v>
      </c>
      <c r="N74" s="4">
        <v>1.85</v>
      </c>
      <c r="O74" s="4">
        <v>1.91</v>
      </c>
      <c r="P74" s="4">
        <v>1.92</v>
      </c>
      <c r="Q74" s="4">
        <v>2.25</v>
      </c>
      <c r="R74" s="4">
        <v>1.97</v>
      </c>
      <c r="S74" s="4">
        <v>1.9</v>
      </c>
      <c r="T74" s="4">
        <v>2.08</v>
      </c>
      <c r="U74" s="4">
        <v>1.87</v>
      </c>
      <c r="V74" s="4">
        <v>1.9</v>
      </c>
      <c r="W74" s="4">
        <v>1.84</v>
      </c>
      <c r="X74" s="4">
        <v>1.82</v>
      </c>
      <c r="Y74" s="4">
        <v>1.84</v>
      </c>
      <c r="Z74" s="4">
        <v>2.08</v>
      </c>
      <c r="AA74" s="4">
        <v>1.94</v>
      </c>
      <c r="AB74" s="4">
        <v>2.0499999999999998</v>
      </c>
      <c r="AC74" s="4">
        <v>2.2999999999999998</v>
      </c>
      <c r="AD74" s="4">
        <v>2.5299999999999998</v>
      </c>
      <c r="AE74" s="4">
        <v>2.39</v>
      </c>
      <c r="AF74" s="4">
        <v>2.06</v>
      </c>
      <c r="AG74" s="4">
        <v>1.96</v>
      </c>
      <c r="AH74" s="4">
        <v>1.55</v>
      </c>
      <c r="AI74" s="4">
        <v>1.4</v>
      </c>
      <c r="AJ74" s="4">
        <v>1.5</v>
      </c>
      <c r="AK74" s="4">
        <v>1.66</v>
      </c>
      <c r="AL74" s="4">
        <v>1.71</v>
      </c>
      <c r="AM74" s="4">
        <v>1.78</v>
      </c>
      <c r="AN74" s="4">
        <v>1.97</v>
      </c>
      <c r="AO74" s="4">
        <v>1.83</v>
      </c>
      <c r="AP74" s="4">
        <v>1.98</v>
      </c>
      <c r="AQ74" s="4">
        <v>1.84</v>
      </c>
      <c r="AR74" s="4">
        <v>1.73</v>
      </c>
      <c r="AS74" s="4">
        <v>1.87</v>
      </c>
      <c r="AT74" s="4">
        <v>2.02</v>
      </c>
      <c r="AU74" s="4">
        <v>2</v>
      </c>
      <c r="AV74" s="4">
        <v>2.2599999999999998</v>
      </c>
      <c r="AW74" s="4">
        <v>2.02</v>
      </c>
      <c r="AX74" s="4">
        <v>2.1800000000000002</v>
      </c>
      <c r="AY74" s="12">
        <v>2.23</v>
      </c>
      <c r="AZ74" s="12">
        <v>2.2999999999999998</v>
      </c>
      <c r="BA74" s="12">
        <v>2.17</v>
      </c>
      <c r="BB74" s="15">
        <v>2.21</v>
      </c>
      <c r="BC74" s="52">
        <v>2.2200000000000002</v>
      </c>
      <c r="BD74" s="52">
        <v>2.2400000000000002</v>
      </c>
      <c r="BE74" s="52">
        <v>2.37</v>
      </c>
      <c r="BF74" s="52">
        <v>2.54</v>
      </c>
      <c r="BG74" s="67">
        <v>2.31</v>
      </c>
      <c r="BH74" s="52">
        <v>2.29</v>
      </c>
      <c r="BI74" s="52">
        <v>2.35</v>
      </c>
      <c r="BJ74" s="52">
        <v>2.4900000000000002</v>
      </c>
      <c r="BK74" s="52">
        <v>2.37</v>
      </c>
      <c r="BL74" s="52">
        <v>2.39</v>
      </c>
      <c r="BM74" s="52">
        <v>2.42</v>
      </c>
      <c r="BN74" s="52">
        <v>2.35</v>
      </c>
      <c r="BO74" s="52">
        <v>2.29</v>
      </c>
      <c r="BP74" s="52" cm="1">
        <f t="array" aca="1" ref="BP74" ca="1">_FV(ED74,"Preço")</f>
        <v>2.0299999999999998</v>
      </c>
      <c r="BQ74" s="69" t="s">
        <v>71</v>
      </c>
      <c r="BR74" s="36" cm="1">
        <f t="array" aca="1" ref="BR74" ca="1">_FV(ED74,"Média de volume",TRUE)</f>
        <v>11804090</v>
      </c>
      <c r="BS74" s="36">
        <v>8124900</v>
      </c>
      <c r="BT74" s="36" cm="1">
        <f t="array" aca="1" ref="BT74" ca="1">_FV(ED74,"Volume")</f>
        <v>13487300</v>
      </c>
      <c r="BU74" s="24" cm="1">
        <f t="array" aca="1" ref="BU74" ca="1">_FV(ED74,"Beta")</f>
        <v>2.4430999999999998</v>
      </c>
      <c r="BV74" s="71" cm="1">
        <f t="array" aca="1" ref="BV74" ca="1">_FV(ED74,"Variação (%)",TRUE)</f>
        <v>4.9499999999999995E-3</v>
      </c>
      <c r="BX74" s="17" cm="1">
        <f t="array" aca="1" ref="BX74" ca="1">_FV(ED74,"Baixo")</f>
        <v>1.98</v>
      </c>
      <c r="BY74" s="17" cm="1">
        <f t="array" aca="1" ref="BY74" ca="1">_FV(ED74,"Alto")</f>
        <v>2.0499999999999998</v>
      </c>
      <c r="BZ74" s="24"/>
      <c r="CA74" s="63" t="e">
        <f ca="1">SQRT(22.5*(BP74/VLOOKUP(BQ74,Fundamentus!A:U,3,FALSE))*(BP74/VLOOKUP(BQ74,Fundamentus!A:U,4,FALSE)))</f>
        <v>#NUM!</v>
      </c>
      <c r="CC74" s="62">
        <f t="shared" ca="1" si="112"/>
        <v>-0.11353711790393023</v>
      </c>
      <c r="CD74" s="8"/>
      <c r="CE74" s="61">
        <f t="shared" si="113"/>
        <v>1.4</v>
      </c>
      <c r="CF74" s="61">
        <f t="shared" si="114"/>
        <v>2.54</v>
      </c>
      <c r="CG74" s="61">
        <f t="shared" si="115"/>
        <v>2.0538805970149245</v>
      </c>
      <c r="CH74" s="14"/>
      <c r="CI74" s="35">
        <f t="shared" si="98"/>
        <v>2.1827303030829244</v>
      </c>
      <c r="CJ74" s="15">
        <f t="shared" si="116"/>
        <v>2.2700000000000102</v>
      </c>
      <c r="CK74" s="35">
        <f t="shared" si="99"/>
        <v>2.3572696969170961</v>
      </c>
      <c r="CM74" s="14"/>
      <c r="CN74" s="17">
        <f t="shared" si="100"/>
        <v>0.47333333333333316</v>
      </c>
      <c r="CO74" s="17">
        <f t="shared" si="101"/>
        <v>0.93666666666666654</v>
      </c>
      <c r="CP74" s="17">
        <f t="shared" si="102"/>
        <v>1.6133333333333333</v>
      </c>
      <c r="CQ74" s="38">
        <f t="shared" si="117"/>
        <v>2.0766666666666667</v>
      </c>
      <c r="CR74" s="17">
        <f t="shared" si="103"/>
        <v>2.7533333333333334</v>
      </c>
      <c r="CS74" s="17">
        <f t="shared" si="104"/>
        <v>3.2166666666666668</v>
      </c>
      <c r="CT74" s="17">
        <f t="shared" si="105"/>
        <v>3.8933333333333335</v>
      </c>
      <c r="CU74" s="2" cm="1">
        <f t="array" aca="1" ref="CU74" ca="1">MAX(_xlfn._xlws.FILTER(CN74:CT74,CN74:CT74&lt;BP74))</f>
        <v>1.6133333333333333</v>
      </c>
      <c r="CV74" s="2" cm="1">
        <f t="array" aca="1" ref="CV74" ca="1">MIN(_xlfn._xlws.FILTER($CN74:$CT74,$CN74:$CT74&gt;BP74))</f>
        <v>2.0766666666666667</v>
      </c>
      <c r="CW74" s="16">
        <f t="shared" ca="1" si="80"/>
        <v>0.28719008264462809</v>
      </c>
      <c r="CX74" s="20">
        <f t="shared" ca="1" si="81"/>
        <v>-0.14359504132231404</v>
      </c>
      <c r="CY74" s="20">
        <f t="shared" ca="1" si="82"/>
        <v>-9.5730027548209362E-2</v>
      </c>
      <c r="CZ74" s="20">
        <f t="shared" ca="1" si="83"/>
        <v>-5.743801652892562E-2</v>
      </c>
      <c r="DA74" s="20">
        <f t="shared" ca="1" si="84"/>
        <v>-3.1910009182736454E-2</v>
      </c>
      <c r="DB74" s="20">
        <f t="shared" ca="1" si="85"/>
        <v>-1.6893534273213415E-2</v>
      </c>
      <c r="DC74" s="20">
        <f t="shared" ca="1" si="86"/>
        <v>-8.7027297771099417E-3</v>
      </c>
      <c r="DD74" s="20">
        <f t="shared" ca="1" si="87"/>
        <v>-4.4183089637635092E-3</v>
      </c>
      <c r="DE74" s="21">
        <f t="shared" ca="1" si="88"/>
        <v>4.4183089637635092E-3</v>
      </c>
      <c r="DF74" s="21">
        <f t="shared" ca="1" si="89"/>
        <v>8.7027297771099417E-3</v>
      </c>
      <c r="DG74" s="21">
        <f t="shared" ca="1" si="90"/>
        <v>1.6893534273213415E-2</v>
      </c>
      <c r="DH74" s="21">
        <f t="shared" ca="1" si="91"/>
        <v>3.1910009182736454E-2</v>
      </c>
      <c r="DI74" s="21">
        <f t="shared" ca="1" si="92"/>
        <v>5.743801652892562E-2</v>
      </c>
      <c r="DJ74" s="21">
        <f t="shared" ca="1" si="93"/>
        <v>9.5730027548209362E-2</v>
      </c>
      <c r="DK74" s="21">
        <f t="shared" ca="1" si="94"/>
        <v>0.14359504132231404</v>
      </c>
      <c r="DM74" s="16" cm="1">
        <f t="array" aca="1" ref="DM74" ca="1">MAX(_xlfn._xlws.FILTER(CX74:DK74,CX74:DK74&lt;BV74))</f>
        <v>4.4183089637635092E-3</v>
      </c>
      <c r="DN74" s="16" cm="1">
        <f t="array" aca="1" ref="DN74" ca="1">MIN(_xlfn._xlws.FILTER(CX74:DK74,CX74:DK74&gt;BV74))</f>
        <v>8.7027297771099417E-3</v>
      </c>
      <c r="DO74" s="2" cm="1">
        <f t="array" aca="1" ref="DO74" ca="1">_FV(ED74,"Fechamento anterior",TRUE)</f>
        <v>2.02</v>
      </c>
      <c r="DP74" s="28">
        <f t="shared" ca="1" si="106"/>
        <v>0.12421424246739907</v>
      </c>
      <c r="DQ74" s="15">
        <f t="shared" ca="1" si="95"/>
        <v>2.0289249841068022</v>
      </c>
      <c r="DR74" s="15">
        <f t="shared" ca="1" si="96"/>
        <v>2.0375795141497619</v>
      </c>
      <c r="DS74" s="9"/>
      <c r="DT74" s="9"/>
      <c r="DU74" s="9"/>
      <c r="DV74" s="89">
        <v>1.7037526621135349E-2</v>
      </c>
      <c r="DW74" s="89">
        <f t="shared" ca="1" si="107"/>
        <v>4.2844208133464325E-3</v>
      </c>
      <c r="DX74" s="72">
        <f t="shared" ca="1" si="108"/>
        <v>-2.7500954910847488</v>
      </c>
      <c r="DY74" s="37"/>
      <c r="DZ74" s="35">
        <f t="shared" si="118"/>
        <v>4.3634848458542839E-2</v>
      </c>
      <c r="EA74" s="56"/>
      <c r="EB74" s="56"/>
      <c r="ED74" s="2" t="e" vm="74">
        <v>#VALUE!</v>
      </c>
      <c r="EF74" s="10" cm="1">
        <f t="array" aca="1" ref="EF74" ca="1">_FV(ED74,"Ações em circulação",TRUE)</f>
        <v>525591100</v>
      </c>
      <c r="EG74" s="18">
        <f>VLOOKUP(BQ74,Fundamentus!A:U,5,FALSE)</f>
        <v>0.88500000000000001</v>
      </c>
      <c r="EH74" s="2">
        <f t="shared" ca="1" si="109"/>
        <v>1205593144.6327682</v>
      </c>
      <c r="EI74" s="17">
        <v>-71944216.322146893</v>
      </c>
      <c r="EJ74" s="17">
        <f t="shared" ca="1" si="110"/>
        <v>-63775877.351073436</v>
      </c>
      <c r="EL74" s="16">
        <f t="shared" ca="1" si="97"/>
        <v>-0.11353711790393028</v>
      </c>
      <c r="EM74" s="32" t="str">
        <f>IF(VLOOKUP(BQ74,Fundamentus!A:U,3,FALSE)&lt;15,"Bom",IF(VLOOKUP(BQ74,Fundamentus!A:U,3,FALSE)&gt;15,"Ruim","n/a"))</f>
        <v>Bom</v>
      </c>
      <c r="EN74" s="28" t="str">
        <f>IF(VLOOKUP(BQ74,Fundamentus!A:U,4,FALSE)&lt;1,"Baixo",IF(VLOOKUP(BQ74,Fundamentus!A:U,4,FALSE)&lt;1.5,"Moderado",IF(VLOOKUP(BQ74,Fundamentus!A:U,4,FALSE)&gt;1.5,"Alto","n/a")))</f>
        <v>Alto</v>
      </c>
      <c r="EO74" s="17" t="str">
        <f>IF(VLOOKUP(BQ74,Fundamentus!A:U,8,FALSE)&lt;0,"Risco elevado",IF(VLOOKUP(BQ74,Fundamentus!A:U,8,FALSE)&lt;1,"Saudável",IF(VLOOKUP(BQ74,Fundamentus!A:U,8,FALSE)&lt;3,"Estável",IF(VLOOKUP(BQ74,Fundamentus!A:U,8,FALSE)&gt;3,"Alerta","n/a"))))</f>
        <v>Risco elevado</v>
      </c>
      <c r="EP74" s="28" t="str">
        <f t="shared" si="111"/>
        <v>Ruim</v>
      </c>
      <c r="EQ74" s="17" t="str">
        <f>IF(VLOOKUP(BQ74,Fundamentus!A:U,12,FALSE)&lt;2,"Subvalorizada",IF(VLOOKUP(BQ74,Fundamentus!A:U,12,FALSE)&lt;6,"Muita barata",IF(VLOOKUP(BQ74,Fundamentus!A:U,12,FALSE)&lt;6,"Barata",IF(VLOOKUP(BQ74,Fundamentus!A:U,12,FALSE)&lt;8,"Atrativa",IF(VLOOKUP(BQ74,Fundamentus!A:U,12,FALSE)&gt;8,"Supervalorizada","n/a")))))</f>
        <v>Muita barata</v>
      </c>
      <c r="ES74" s="17" t="str">
        <f>IF(VLOOKUP(BQ74,Fundamentus!A:U,17,FALSE)&lt;0.1,"Fraco retorno",IF(VLOOKUP(BQ74,Fundamentus!A:U,17,FALSE)&gt;0.1,"Bom retorno","n/a"))</f>
        <v>Fraco retorno</v>
      </c>
      <c r="ET74" s="17" t="str">
        <f>IF(VLOOKUP(BQ74,Fundamentus!A:U,16,FALSE)&lt;0.1,"Ineficiente",IF(VLOOKUP(BQ74,Fundamentus!A:U,16,FALSE)&gt;0.1,"Eficiente","n/a"))</f>
        <v>Ineficiente</v>
      </c>
      <c r="EU74" s="33" t="str">
        <f>IF(VLOOKUP(BQ74,Fundamentus!A:U,16,FALSE)&lt;0.1,"Oper. Ineficiente",IF(VLOOKUP(BQ74,Fundamentus!A:U,16,FALSE)&gt;0.1,"Oper.Eficiente","n/a"))</f>
        <v>Oper. Ineficiente</v>
      </c>
      <c r="EV74" s="34">
        <f>VLOOKUP(BQ74,Fundamentus!A:U,14,FALSE)</f>
        <v>-5.2900000000000003E-2</v>
      </c>
      <c r="EW74" s="17" t="str">
        <f>IF(VLOOKUP(BQ74,Fundamentus!A:U,21,FALSE)&lt;0,"Negativo",IF(VLOOKUP(BQ74,Fundamentus!A:U,21,FALSE)&lt;0.05,"Fraco",IF(VLOOKUP(BQ74,Fundamentus!A:U,21,FALSE)&lt;0.1,"Bom",IF(VLOOKUP(BQ74,Fundamentus!A:U,21,FALSE)&gt;0.1,"Muito bom","n/a"))))</f>
        <v>Muito bom</v>
      </c>
      <c r="EY74" s="29" t="str">
        <f>IF(VLOOKUP(BQ74,Fundamentus!A:U,15,FALSE)&gt;1,"Bom",IF(VLOOKUP(BQ74,Fundamentus!A:U,15,FALSE)&lt;1,"Ruim","n/a"))</f>
        <v>Ruim</v>
      </c>
      <c r="EZ74" s="17" t="str">
        <f>IF(VLOOKUP(BQ74,Fundamentus!A:U,20,FALSE)&lt;0.5,"Baixa",IF(VLOOKUP(BQ74,Fundamentus!A:U,20,FALSE)&lt;1,"Moderada",IF(VLOOKUP(BQ74,Fundamentus!A:U,20,FALSE)&lt;2,"Alerta",IF(VLOOKUP(BQ74,Fundamentus!A:U,20,FALSE)&gt;2,"Alta","n/a"))))</f>
        <v>Alerta</v>
      </c>
      <c r="FA74" s="10"/>
    </row>
    <row r="75" spans="1:157" s="2" customFormat="1" ht="11.25" hidden="1" x14ac:dyDescent="0.2">
      <c r="A75" s="4">
        <v>40.35</v>
      </c>
      <c r="B75" s="4">
        <v>39.46</v>
      </c>
      <c r="C75" s="4">
        <v>41.74</v>
      </c>
      <c r="D75" s="4">
        <v>40.4</v>
      </c>
      <c r="E75" s="4">
        <v>40.69</v>
      </c>
      <c r="F75" s="4">
        <v>39.36</v>
      </c>
      <c r="G75" s="4">
        <v>37.68</v>
      </c>
      <c r="H75" s="4">
        <v>37.5</v>
      </c>
      <c r="I75" s="4">
        <v>38.56</v>
      </c>
      <c r="J75" s="4">
        <v>40.479999999999997</v>
      </c>
      <c r="K75" s="4">
        <v>42.02</v>
      </c>
      <c r="L75" s="4">
        <v>42.62</v>
      </c>
      <c r="M75" s="4">
        <v>43.84</v>
      </c>
      <c r="N75" s="4">
        <v>42.2</v>
      </c>
      <c r="O75" s="4">
        <v>44.58</v>
      </c>
      <c r="P75" s="4">
        <v>45.42</v>
      </c>
      <c r="Q75" s="4">
        <v>45.9</v>
      </c>
      <c r="R75" s="4">
        <v>46.27</v>
      </c>
      <c r="S75" s="4">
        <v>45.76</v>
      </c>
      <c r="T75" s="4">
        <v>48.86</v>
      </c>
      <c r="U75" s="4">
        <v>46.1</v>
      </c>
      <c r="V75" s="4">
        <v>48.05</v>
      </c>
      <c r="W75" s="4">
        <v>45.82</v>
      </c>
      <c r="X75" s="4">
        <v>45.32</v>
      </c>
      <c r="Y75" s="4">
        <v>46.69</v>
      </c>
      <c r="Z75" s="4">
        <v>46.72</v>
      </c>
      <c r="AA75" s="4">
        <v>45.75</v>
      </c>
      <c r="AB75" s="4">
        <v>46.49</v>
      </c>
      <c r="AC75" s="4">
        <v>45.35</v>
      </c>
      <c r="AD75" s="4">
        <v>44.25</v>
      </c>
      <c r="AE75" s="4">
        <v>41.71</v>
      </c>
      <c r="AF75" s="4">
        <v>41.46</v>
      </c>
      <c r="AG75" s="4">
        <v>41.26</v>
      </c>
      <c r="AH75" s="4">
        <v>38.79</v>
      </c>
      <c r="AI75" s="4">
        <v>38.06</v>
      </c>
      <c r="AJ75" s="4">
        <v>37.4</v>
      </c>
      <c r="AK75" s="4">
        <v>36.85</v>
      </c>
      <c r="AL75" s="4">
        <v>36.76</v>
      </c>
      <c r="AM75" s="4">
        <v>38.67</v>
      </c>
      <c r="AN75" s="4">
        <v>41.44</v>
      </c>
      <c r="AO75" s="4">
        <v>42.65</v>
      </c>
      <c r="AP75" s="4">
        <v>45.05</v>
      </c>
      <c r="AQ75" s="4">
        <v>43.58</v>
      </c>
      <c r="AR75" s="4">
        <v>41.62</v>
      </c>
      <c r="AS75" s="4">
        <v>42.05</v>
      </c>
      <c r="AT75" s="4">
        <v>43.65</v>
      </c>
      <c r="AU75" s="4">
        <v>43.475000000000001</v>
      </c>
      <c r="AV75" s="4">
        <v>42.67</v>
      </c>
      <c r="AW75" s="4">
        <v>41.47</v>
      </c>
      <c r="AX75" s="4">
        <v>41.46</v>
      </c>
      <c r="AY75" s="12">
        <v>44.55</v>
      </c>
      <c r="AZ75" s="12">
        <v>48.7</v>
      </c>
      <c r="BA75" s="12">
        <v>49.04</v>
      </c>
      <c r="BB75" s="15">
        <v>48.03</v>
      </c>
      <c r="BC75" s="52">
        <v>51.8</v>
      </c>
      <c r="BD75" s="52">
        <v>51.55</v>
      </c>
      <c r="BE75" s="52">
        <v>51.91</v>
      </c>
      <c r="BF75" s="52">
        <v>53.21</v>
      </c>
      <c r="BG75" s="67">
        <v>51.72</v>
      </c>
      <c r="BH75" s="52">
        <v>52.5</v>
      </c>
      <c r="BI75" s="52">
        <v>53.51</v>
      </c>
      <c r="BJ75" s="52">
        <v>53.6</v>
      </c>
      <c r="BK75" s="52">
        <v>51.22</v>
      </c>
      <c r="BL75" s="52">
        <v>49</v>
      </c>
      <c r="BM75" s="52">
        <v>48.27</v>
      </c>
      <c r="BN75" s="52">
        <v>47.93</v>
      </c>
      <c r="BO75" s="52">
        <v>48.3</v>
      </c>
      <c r="BP75" s="52" cm="1">
        <f t="array" aca="1" ref="BP75" ca="1">_FV(ED75,"Preço")</f>
        <v>51.89</v>
      </c>
      <c r="BQ75" s="69" t="s">
        <v>72</v>
      </c>
      <c r="BR75" s="36" cm="1">
        <f t="array" aca="1" ref="BR75" ca="1">_FV(ED75,"Média de volume",TRUE)</f>
        <v>325190</v>
      </c>
      <c r="BS75" s="36">
        <v>346200</v>
      </c>
      <c r="BT75" s="36" cm="1">
        <f t="array" aca="1" ref="BT75" ca="1">_FV(ED75,"Volume")</f>
        <v>1186900</v>
      </c>
      <c r="BU75" s="24" cm="1">
        <f t="array" aca="1" ref="BU75" ca="1">_FV(ED75,"Beta")</f>
        <v>0.91510000000000002</v>
      </c>
      <c r="BV75" s="71" cm="1">
        <f t="array" aca="1" ref="BV75" ca="1">_FV(ED75,"Variação (%)",TRUE)</f>
        <v>6.3537999999999997E-2</v>
      </c>
      <c r="BX75" s="17" cm="1">
        <f t="array" aca="1" ref="BX75" ca="1">_FV(ED75,"Baixo")</f>
        <v>49</v>
      </c>
      <c r="BY75" s="17" cm="1">
        <f t="array" aca="1" ref="BY75" ca="1">_FV(ED75,"Alto")</f>
        <v>51.92</v>
      </c>
      <c r="BZ75" s="24"/>
      <c r="CA75" s="63">
        <f ca="1">SQRT(22.5*(BP75/VLOOKUP(BQ75,Fundamentus!A:U,3,FALSE))*(BP75/VLOOKUP(BQ75,Fundamentus!A:U,4,FALSE)))</f>
        <v>7.9440953449961755</v>
      </c>
      <c r="CC75" s="62">
        <f t="shared" ca="1" si="112"/>
        <v>7.4327122153209191E-2</v>
      </c>
      <c r="CD75" s="8"/>
      <c r="CE75" s="61">
        <f t="shared" si="113"/>
        <v>36.76</v>
      </c>
      <c r="CF75" s="61">
        <f t="shared" si="114"/>
        <v>53.6</v>
      </c>
      <c r="CG75" s="61">
        <f t="shared" si="115"/>
        <v>44.46485074626866</v>
      </c>
      <c r="CH75" s="14"/>
      <c r="CI75" s="35">
        <f t="shared" si="98"/>
        <v>45.384996638657711</v>
      </c>
      <c r="CJ75" s="15">
        <f t="shared" si="116"/>
        <v>47.764999999999873</v>
      </c>
      <c r="CK75" s="35">
        <f t="shared" si="99"/>
        <v>50.145003361342035</v>
      </c>
      <c r="CM75" s="14"/>
      <c r="CN75" s="17">
        <f t="shared" si="100"/>
        <v>21.999999999999993</v>
      </c>
      <c r="CO75" s="17">
        <f t="shared" si="101"/>
        <v>29.379999999999995</v>
      </c>
      <c r="CP75" s="17">
        <f t="shared" si="102"/>
        <v>38.839999999999996</v>
      </c>
      <c r="CQ75" s="38">
        <f t="shared" si="117"/>
        <v>46.22</v>
      </c>
      <c r="CR75" s="17">
        <f t="shared" si="103"/>
        <v>55.68</v>
      </c>
      <c r="CS75" s="17">
        <f t="shared" si="104"/>
        <v>63.06</v>
      </c>
      <c r="CT75" s="17">
        <f t="shared" si="105"/>
        <v>72.52000000000001</v>
      </c>
      <c r="CU75" s="2" cm="1">
        <f t="array" aca="1" ref="CU75" ca="1">MAX(_xlfn._xlws.FILTER(CN75:CT75,CN75:CT75&lt;BP75))</f>
        <v>46.22</v>
      </c>
      <c r="CV75" s="2" cm="1">
        <f t="array" aca="1" ref="CV75" ca="1">MIN(_xlfn._xlws.FILTER($CN75:$CT75,$CN75:$CT75&gt;BP75))</f>
        <v>55.68</v>
      </c>
      <c r="CW75" s="16">
        <f t="shared" ca="1" si="80"/>
        <v>0.20467330160103847</v>
      </c>
      <c r="CX75" s="20">
        <f t="shared" ca="1" si="81"/>
        <v>-0.10233665080051924</v>
      </c>
      <c r="CY75" s="20">
        <f t="shared" ca="1" si="82"/>
        <v>-6.8224433867012824E-2</v>
      </c>
      <c r="CZ75" s="20">
        <f t="shared" ca="1" si="83"/>
        <v>-4.0934660320207691E-2</v>
      </c>
      <c r="DA75" s="20">
        <f t="shared" ca="1" si="84"/>
        <v>-2.2741477955670941E-2</v>
      </c>
      <c r="DB75" s="20">
        <f t="shared" ca="1" si="85"/>
        <v>-1.2039605976531675E-2</v>
      </c>
      <c r="DC75" s="20">
        <f t="shared" ca="1" si="86"/>
        <v>-6.2022212606375297E-3</v>
      </c>
      <c r="DD75" s="20">
        <f t="shared" ca="1" si="87"/>
        <v>-3.1488200246313613E-3</v>
      </c>
      <c r="DE75" s="21">
        <f t="shared" ca="1" si="88"/>
        <v>3.1488200246313613E-3</v>
      </c>
      <c r="DF75" s="21">
        <f t="shared" ca="1" si="89"/>
        <v>6.2022212606375297E-3</v>
      </c>
      <c r="DG75" s="21">
        <f t="shared" ca="1" si="90"/>
        <v>1.2039605976531675E-2</v>
      </c>
      <c r="DH75" s="21">
        <f t="shared" ca="1" si="91"/>
        <v>2.2741477955670941E-2</v>
      </c>
      <c r="DI75" s="21">
        <f t="shared" ca="1" si="92"/>
        <v>4.0934660320207691E-2</v>
      </c>
      <c r="DJ75" s="21">
        <f t="shared" ca="1" si="93"/>
        <v>6.8224433867012824E-2</v>
      </c>
      <c r="DK75" s="21">
        <f t="shared" ca="1" si="94"/>
        <v>0.10233665080051924</v>
      </c>
      <c r="DM75" s="16" cm="1">
        <f t="array" aca="1" ref="DM75" ca="1">MAX(_xlfn._xlws.FILTER(CX75:DK75,CX75:DK75&lt;BV75))</f>
        <v>4.0934660320207691E-2</v>
      </c>
      <c r="DN75" s="16" cm="1">
        <f t="array" aca="1" ref="DN75" ca="1">MIN(_xlfn._xlws.FILTER(CX75:DK75,CX75:DK75&gt;BV75))</f>
        <v>6.8224433867012824E-2</v>
      </c>
      <c r="DO75" s="2" cm="1">
        <f t="array" aca="1" ref="DO75" ca="1">_FV(ED75,"Fechamento anterior",TRUE)</f>
        <v>48.79</v>
      </c>
      <c r="DP75" s="28">
        <f t="shared" ca="1" si="106"/>
        <v>0.82825714207716949</v>
      </c>
      <c r="DQ75" s="15">
        <f t="shared" ca="1" si="95"/>
        <v>50.787202077022933</v>
      </c>
      <c r="DR75" s="15">
        <f t="shared" ca="1" si="96"/>
        <v>52.118670128371555</v>
      </c>
      <c r="DS75" s="9"/>
      <c r="DT75" s="9"/>
      <c r="DU75" s="9"/>
      <c r="DV75" s="89">
        <v>6.2976400492627226E-3</v>
      </c>
      <c r="DW75" s="89">
        <f t="shared" ca="1" si="107"/>
        <v>2.7289773546805132E-2</v>
      </c>
      <c r="DX75" s="72">
        <f t="shared" ca="1" si="108"/>
        <v>1.7331908294759319</v>
      </c>
      <c r="DY75" s="37"/>
      <c r="DZ75" s="35">
        <f t="shared" si="118"/>
        <v>1.1900016806710816</v>
      </c>
      <c r="EA75" s="56"/>
      <c r="EB75" s="56"/>
      <c r="ED75" s="2" t="e" vm="75">
        <v>#VALUE!</v>
      </c>
      <c r="EF75" s="10" cm="1">
        <f t="array" aca="1" ref="EF75" ca="1">_FV(ED75,"Ações em circulação",TRUE)</f>
        <v>96126870</v>
      </c>
      <c r="EG75" s="18">
        <f>VLOOKUP(BQ75,Fundamentus!A:U,5,FALSE)</f>
        <v>4.9589999999999996</v>
      </c>
      <c r="EH75" s="2">
        <f t="shared" ca="1" si="109"/>
        <v>1005852648.5783426</v>
      </c>
      <c r="EI75" s="17">
        <v>40821063.31833031</v>
      </c>
      <c r="EJ75" s="17">
        <f t="shared" ca="1" si="110"/>
        <v>43855175.478015736</v>
      </c>
      <c r="EL75" s="16">
        <f t="shared" ca="1" si="97"/>
        <v>7.4327122153209135E-2</v>
      </c>
      <c r="EM75" s="32" t="str">
        <f>IF(VLOOKUP(BQ75,Fundamentus!A:U,3,FALSE)&lt;15,"Bom",IF(VLOOKUP(BQ75,Fundamentus!A:U,3,FALSE)&gt;15,"Ruim","n/a"))</f>
        <v>Ruim</v>
      </c>
      <c r="EN75" s="28" t="str">
        <f>IF(VLOOKUP(BQ75,Fundamentus!A:U,4,FALSE)&lt;1,"Baixo",IF(VLOOKUP(BQ75,Fundamentus!A:U,4,FALSE)&lt;1.5,"Moderado",IF(VLOOKUP(BQ75,Fundamentus!A:U,4,FALSE)&gt;1.5,"Alto","n/a")))</f>
        <v>Alto</v>
      </c>
      <c r="EO75" s="17" t="str">
        <f>IF(VLOOKUP(BQ75,Fundamentus!A:U,8,FALSE)&lt;0,"Risco elevado",IF(VLOOKUP(BQ75,Fundamentus!A:U,8,FALSE)&lt;1,"Saudável",IF(VLOOKUP(BQ75,Fundamentus!A:U,8,FALSE)&lt;3,"Estável",IF(VLOOKUP(BQ75,Fundamentus!A:U,8,FALSE)&gt;3,"Alerta","n/a"))))</f>
        <v>Alerta</v>
      </c>
      <c r="EP75" s="28" t="str">
        <f t="shared" si="111"/>
        <v>Bom</v>
      </c>
      <c r="EQ75" s="17" t="str">
        <f>IF(VLOOKUP(BQ75,Fundamentus!A:U,12,FALSE)&lt;2,"Subvalorizada",IF(VLOOKUP(BQ75,Fundamentus!A:U,12,FALSE)&lt;6,"Muita barata",IF(VLOOKUP(BQ75,Fundamentus!A:U,12,FALSE)&lt;6,"Barata",IF(VLOOKUP(BQ75,Fundamentus!A:U,12,FALSE)&lt;8,"Atrativa",IF(VLOOKUP(BQ75,Fundamentus!A:U,12,FALSE)&gt;8,"Supervalorizada","n/a")))))</f>
        <v>Supervalorizada</v>
      </c>
      <c r="ES75" s="17" t="str">
        <f>IF(VLOOKUP(BQ75,Fundamentus!A:U,17,FALSE)&lt;0.1,"Fraco retorno",IF(VLOOKUP(BQ75,Fundamentus!A:U,17,FALSE)&gt;0.1,"Bom retorno","n/a"))</f>
        <v>Fraco retorno</v>
      </c>
      <c r="ET75" s="17" t="str">
        <f>IF(VLOOKUP(BQ75,Fundamentus!A:U,16,FALSE)&lt;0.1,"Ineficiente",IF(VLOOKUP(BQ75,Fundamentus!A:U,16,FALSE)&gt;0.1,"Eficiente","n/a"))</f>
        <v>Ineficiente</v>
      </c>
      <c r="EU75" s="33" t="str">
        <f>IF(VLOOKUP(BQ75,Fundamentus!A:U,16,FALSE)&lt;0.1,"Oper. Ineficiente",IF(VLOOKUP(BQ75,Fundamentus!A:U,16,FALSE)&gt;0.1,"Oper.Eficiente","n/a"))</f>
        <v>Oper. Ineficiente</v>
      </c>
      <c r="EV75" s="34">
        <f>VLOOKUP(BQ75,Fundamentus!A:U,14,FALSE)</f>
        <v>4.36E-2</v>
      </c>
      <c r="EW75" s="17" t="str">
        <f>IF(VLOOKUP(BQ75,Fundamentus!A:U,21,FALSE)&lt;0,"Negativo",IF(VLOOKUP(BQ75,Fundamentus!A:U,21,FALSE)&lt;0.05,"Fraco",IF(VLOOKUP(BQ75,Fundamentus!A:U,21,FALSE)&lt;0.1,"Bom",IF(VLOOKUP(BQ75,Fundamentus!A:U,21,FALSE)&gt;0.1,"Muito bom","n/a"))))</f>
        <v>Muito bom</v>
      </c>
      <c r="EY75" s="29" t="str">
        <f>IF(VLOOKUP(BQ75,Fundamentus!A:U,15,FALSE)&gt;1,"Bom",IF(VLOOKUP(BQ75,Fundamentus!A:U,15,FALSE)&lt;1,"Ruim","n/a"))</f>
        <v>Bom</v>
      </c>
      <c r="EZ75" s="17" t="str">
        <f>IF(VLOOKUP(BQ75,Fundamentus!A:U,20,FALSE)&lt;0.5,"Baixa",IF(VLOOKUP(BQ75,Fundamentus!A:U,20,FALSE)&lt;1,"Moderada",IF(VLOOKUP(BQ75,Fundamentus!A:U,20,FALSE)&lt;2,"Alerta",IF(VLOOKUP(BQ75,Fundamentus!A:U,20,FALSE)&gt;2,"Alta","n/a"))))</f>
        <v>Alta</v>
      </c>
      <c r="FA75" s="10"/>
    </row>
    <row r="76" spans="1:157" s="2" customFormat="1" ht="11.25" hidden="1" x14ac:dyDescent="0.2">
      <c r="A76" s="4">
        <v>44.5</v>
      </c>
      <c r="B76" s="4">
        <v>39.51</v>
      </c>
      <c r="C76" s="4">
        <v>37.42</v>
      </c>
      <c r="D76" s="4">
        <v>33.56</v>
      </c>
      <c r="E76" s="4">
        <v>31.41</v>
      </c>
      <c r="F76" s="4">
        <v>31.64</v>
      </c>
      <c r="G76" s="4">
        <v>31.93</v>
      </c>
      <c r="H76" s="4">
        <v>31.63</v>
      </c>
      <c r="I76" s="4">
        <v>31.6</v>
      </c>
      <c r="J76" s="4">
        <v>30.6</v>
      </c>
      <c r="K76" s="4">
        <v>31.47</v>
      </c>
      <c r="L76" s="4">
        <v>29.99</v>
      </c>
      <c r="M76" s="4">
        <v>29.21</v>
      </c>
      <c r="N76" s="4">
        <v>28.65</v>
      </c>
      <c r="O76" s="4">
        <v>29.44</v>
      </c>
      <c r="P76" s="4">
        <v>44.53</v>
      </c>
      <c r="Q76" s="4">
        <v>47.93</v>
      </c>
      <c r="R76" s="4">
        <v>48.38</v>
      </c>
      <c r="S76" s="4">
        <v>49.89</v>
      </c>
      <c r="T76" s="4">
        <v>47.34</v>
      </c>
      <c r="U76" s="4">
        <v>45.22</v>
      </c>
      <c r="V76" s="4">
        <v>45.55</v>
      </c>
      <c r="W76" s="4">
        <v>44.59</v>
      </c>
      <c r="X76" s="4">
        <v>43.47</v>
      </c>
      <c r="Y76" s="4">
        <v>41.88</v>
      </c>
      <c r="Z76" s="4">
        <v>41.35</v>
      </c>
      <c r="AA76" s="4">
        <v>41.69</v>
      </c>
      <c r="AB76" s="4">
        <v>40.82</v>
      </c>
      <c r="AC76" s="4">
        <v>40</v>
      </c>
      <c r="AD76" s="4">
        <v>39.43</v>
      </c>
      <c r="AE76" s="4">
        <v>41</v>
      </c>
      <c r="AF76" s="4">
        <v>38.96</v>
      </c>
      <c r="AG76" s="4">
        <v>39.5</v>
      </c>
      <c r="AH76" s="4">
        <v>38.5</v>
      </c>
      <c r="AI76" s="4">
        <v>43.35</v>
      </c>
      <c r="AJ76" s="4">
        <v>42.05</v>
      </c>
      <c r="AK76" s="4">
        <v>46.08</v>
      </c>
      <c r="AL76" s="4">
        <v>52.21</v>
      </c>
      <c r="AM76" s="4">
        <v>49.6</v>
      </c>
      <c r="AN76" s="4">
        <v>52.9</v>
      </c>
      <c r="AO76" s="4">
        <v>51.97</v>
      </c>
      <c r="AP76" s="4">
        <v>57.08</v>
      </c>
      <c r="AQ76" s="4">
        <v>54.17</v>
      </c>
      <c r="AR76" s="4">
        <v>47.14</v>
      </c>
      <c r="AS76" s="4">
        <v>46.91</v>
      </c>
      <c r="AT76" s="4">
        <v>48.54</v>
      </c>
      <c r="AU76" s="4">
        <v>51.994999999999997</v>
      </c>
      <c r="AV76" s="4">
        <v>52.21</v>
      </c>
      <c r="AW76" s="4">
        <v>48.82</v>
      </c>
      <c r="AX76" s="4">
        <v>44.63</v>
      </c>
      <c r="AY76" s="12">
        <v>46.03</v>
      </c>
      <c r="AZ76" s="12">
        <v>48.08</v>
      </c>
      <c r="BA76" s="12">
        <v>47.83</v>
      </c>
      <c r="BB76" s="15">
        <v>47.32</v>
      </c>
      <c r="BC76" s="52">
        <v>46.76</v>
      </c>
      <c r="BD76" s="52">
        <v>46.45</v>
      </c>
      <c r="BE76" s="52">
        <v>49.16</v>
      </c>
      <c r="BF76" s="52">
        <v>50.79</v>
      </c>
      <c r="BG76" s="67">
        <v>47.05</v>
      </c>
      <c r="BH76" s="52">
        <v>47.32</v>
      </c>
      <c r="BI76" s="52">
        <v>44.28</v>
      </c>
      <c r="BJ76" s="52">
        <v>46.6</v>
      </c>
      <c r="BK76" s="52">
        <v>44.36</v>
      </c>
      <c r="BL76" s="52">
        <v>44.2</v>
      </c>
      <c r="BM76" s="52">
        <v>44.6</v>
      </c>
      <c r="BN76" s="52">
        <v>44.32</v>
      </c>
      <c r="BO76" s="52">
        <v>46.38</v>
      </c>
      <c r="BP76" s="52" cm="1">
        <f t="array" aca="1" ref="BP76" ca="1">_FV(ED76,"Preço")</f>
        <v>47.03</v>
      </c>
      <c r="BQ76" s="69" t="s">
        <v>73</v>
      </c>
      <c r="BR76" s="36" cm="1">
        <f t="array" aca="1" ref="BR76" ca="1">_FV(ED76,"Média de volume",TRUE)</f>
        <v>681550</v>
      </c>
      <c r="BS76" s="36">
        <v>463600</v>
      </c>
      <c r="BT76" s="36" cm="1">
        <f t="array" aca="1" ref="BT76" ca="1">_FV(ED76,"Volume")</f>
        <v>2457000</v>
      </c>
      <c r="BU76" s="24" cm="1">
        <f t="array" aca="1" ref="BU76" ca="1">_FV(ED76,"Beta")</f>
        <v>1.4115</v>
      </c>
      <c r="BV76" s="71" cm="1">
        <f t="array" aca="1" ref="BV76" ca="1">_FV(ED76,"Variação (%)",TRUE)</f>
        <v>1.3359000000000001E-2</v>
      </c>
      <c r="BX76" s="17" cm="1">
        <f t="array" aca="1" ref="BX76" ca="1">_FV(ED76,"Baixo")</f>
        <v>45.91</v>
      </c>
      <c r="BY76" s="17" cm="1">
        <f t="array" aca="1" ref="BY76" ca="1">_FV(ED76,"Alto")</f>
        <v>49.5</v>
      </c>
      <c r="BZ76" s="24"/>
      <c r="CA76" s="63" t="e">
        <f ca="1">SQRT(22.5*(BP76/VLOOKUP(BQ76,Fundamentus!A:U,3,FALSE))*(BP76/VLOOKUP(BQ76,Fundamentus!A:U,4,FALSE)))</f>
        <v>#NUM!</v>
      </c>
      <c r="CC76" s="62">
        <f t="shared" ca="1" si="112"/>
        <v>1.4014661492022393E-2</v>
      </c>
      <c r="CD76" s="8"/>
      <c r="CE76" s="61">
        <f t="shared" si="113"/>
        <v>28.65</v>
      </c>
      <c r="CF76" s="61">
        <f t="shared" si="114"/>
        <v>57.08</v>
      </c>
      <c r="CG76" s="61">
        <f t="shared" si="115"/>
        <v>43.190671641791063</v>
      </c>
      <c r="CH76" s="14"/>
      <c r="CI76" s="35">
        <f t="shared" si="98"/>
        <v>44.811140276143675</v>
      </c>
      <c r="CJ76" s="15">
        <f t="shared" si="116"/>
        <v>46.4399999999996</v>
      </c>
      <c r="CK76" s="35">
        <f t="shared" si="99"/>
        <v>48.068859723855525</v>
      </c>
      <c r="CM76" s="14"/>
      <c r="CN76" s="17">
        <f t="shared" si="100"/>
        <v>2.5633333333333255</v>
      </c>
      <c r="CO76" s="17">
        <f t="shared" si="101"/>
        <v>15.606666666666662</v>
      </c>
      <c r="CP76" s="17">
        <f t="shared" si="102"/>
        <v>30.993333333333325</v>
      </c>
      <c r="CQ76" s="38">
        <f t="shared" si="117"/>
        <v>44.036666666666662</v>
      </c>
      <c r="CR76" s="17">
        <f t="shared" si="103"/>
        <v>59.423333333333325</v>
      </c>
      <c r="CS76" s="17">
        <f t="shared" si="104"/>
        <v>72.466666666666669</v>
      </c>
      <c r="CT76" s="17">
        <f t="shared" si="105"/>
        <v>87.853333333333325</v>
      </c>
      <c r="CU76" s="2" cm="1">
        <f t="array" aca="1" ref="CU76" ca="1">MAX(_xlfn._xlws.FILTER(CN76:CT76,CN76:CT76&lt;BP76))</f>
        <v>44.036666666666662</v>
      </c>
      <c r="CV76" s="2" cm="1">
        <f t="array" aca="1" ref="CV76" ca="1">MIN(_xlfn._xlws.FILTER($CN76:$CT76,$CN76:$CT76&gt;BP76))</f>
        <v>59.423333333333325</v>
      </c>
      <c r="CW76" s="16">
        <f t="shared" ca="1" si="80"/>
        <v>0.34940579819847084</v>
      </c>
      <c r="CX76" s="20">
        <f t="shared" ca="1" si="81"/>
        <v>-0.17470289909923542</v>
      </c>
      <c r="CY76" s="20">
        <f t="shared" ca="1" si="82"/>
        <v>-0.11646859939949028</v>
      </c>
      <c r="CZ76" s="20">
        <f t="shared" ca="1" si="83"/>
        <v>-6.9881159639694171E-2</v>
      </c>
      <c r="DA76" s="20">
        <f t="shared" ca="1" si="84"/>
        <v>-3.8822866466496762E-2</v>
      </c>
      <c r="DB76" s="20">
        <f t="shared" ca="1" si="85"/>
        <v>-2.0553282246968872E-2</v>
      </c>
      <c r="DC76" s="20">
        <f t="shared" ca="1" si="86"/>
        <v>-1.0588054490862753E-2</v>
      </c>
      <c r="DD76" s="20">
        <f t="shared" ca="1" si="87"/>
        <v>-5.3754738184380131E-3</v>
      </c>
      <c r="DE76" s="21">
        <f t="shared" ca="1" si="88"/>
        <v>5.3754738184380131E-3</v>
      </c>
      <c r="DF76" s="21">
        <f t="shared" ca="1" si="89"/>
        <v>1.0588054490862753E-2</v>
      </c>
      <c r="DG76" s="21">
        <f t="shared" ca="1" si="90"/>
        <v>2.0553282246968872E-2</v>
      </c>
      <c r="DH76" s="21">
        <f t="shared" ca="1" si="91"/>
        <v>3.8822866466496762E-2</v>
      </c>
      <c r="DI76" s="21">
        <f t="shared" ca="1" si="92"/>
        <v>6.9881159639694171E-2</v>
      </c>
      <c r="DJ76" s="21">
        <f t="shared" ca="1" si="93"/>
        <v>0.11646859939949028</v>
      </c>
      <c r="DK76" s="21">
        <f t="shared" ca="1" si="94"/>
        <v>0.17470289909923542</v>
      </c>
      <c r="DM76" s="16" cm="1">
        <f t="array" aca="1" ref="DM76" ca="1">MAX(_xlfn._xlws.FILTER(CX76:DK76,CX76:DK76&lt;BV76))</f>
        <v>1.0588054490862753E-2</v>
      </c>
      <c r="DN76" s="16" cm="1">
        <f t="array" aca="1" ref="DN76" ca="1">MIN(_xlfn._xlws.FILTER(CX76:DK76,CX76:DK76&gt;BV76))</f>
        <v>2.0553282246968872E-2</v>
      </c>
      <c r="DO76" s="2" cm="1">
        <f t="array" aca="1" ref="DO76" ca="1">_FV(ED76,"Fechamento anterior",TRUE)</f>
        <v>46.41</v>
      </c>
      <c r="DP76" s="28">
        <f t="shared" ca="1" si="106"/>
        <v>0.2780804821261999</v>
      </c>
      <c r="DQ76" s="15">
        <f t="shared" ca="1" si="95"/>
        <v>46.901391608920939</v>
      </c>
      <c r="DR76" s="15">
        <f t="shared" ca="1" si="96"/>
        <v>47.363877829081822</v>
      </c>
      <c r="DS76" s="9"/>
      <c r="DT76" s="9"/>
      <c r="DU76" s="9"/>
      <c r="DV76" s="89">
        <v>1.0750947636876026E-2</v>
      </c>
      <c r="DW76" s="89">
        <f t="shared" ca="1" si="107"/>
        <v>9.9652277561061188E-3</v>
      </c>
      <c r="DX76" s="72">
        <f t="shared" ca="1" si="108"/>
        <v>0.36221658093658393</v>
      </c>
      <c r="DY76" s="37"/>
      <c r="DZ76" s="35">
        <f t="shared" si="118"/>
        <v>0.81442986192796307</v>
      </c>
      <c r="EA76" s="56"/>
      <c r="EB76" s="56"/>
      <c r="ED76" s="2" t="e" vm="76">
        <v>#VALUE!</v>
      </c>
      <c r="EF76" s="10" cm="1">
        <f t="array" aca="1" ref="EF76" ca="1">_FV(ED76,"Ações em circulação",TRUE)</f>
        <v>81842890</v>
      </c>
      <c r="EG76" s="18">
        <f>VLOOKUP(BQ76,Fundamentus!A:U,5,FALSE)</f>
        <v>0.61</v>
      </c>
      <c r="EH76" s="2">
        <f t="shared" ca="1" si="109"/>
        <v>6309952650.3278694</v>
      </c>
      <c r="EI76" s="17">
        <v>-106408905.52986886</v>
      </c>
      <c r="EJ76" s="17">
        <f t="shared" ca="1" si="110"/>
        <v>-107900190.32060657</v>
      </c>
      <c r="EL76" s="16">
        <f t="shared" ca="1" si="97"/>
        <v>1.4014661492022462E-2</v>
      </c>
      <c r="EM76" s="32" t="str">
        <f>IF(VLOOKUP(BQ76,Fundamentus!A:U,3,FALSE)&lt;15,"Bom",IF(VLOOKUP(BQ76,Fundamentus!A:U,3,FALSE)&gt;15,"Ruim","n/a"))</f>
        <v>Bom</v>
      </c>
      <c r="EN76" s="28" t="str">
        <f>IF(VLOOKUP(BQ76,Fundamentus!A:U,4,FALSE)&lt;1,"Baixo",IF(VLOOKUP(BQ76,Fundamentus!A:U,4,FALSE)&lt;1.5,"Moderado",IF(VLOOKUP(BQ76,Fundamentus!A:U,4,FALSE)&gt;1.5,"Alto","n/a")))</f>
        <v>Baixo</v>
      </c>
      <c r="EO76" s="17" t="str">
        <f>IF(VLOOKUP(BQ76,Fundamentus!A:U,8,FALSE)&lt;0,"Risco elevado",IF(VLOOKUP(BQ76,Fundamentus!A:U,8,FALSE)&lt;1,"Saudável",IF(VLOOKUP(BQ76,Fundamentus!A:U,8,FALSE)&lt;3,"Estável",IF(VLOOKUP(BQ76,Fundamentus!A:U,8,FALSE)&gt;3,"Alerta","n/a"))))</f>
        <v>Saudável</v>
      </c>
      <c r="EP76" s="28" t="str">
        <f t="shared" si="111"/>
        <v>Ruim</v>
      </c>
      <c r="EQ76" s="17" t="str">
        <f>IF(VLOOKUP(BQ76,Fundamentus!A:U,12,FALSE)&lt;2,"Subvalorizada",IF(VLOOKUP(BQ76,Fundamentus!A:U,12,FALSE)&lt;6,"Muita barata",IF(VLOOKUP(BQ76,Fundamentus!A:U,12,FALSE)&lt;6,"Barata",IF(VLOOKUP(BQ76,Fundamentus!A:U,12,FALSE)&lt;8,"Atrativa",IF(VLOOKUP(BQ76,Fundamentus!A:U,12,FALSE)&gt;8,"Supervalorizada","n/a")))))</f>
        <v>Subvalorizada</v>
      </c>
      <c r="ES76" s="17" t="str">
        <f>IF(VLOOKUP(BQ76,Fundamentus!A:U,17,FALSE)&lt;0.1,"Fraco retorno",IF(VLOOKUP(BQ76,Fundamentus!A:U,17,FALSE)&gt;0.1,"Bom retorno","n/a"))</f>
        <v>Fraco retorno</v>
      </c>
      <c r="ET76" s="17" t="str">
        <f>IF(VLOOKUP(BQ76,Fundamentus!A:U,16,FALSE)&lt;0.1,"Ineficiente",IF(VLOOKUP(BQ76,Fundamentus!A:U,16,FALSE)&gt;0.1,"Eficiente","n/a"))</f>
        <v>Ineficiente</v>
      </c>
      <c r="EU76" s="33" t="str">
        <f>IF(VLOOKUP(BQ76,Fundamentus!A:U,16,FALSE)&lt;0.1,"Oper. Ineficiente",IF(VLOOKUP(BQ76,Fundamentus!A:U,16,FALSE)&gt;0.1,"Oper.Eficiente","n/a"))</f>
        <v>Oper. Ineficiente</v>
      </c>
      <c r="EV76" s="34">
        <f>VLOOKUP(BQ76,Fundamentus!A:U,14,FALSE)</f>
        <v>-1.7100000000000001E-2</v>
      </c>
      <c r="EW76" s="17" t="str">
        <f>IF(VLOOKUP(BQ76,Fundamentus!A:U,21,FALSE)&lt;0,"Negativo",IF(VLOOKUP(BQ76,Fundamentus!A:U,21,FALSE)&lt;0.05,"Fraco",IF(VLOOKUP(BQ76,Fundamentus!A:U,21,FALSE)&lt;0.1,"Bom",IF(VLOOKUP(BQ76,Fundamentus!A:U,21,FALSE)&gt;0.1,"Muito bom","n/a"))))</f>
        <v>Fraco</v>
      </c>
      <c r="EY76" s="29" t="str">
        <f>IF(VLOOKUP(BQ76,Fundamentus!A:U,15,FALSE)&gt;1,"Bom",IF(VLOOKUP(BQ76,Fundamentus!A:U,15,FALSE)&lt;1,"Ruim","n/a"))</f>
        <v>Ruim</v>
      </c>
      <c r="EZ76" s="17" t="str">
        <f>IF(VLOOKUP(BQ76,Fundamentus!A:U,20,FALSE)&lt;0.5,"Baixa",IF(VLOOKUP(BQ76,Fundamentus!A:U,20,FALSE)&lt;1,"Moderada",IF(VLOOKUP(BQ76,Fundamentus!A:U,20,FALSE)&lt;2,"Alerta",IF(VLOOKUP(BQ76,Fundamentus!A:U,20,FALSE)&gt;2,"Alta","n/a"))))</f>
        <v>Baixa</v>
      </c>
      <c r="FA76" s="10"/>
    </row>
    <row r="77" spans="1:157" s="2" customFormat="1" ht="11.25" hidden="1" x14ac:dyDescent="0.2">
      <c r="A77" s="4">
        <v>9.85</v>
      </c>
      <c r="B77" s="4">
        <v>10.130000000000001</v>
      </c>
      <c r="C77" s="4">
        <v>11.29</v>
      </c>
      <c r="D77" s="4">
        <v>11.64</v>
      </c>
      <c r="E77" s="4">
        <v>11.94</v>
      </c>
      <c r="F77" s="4">
        <v>11.75</v>
      </c>
      <c r="G77" s="4">
        <v>11.35</v>
      </c>
      <c r="H77" s="4">
        <v>11.45</v>
      </c>
      <c r="I77" s="4">
        <v>11.2</v>
      </c>
      <c r="J77" s="4">
        <v>11.19</v>
      </c>
      <c r="K77" s="4">
        <v>11.28</v>
      </c>
      <c r="L77" s="4">
        <v>11.44</v>
      </c>
      <c r="M77" s="4">
        <v>11.55</v>
      </c>
      <c r="N77" s="4">
        <v>12.43</v>
      </c>
      <c r="O77" s="4">
        <v>15.86</v>
      </c>
      <c r="P77" s="4">
        <v>15</v>
      </c>
      <c r="Q77" s="4">
        <v>13.03</v>
      </c>
      <c r="R77" s="4">
        <v>13.49</v>
      </c>
      <c r="S77" s="4">
        <v>15.41</v>
      </c>
      <c r="T77" s="4">
        <v>14.37</v>
      </c>
      <c r="U77" s="4">
        <v>14.07</v>
      </c>
      <c r="V77" s="4">
        <v>14.32</v>
      </c>
      <c r="W77" s="4">
        <v>14.04</v>
      </c>
      <c r="X77" s="4">
        <v>13.82</v>
      </c>
      <c r="Y77" s="4">
        <v>13.08</v>
      </c>
      <c r="Z77" s="4">
        <v>13.5</v>
      </c>
      <c r="AA77" s="4">
        <v>13.23</v>
      </c>
      <c r="AB77" s="4">
        <v>14.97</v>
      </c>
      <c r="AC77" s="4">
        <v>14.49</v>
      </c>
      <c r="AD77" s="4">
        <v>13.86</v>
      </c>
      <c r="AE77" s="4">
        <v>14.28</v>
      </c>
      <c r="AF77" s="4">
        <v>13.68</v>
      </c>
      <c r="AG77" s="4">
        <v>13.26</v>
      </c>
      <c r="AH77" s="4">
        <v>13.03</v>
      </c>
      <c r="AI77" s="4">
        <v>13.33</v>
      </c>
      <c r="AJ77" s="4">
        <v>13.22</v>
      </c>
      <c r="AK77" s="4">
        <v>13.16</v>
      </c>
      <c r="AL77" s="4">
        <v>13.6</v>
      </c>
      <c r="AM77" s="4">
        <v>13.88</v>
      </c>
      <c r="AN77" s="4">
        <v>13.63</v>
      </c>
      <c r="AO77" s="4">
        <v>13.84</v>
      </c>
      <c r="AP77" s="4">
        <v>13.52</v>
      </c>
      <c r="AQ77" s="4">
        <v>13.39</v>
      </c>
      <c r="AR77" s="4">
        <v>13.1</v>
      </c>
      <c r="AS77" s="4">
        <v>13.78</v>
      </c>
      <c r="AT77" s="4">
        <v>13</v>
      </c>
      <c r="AU77" s="4">
        <v>13.085000000000001</v>
      </c>
      <c r="AV77" s="4">
        <v>13.82</v>
      </c>
      <c r="AW77" s="4">
        <v>13.39</v>
      </c>
      <c r="AX77" s="4">
        <v>13.5</v>
      </c>
      <c r="AY77" s="12">
        <v>14.22</v>
      </c>
      <c r="AZ77" s="12">
        <v>14.22</v>
      </c>
      <c r="BA77" s="12">
        <v>13.97</v>
      </c>
      <c r="BB77" s="15">
        <v>14.07</v>
      </c>
      <c r="BC77" s="52">
        <v>15.38</v>
      </c>
      <c r="BD77" s="52">
        <v>14.57</v>
      </c>
      <c r="BE77" s="52">
        <v>14.62</v>
      </c>
      <c r="BF77" s="52">
        <v>14.42</v>
      </c>
      <c r="BG77" s="67">
        <v>14.65</v>
      </c>
      <c r="BH77" s="52">
        <v>14.05</v>
      </c>
      <c r="BI77" s="52">
        <v>14.1</v>
      </c>
      <c r="BJ77" s="52">
        <v>14.5</v>
      </c>
      <c r="BK77" s="52">
        <v>14.3</v>
      </c>
      <c r="BL77" s="52">
        <v>14.14</v>
      </c>
      <c r="BM77" s="52">
        <v>13.91</v>
      </c>
      <c r="BN77" s="52">
        <v>12.98</v>
      </c>
      <c r="BO77" s="52">
        <v>13.95</v>
      </c>
      <c r="BP77" s="52" cm="1">
        <f t="array" aca="1" ref="BP77" ca="1">_FV(ED77,"Preço")</f>
        <v>11.31</v>
      </c>
      <c r="BQ77" s="69" t="s">
        <v>74</v>
      </c>
      <c r="BR77" s="36" cm="1">
        <f t="array" aca="1" ref="BR77" ca="1">_FV(ED77,"Média de volume",TRUE)</f>
        <v>26200</v>
      </c>
      <c r="BS77" s="36">
        <v>8000</v>
      </c>
      <c r="BT77" s="36" cm="1">
        <f t="array" aca="1" ref="BT77" ca="1">_FV(ED77,"Volume")</f>
        <v>54700</v>
      </c>
      <c r="BU77" s="24" cm="1">
        <f t="array" aca="1" ref="BU77" ca="1">_FV(ED77,"Beta")</f>
        <v>0.57420000000000004</v>
      </c>
      <c r="BV77" s="71" cm="1">
        <f t="array" aca="1" ref="BV77" ca="1">_FV(ED77,"Variação (%)",TRUE)</f>
        <v>-3.7447000000000001E-2</v>
      </c>
      <c r="BX77" s="17" cm="1">
        <f t="array" aca="1" ref="BX77" ca="1">_FV(ED77,"Baixo")</f>
        <v>11.25</v>
      </c>
      <c r="BY77" s="17" cm="1">
        <f t="array" aca="1" ref="BY77" ca="1">_FV(ED77,"Alto")</f>
        <v>12.3</v>
      </c>
      <c r="BZ77" s="24"/>
      <c r="CA77" s="63">
        <f ca="1">SQRT(22.5*(BP77/VLOOKUP(BQ77,Fundamentus!A:U,3,FALSE))*(BP77/VLOOKUP(BQ77,Fundamentus!A:U,4,FALSE)))</f>
        <v>30.623541918728048</v>
      </c>
      <c r="CC77" s="62">
        <f t="shared" ca="1" si="112"/>
        <v>-0.1892473118279569</v>
      </c>
      <c r="CD77" s="8"/>
      <c r="CE77" s="61">
        <f t="shared" si="113"/>
        <v>9.85</v>
      </c>
      <c r="CF77" s="61">
        <f t="shared" si="114"/>
        <v>15.86</v>
      </c>
      <c r="CG77" s="61">
        <f t="shared" si="115"/>
        <v>13.381716417910452</v>
      </c>
      <c r="CH77" s="14"/>
      <c r="CI77" s="35">
        <f t="shared" si="98"/>
        <v>12.45046968511093</v>
      </c>
      <c r="CJ77" s="15">
        <f t="shared" si="116"/>
        <v>13.370000000000005</v>
      </c>
      <c r="CK77" s="35">
        <f t="shared" si="99"/>
        <v>14.289530314889079</v>
      </c>
      <c r="CM77" s="14"/>
      <c r="CN77" s="17">
        <f t="shared" si="100"/>
        <v>4.5699999999999985</v>
      </c>
      <c r="CO77" s="17">
        <f t="shared" si="101"/>
        <v>7.2099999999999991</v>
      </c>
      <c r="CP77" s="17">
        <f t="shared" si="102"/>
        <v>10.579999999999998</v>
      </c>
      <c r="CQ77" s="38">
        <f t="shared" si="117"/>
        <v>13.219999999999999</v>
      </c>
      <c r="CR77" s="17">
        <f t="shared" si="103"/>
        <v>16.589999999999996</v>
      </c>
      <c r="CS77" s="17">
        <f t="shared" si="104"/>
        <v>19.229999999999997</v>
      </c>
      <c r="CT77" s="17">
        <f t="shared" si="105"/>
        <v>22.599999999999998</v>
      </c>
      <c r="CU77" s="2" cm="1">
        <f t="array" aca="1" ref="CU77" ca="1">MAX(_xlfn._xlws.FILTER(CN77:CT77,CN77:CT77&lt;BP77))</f>
        <v>10.579999999999998</v>
      </c>
      <c r="CV77" s="2" cm="1">
        <f t="array" aca="1" ref="CV77" ca="1">MIN(_xlfn._xlws.FILTER($CN77:$CT77,$CN77:$CT77&gt;BP77))</f>
        <v>13.219999999999999</v>
      </c>
      <c r="CW77" s="16">
        <f t="shared" ca="1" si="80"/>
        <v>0.24952741020793967</v>
      </c>
      <c r="CX77" s="20">
        <f t="shared" ca="1" si="81"/>
        <v>-0.12476370510396984</v>
      </c>
      <c r="CY77" s="20">
        <f t="shared" ca="1" si="82"/>
        <v>-8.3175803402646561E-2</v>
      </c>
      <c r="CZ77" s="20">
        <f t="shared" ca="1" si="83"/>
        <v>-4.9905482041587935E-2</v>
      </c>
      <c r="DA77" s="20">
        <f t="shared" ca="1" si="84"/>
        <v>-2.7725267800882185E-2</v>
      </c>
      <c r="DB77" s="20">
        <f t="shared" ca="1" si="85"/>
        <v>-1.4678082953408216E-2</v>
      </c>
      <c r="DC77" s="20">
        <f t="shared" ca="1" si="86"/>
        <v>-7.5614366729678684E-3</v>
      </c>
      <c r="DD77" s="20">
        <f t="shared" ca="1" si="87"/>
        <v>-3.8388832339683026E-3</v>
      </c>
      <c r="DE77" s="21">
        <f t="shared" ca="1" si="88"/>
        <v>3.8388832339683026E-3</v>
      </c>
      <c r="DF77" s="21">
        <f t="shared" ca="1" si="89"/>
        <v>7.5614366729678684E-3</v>
      </c>
      <c r="DG77" s="21">
        <f t="shared" ca="1" si="90"/>
        <v>1.4678082953408216E-2</v>
      </c>
      <c r="DH77" s="21">
        <f t="shared" ca="1" si="91"/>
        <v>2.7725267800882185E-2</v>
      </c>
      <c r="DI77" s="21">
        <f t="shared" ca="1" si="92"/>
        <v>4.9905482041587935E-2</v>
      </c>
      <c r="DJ77" s="21">
        <f t="shared" ca="1" si="93"/>
        <v>8.3175803402646561E-2</v>
      </c>
      <c r="DK77" s="21">
        <f t="shared" ca="1" si="94"/>
        <v>0.12476370510396984</v>
      </c>
      <c r="DM77" s="16" cm="1">
        <f t="array" aca="1" ref="DM77" ca="1">MAX(_xlfn._xlws.FILTER(CX77:DK77,CX77:DK77&lt;BV77))</f>
        <v>-4.9905482041587935E-2</v>
      </c>
      <c r="DN77" s="16" cm="1">
        <f t="array" aca="1" ref="DN77" ca="1">MIN(_xlfn._xlws.FILTER(CX77:DK77,CX77:DK77&gt;BV77))</f>
        <v>-2.7725267800882185E-2</v>
      </c>
      <c r="DO77" s="2" cm="1">
        <f t="array" aca="1" ref="DO77" ca="1">_FV(ED77,"Fechamento anterior",TRUE)</f>
        <v>11.75</v>
      </c>
      <c r="DP77" s="28">
        <f t="shared" ca="1" si="106"/>
        <v>0.5617021276595775</v>
      </c>
      <c r="DQ77" s="15">
        <f t="shared" ca="1" si="95"/>
        <v>11.163610586011341</v>
      </c>
      <c r="DR77" s="15">
        <f t="shared" ca="1" si="96"/>
        <v>11.424228103339635</v>
      </c>
      <c r="DS77" s="9"/>
      <c r="DT77" s="9"/>
      <c r="DU77" s="9"/>
      <c r="DV77" s="89">
        <v>2.2659270465624458E-2</v>
      </c>
      <c r="DW77" s="89">
        <f t="shared" ca="1" si="107"/>
        <v>2.2180214240705751E-2</v>
      </c>
      <c r="DX77" s="72">
        <f t="shared" ca="1" si="108"/>
        <v>-2.2402741558863202</v>
      </c>
      <c r="DY77" s="37"/>
      <c r="DZ77" s="35">
        <f t="shared" si="118"/>
        <v>0.45976515744453711</v>
      </c>
      <c r="EA77" s="56"/>
      <c r="EB77" s="56"/>
      <c r="ED77" s="2" t="e" vm="77">
        <v>#VALUE!</v>
      </c>
      <c r="EF77" s="10" cm="1">
        <f t="array" aca="1" ref="EF77" ca="1">_FV(ED77,"Ações em circulação",TRUE)</f>
        <v>22500000</v>
      </c>
      <c r="EG77" s="18">
        <f>VLOOKUP(BQ77,Fundamentus!A:U,5,FALSE)</f>
        <v>0.53200000000000003</v>
      </c>
      <c r="EH77" s="2">
        <f t="shared" ca="1" si="109"/>
        <v>478336466.1654135</v>
      </c>
      <c r="EI77" s="17">
        <v>95165484.022556394</v>
      </c>
      <c r="EJ77" s="17">
        <f t="shared" ca="1" si="110"/>
        <v>77155671.992481202</v>
      </c>
      <c r="EL77" s="16">
        <f t="shared" ca="1" si="97"/>
        <v>-0.18924731182795707</v>
      </c>
      <c r="EM77" s="32" t="str">
        <f>IF(VLOOKUP(BQ77,Fundamentus!A:U,3,FALSE)&lt;15,"Bom",IF(VLOOKUP(BQ77,Fundamentus!A:U,3,FALSE)&gt;15,"Ruim","n/a"))</f>
        <v>Bom</v>
      </c>
      <c r="EN77" s="28" t="str">
        <f>IF(VLOOKUP(BQ77,Fundamentus!A:U,4,FALSE)&lt;1,"Baixo",IF(VLOOKUP(BQ77,Fundamentus!A:U,4,FALSE)&lt;1.5,"Moderado",IF(VLOOKUP(BQ77,Fundamentus!A:U,4,FALSE)&gt;1.5,"Alto","n/a")))</f>
        <v>Baixo</v>
      </c>
      <c r="EO77" s="17" t="str">
        <f>IF(VLOOKUP(BQ77,Fundamentus!A:U,8,FALSE)&lt;0,"Risco elevado",IF(VLOOKUP(BQ77,Fundamentus!A:U,8,FALSE)&lt;1,"Saudável",IF(VLOOKUP(BQ77,Fundamentus!A:U,8,FALSE)&lt;3,"Estável",IF(VLOOKUP(BQ77,Fundamentus!A:U,8,FALSE)&gt;3,"Alerta","n/a"))))</f>
        <v>Alerta</v>
      </c>
      <c r="EP77" s="28" t="str">
        <f t="shared" si="111"/>
        <v>Ruim</v>
      </c>
      <c r="EQ77" s="17" t="str">
        <f>IF(VLOOKUP(BQ77,Fundamentus!A:U,12,FALSE)&lt;2,"Subvalorizada",IF(VLOOKUP(BQ77,Fundamentus!A:U,12,FALSE)&lt;6,"Muita barata",IF(VLOOKUP(BQ77,Fundamentus!A:U,12,FALSE)&lt;6,"Barata",IF(VLOOKUP(BQ77,Fundamentus!A:U,12,FALSE)&lt;8,"Atrativa",IF(VLOOKUP(BQ77,Fundamentus!A:U,12,FALSE)&gt;8,"Supervalorizada","n/a")))))</f>
        <v>Muita barata</v>
      </c>
      <c r="ES77" s="17" t="str">
        <f>IF(VLOOKUP(BQ77,Fundamentus!A:U,17,FALSE)&lt;0.1,"Fraco retorno",IF(VLOOKUP(BQ77,Fundamentus!A:U,17,FALSE)&gt;0.1,"Bom retorno","n/a"))</f>
        <v>Bom retorno</v>
      </c>
      <c r="ET77" s="17" t="str">
        <f>IF(VLOOKUP(BQ77,Fundamentus!A:U,16,FALSE)&lt;0.1,"Ineficiente",IF(VLOOKUP(BQ77,Fundamentus!A:U,16,FALSE)&gt;0.1,"Eficiente","n/a"))</f>
        <v>Eficiente</v>
      </c>
      <c r="EU77" s="33" t="str">
        <f>IF(VLOOKUP(BQ77,Fundamentus!A:U,16,FALSE)&lt;0.1,"Oper. Ineficiente",IF(VLOOKUP(BQ77,Fundamentus!A:U,16,FALSE)&gt;0.1,"Oper.Eficiente","n/a"))</f>
        <v>Oper.Eficiente</v>
      </c>
      <c r="EV77" s="34">
        <f>VLOOKUP(BQ77,Fundamentus!A:U,14,FALSE)</f>
        <v>0.1613</v>
      </c>
      <c r="EW77" s="17" t="str">
        <f>IF(VLOOKUP(BQ77,Fundamentus!A:U,21,FALSE)&lt;0,"Negativo",IF(VLOOKUP(BQ77,Fundamentus!A:U,21,FALSE)&lt;0.05,"Fraco",IF(VLOOKUP(BQ77,Fundamentus!A:U,21,FALSE)&lt;0.1,"Bom",IF(VLOOKUP(BQ77,Fundamentus!A:U,21,FALSE)&gt;0.1,"Muito bom","n/a"))))</f>
        <v>Muito bom</v>
      </c>
      <c r="EY77" s="29" t="str">
        <f>IF(VLOOKUP(BQ77,Fundamentus!A:U,15,FALSE)&gt;1,"Bom",IF(VLOOKUP(BQ77,Fundamentus!A:U,15,FALSE)&lt;1,"Ruim","n/a"))</f>
        <v>Bom</v>
      </c>
      <c r="EZ77" s="17" t="str">
        <f>IF(VLOOKUP(BQ77,Fundamentus!A:U,20,FALSE)&lt;0.5,"Baixa",IF(VLOOKUP(BQ77,Fundamentus!A:U,20,FALSE)&lt;1,"Moderada",IF(VLOOKUP(BQ77,Fundamentus!A:U,20,FALSE)&lt;2,"Alerta",IF(VLOOKUP(BQ77,Fundamentus!A:U,20,FALSE)&gt;2,"Alta","n/a"))))</f>
        <v>Baixa</v>
      </c>
      <c r="FA77" s="10"/>
    </row>
    <row r="78" spans="1:157" s="2" customFormat="1" ht="11.25" hidden="1" x14ac:dyDescent="0.2">
      <c r="A78" s="4">
        <v>5.98</v>
      </c>
      <c r="B78" s="4">
        <v>5.93</v>
      </c>
      <c r="C78" s="4">
        <v>6.44</v>
      </c>
      <c r="D78" s="4">
        <v>6.15</v>
      </c>
      <c r="E78" s="4">
        <v>6.18</v>
      </c>
      <c r="F78" s="4">
        <v>6.27</v>
      </c>
      <c r="G78" s="4">
        <v>6.09</v>
      </c>
      <c r="H78" s="4">
        <v>5.92</v>
      </c>
      <c r="I78" s="4">
        <v>5.78</v>
      </c>
      <c r="J78" s="4">
        <v>6</v>
      </c>
      <c r="K78" s="4">
        <v>6.1</v>
      </c>
      <c r="L78" s="4">
        <v>6.04</v>
      </c>
      <c r="M78" s="4">
        <v>5.93</v>
      </c>
      <c r="N78" s="4">
        <v>5.9</v>
      </c>
      <c r="O78" s="4">
        <v>6.17</v>
      </c>
      <c r="P78" s="4">
        <v>6.19</v>
      </c>
      <c r="Q78" s="4">
        <v>6.22</v>
      </c>
      <c r="R78" s="4">
        <v>6</v>
      </c>
      <c r="S78" s="4">
        <v>6.03</v>
      </c>
      <c r="T78" s="4">
        <v>6.18</v>
      </c>
      <c r="U78" s="4">
        <v>5.67</v>
      </c>
      <c r="V78" s="4">
        <v>5.62</v>
      </c>
      <c r="W78" s="4">
        <v>5.66</v>
      </c>
      <c r="X78" s="4">
        <v>5.46</v>
      </c>
      <c r="Y78" s="4">
        <v>5.25</v>
      </c>
      <c r="Z78" s="4">
        <v>5.24</v>
      </c>
      <c r="AA78" s="4">
        <v>5.2</v>
      </c>
      <c r="AB78" s="4">
        <v>5.28</v>
      </c>
      <c r="AC78" s="4">
        <v>5.31</v>
      </c>
      <c r="AD78" s="4">
        <v>5.29</v>
      </c>
      <c r="AE78" s="4">
        <v>5.18</v>
      </c>
      <c r="AF78" s="4">
        <v>5.28</v>
      </c>
      <c r="AG78" s="4">
        <v>5.28</v>
      </c>
      <c r="AH78" s="4">
        <v>5.01</v>
      </c>
      <c r="AI78" s="4">
        <v>5.01</v>
      </c>
      <c r="AJ78" s="4">
        <v>5.18</v>
      </c>
      <c r="AK78" s="4">
        <v>5.15</v>
      </c>
      <c r="AL78" s="4">
        <v>5.42</v>
      </c>
      <c r="AM78" s="4">
        <v>5.56</v>
      </c>
      <c r="AN78" s="4">
        <v>5.72</v>
      </c>
      <c r="AO78" s="4">
        <v>5.6</v>
      </c>
      <c r="AP78" s="4">
        <v>5.65</v>
      </c>
      <c r="AQ78" s="4">
        <v>5.46</v>
      </c>
      <c r="AR78" s="4">
        <v>5.59</v>
      </c>
      <c r="AS78" s="4">
        <v>5.86</v>
      </c>
      <c r="AT78" s="4">
        <v>5.82</v>
      </c>
      <c r="AU78" s="4">
        <v>5.6400000000000006</v>
      </c>
      <c r="AV78" s="4">
        <v>5.67</v>
      </c>
      <c r="AW78" s="4">
        <v>5.68</v>
      </c>
      <c r="AX78" s="4">
        <v>5.58</v>
      </c>
      <c r="AY78" s="12">
        <v>5.59</v>
      </c>
      <c r="AZ78" s="12">
        <v>5.36</v>
      </c>
      <c r="BA78" s="12">
        <v>5.56</v>
      </c>
      <c r="BB78" s="15">
        <v>5.64</v>
      </c>
      <c r="BC78" s="52">
        <v>5.39</v>
      </c>
      <c r="BD78" s="52">
        <v>5.28</v>
      </c>
      <c r="BE78" s="52">
        <v>5.39</v>
      </c>
      <c r="BF78" s="52">
        <v>5.32</v>
      </c>
      <c r="BG78" s="67">
        <v>5.5</v>
      </c>
      <c r="BH78" s="52">
        <v>5.38</v>
      </c>
      <c r="BI78" s="52">
        <v>5.4</v>
      </c>
      <c r="BJ78" s="52">
        <v>5.46</v>
      </c>
      <c r="BK78" s="52">
        <v>5.31</v>
      </c>
      <c r="BL78" s="52">
        <v>5.0999999999999996</v>
      </c>
      <c r="BM78" s="52">
        <v>5.0199999999999996</v>
      </c>
      <c r="BN78" s="52">
        <v>5.03</v>
      </c>
      <c r="BO78" s="52">
        <v>5.26</v>
      </c>
      <c r="BP78" s="52" cm="1">
        <f t="array" aca="1" ref="BP78" ca="1">_FV(ED78,"Preço")</f>
        <v>5.3</v>
      </c>
      <c r="BQ78" s="69" t="s">
        <v>75</v>
      </c>
      <c r="BR78" s="36" cm="1">
        <f t="array" aca="1" ref="BR78" ca="1">_FV(ED78,"Média de volume",TRUE)</f>
        <v>2861890</v>
      </c>
      <c r="BS78" s="36">
        <v>3960500</v>
      </c>
      <c r="BT78" s="36" cm="1">
        <f t="array" aca="1" ref="BT78" ca="1">_FV(ED78,"Volume")</f>
        <v>751600</v>
      </c>
      <c r="BU78" s="24" cm="1">
        <f t="array" aca="1" ref="BU78" ca="1">_FV(ED78,"Beta")</f>
        <v>0.89419999999999999</v>
      </c>
      <c r="BV78" s="71" cm="1">
        <f t="array" aca="1" ref="BV78" ca="1">_FV(ED78,"Variação (%)",TRUE)</f>
        <v>0</v>
      </c>
      <c r="BX78" s="17" cm="1">
        <f t="array" aca="1" ref="BX78" ca="1">_FV(ED78,"Baixo")</f>
        <v>5.25</v>
      </c>
      <c r="BY78" s="17" cm="1">
        <f t="array" aca="1" ref="BY78" ca="1">_FV(ED78,"Alto")</f>
        <v>5.32</v>
      </c>
      <c r="BZ78" s="24"/>
      <c r="CA78" s="63">
        <f ca="1">SQRT(22.5*(BP78/VLOOKUP(BQ78,Fundamentus!A:U,3,FALSE))*(BP78/VLOOKUP(BQ78,Fundamentus!A:U,4,FALSE)))</f>
        <v>9.0428530826701703</v>
      </c>
      <c r="CC78" s="62">
        <f t="shared" ca="1" si="112"/>
        <v>7.6045627376425924E-3</v>
      </c>
      <c r="CD78" s="8"/>
      <c r="CE78" s="61">
        <f t="shared" si="113"/>
        <v>5.01</v>
      </c>
      <c r="CF78" s="61">
        <f t="shared" si="114"/>
        <v>6.44</v>
      </c>
      <c r="CG78" s="61">
        <f t="shared" si="115"/>
        <v>5.6091044776119379</v>
      </c>
      <c r="CH78" s="14"/>
      <c r="CI78" s="35">
        <f t="shared" si="98"/>
        <v>4.986136021970685</v>
      </c>
      <c r="CJ78" s="15">
        <f t="shared" si="116"/>
        <v>5.2250000000000227</v>
      </c>
      <c r="CK78" s="35">
        <f t="shared" si="99"/>
        <v>5.4638639780293605</v>
      </c>
      <c r="CM78" s="14"/>
      <c r="CN78" s="17">
        <f t="shared" si="100"/>
        <v>3.2699999999999996</v>
      </c>
      <c r="CO78" s="17">
        <f t="shared" si="101"/>
        <v>4.1399999999999997</v>
      </c>
      <c r="CP78" s="17">
        <f t="shared" si="102"/>
        <v>4.7</v>
      </c>
      <c r="CQ78" s="38">
        <f t="shared" si="117"/>
        <v>5.57</v>
      </c>
      <c r="CR78" s="17">
        <f t="shared" si="103"/>
        <v>6.1300000000000008</v>
      </c>
      <c r="CS78" s="17">
        <f t="shared" si="104"/>
        <v>7.0000000000000009</v>
      </c>
      <c r="CT78" s="17">
        <f t="shared" si="105"/>
        <v>7.5600000000000014</v>
      </c>
      <c r="CU78" s="2" cm="1">
        <f t="array" aca="1" ref="CU78" ca="1">MAX(_xlfn._xlws.FILTER(CN78:CT78,CN78:CT78&lt;BP78))</f>
        <v>4.7</v>
      </c>
      <c r="CV78" s="2" cm="1">
        <f t="array" aca="1" ref="CV78" ca="1">MIN(_xlfn._xlws.FILTER($CN78:$CT78,$CN78:$CT78&gt;BP78))</f>
        <v>5.57</v>
      </c>
      <c r="CW78" s="16">
        <f t="shared" ca="1" si="80"/>
        <v>0.18510638297872339</v>
      </c>
      <c r="CX78" s="20">
        <f t="shared" ca="1" si="81"/>
        <v>-9.2553191489361697E-2</v>
      </c>
      <c r="CY78" s="20">
        <f t="shared" ca="1" si="82"/>
        <v>-6.1702127659574467E-2</v>
      </c>
      <c r="CZ78" s="20">
        <f t="shared" ca="1" si="83"/>
        <v>-3.7021276595744682E-2</v>
      </c>
      <c r="DA78" s="20">
        <f t="shared" ca="1" si="84"/>
        <v>-2.0567375886524821E-2</v>
      </c>
      <c r="DB78" s="20">
        <f t="shared" ca="1" si="85"/>
        <v>-1.0888610763454317E-2</v>
      </c>
      <c r="DC78" s="20">
        <f t="shared" ca="1" si="86"/>
        <v>-5.6092843326885876E-3</v>
      </c>
      <c r="DD78" s="20">
        <f t="shared" ca="1" si="87"/>
        <v>-2.8477905073649753E-3</v>
      </c>
      <c r="DE78" s="21">
        <f t="shared" ca="1" si="88"/>
        <v>2.8477905073649753E-3</v>
      </c>
      <c r="DF78" s="21">
        <f t="shared" ca="1" si="89"/>
        <v>5.6092843326885876E-3</v>
      </c>
      <c r="DG78" s="21">
        <f t="shared" ca="1" si="90"/>
        <v>1.0888610763454317E-2</v>
      </c>
      <c r="DH78" s="21">
        <f t="shared" ca="1" si="91"/>
        <v>2.0567375886524821E-2</v>
      </c>
      <c r="DI78" s="21">
        <f t="shared" ca="1" si="92"/>
        <v>3.7021276595744682E-2</v>
      </c>
      <c r="DJ78" s="21">
        <f t="shared" ca="1" si="93"/>
        <v>6.1702127659574467E-2</v>
      </c>
      <c r="DK78" s="21">
        <f t="shared" ca="1" si="94"/>
        <v>9.2553191489361697E-2</v>
      </c>
      <c r="DM78" s="16" cm="1">
        <f t="array" aca="1" ref="DM78" ca="1">MAX(_xlfn._xlws.FILTER(CX78:DK78,CX78:DK78&lt;BV78))</f>
        <v>-2.8477905073649753E-3</v>
      </c>
      <c r="DN78" s="16" cm="1">
        <f t="array" aca="1" ref="DN78" ca="1">MIN(_xlfn._xlws.FILTER(CX78:DK78,CX78:DK78&gt;BV78))</f>
        <v>2.8477905073649753E-3</v>
      </c>
      <c r="DO78" s="2" cm="1">
        <f t="array" aca="1" ref="DO78" ca="1">_FV(ED78,"Fechamento anterior",TRUE)</f>
        <v>5.3</v>
      </c>
      <c r="DP78" s="28">
        <f t="shared" ca="1" si="106"/>
        <v>0.5</v>
      </c>
      <c r="DQ78" s="15">
        <f t="shared" ca="1" si="95"/>
        <v>5.284906710310965</v>
      </c>
      <c r="DR78" s="15">
        <f t="shared" ca="1" si="96"/>
        <v>5.3150932896890346</v>
      </c>
      <c r="DS78" s="9"/>
      <c r="DT78" s="9"/>
      <c r="DU78" s="9"/>
      <c r="DV78" s="89">
        <v>2.4680851063829785E-2</v>
      </c>
      <c r="DW78" s="89">
        <f t="shared" ca="1" si="107"/>
        <v>5.6955810147299507E-3</v>
      </c>
      <c r="DX78" s="72">
        <f t="shared" ca="1" si="108"/>
        <v>0.31398623023336497</v>
      </c>
      <c r="DY78" s="37"/>
      <c r="DZ78" s="35">
        <f t="shared" si="118"/>
        <v>0.11943198901466885</v>
      </c>
      <c r="EA78" s="56"/>
      <c r="EB78" s="56"/>
      <c r="ED78" s="2" t="e" vm="78">
        <v>#VALUE!</v>
      </c>
      <c r="EF78" s="10" cm="1">
        <f t="array" aca="1" ref="EF78" ca="1">_FV(ED78,"Ações em circulação",TRUE)</f>
        <v>902160000</v>
      </c>
      <c r="EG78" s="18">
        <f>VLOOKUP(BQ78,Fundamentus!A:U,5,FALSE)</f>
        <v>1.7509999999999999</v>
      </c>
      <c r="EH78" s="2">
        <f t="shared" ca="1" si="109"/>
        <v>2730695602.5128498</v>
      </c>
      <c r="EI78" s="17">
        <v>724135133.93489432</v>
      </c>
      <c r="EJ78" s="17">
        <f t="shared" ca="1" si="110"/>
        <v>729641864.9914335</v>
      </c>
      <c r="EL78" s="16">
        <f t="shared" ca="1" si="97"/>
        <v>7.6045627376426506E-3</v>
      </c>
      <c r="EM78" s="32" t="str">
        <f>IF(VLOOKUP(BQ78,Fundamentus!A:U,3,FALSE)&lt;15,"Bom",IF(VLOOKUP(BQ78,Fundamentus!A:U,3,FALSE)&gt;15,"Ruim","n/a"))</f>
        <v>Bom</v>
      </c>
      <c r="EN78" s="28" t="str">
        <f>IF(VLOOKUP(BQ78,Fundamentus!A:U,4,FALSE)&lt;1,"Baixo",IF(VLOOKUP(BQ78,Fundamentus!A:U,4,FALSE)&lt;1.5,"Moderado",IF(VLOOKUP(BQ78,Fundamentus!A:U,4,FALSE)&gt;1.5,"Alto","n/a")))</f>
        <v>Moderado</v>
      </c>
      <c r="EO78" s="17" t="str">
        <f>IF(VLOOKUP(BQ78,Fundamentus!A:U,8,FALSE)&lt;0,"Risco elevado",IF(VLOOKUP(BQ78,Fundamentus!A:U,8,FALSE)&lt;1,"Saudável",IF(VLOOKUP(BQ78,Fundamentus!A:U,8,FALSE)&lt;3,"Estável",IF(VLOOKUP(BQ78,Fundamentus!A:U,8,FALSE)&gt;3,"Alerta","n/a"))))</f>
        <v>Estável</v>
      </c>
      <c r="EP78" s="28" t="str">
        <f t="shared" si="111"/>
        <v>Bom</v>
      </c>
      <c r="EQ78" s="17" t="str">
        <f>IF(VLOOKUP(BQ78,Fundamentus!A:U,12,FALSE)&lt;2,"Subvalorizada",IF(VLOOKUP(BQ78,Fundamentus!A:U,12,FALSE)&lt;6,"Muita barata",IF(VLOOKUP(BQ78,Fundamentus!A:U,12,FALSE)&lt;6,"Barata",IF(VLOOKUP(BQ78,Fundamentus!A:U,12,FALSE)&lt;8,"Atrativa",IF(VLOOKUP(BQ78,Fundamentus!A:U,12,FALSE)&gt;8,"Supervalorizada","n/a")))))</f>
        <v>Muita barata</v>
      </c>
      <c r="ES78" s="17" t="str">
        <f>IF(VLOOKUP(BQ78,Fundamentus!A:U,17,FALSE)&lt;0.1,"Fraco retorno",IF(VLOOKUP(BQ78,Fundamentus!A:U,17,FALSE)&gt;0.1,"Bom retorno","n/a"))</f>
        <v>Bom retorno</v>
      </c>
      <c r="ET78" s="17" t="str">
        <f>IF(VLOOKUP(BQ78,Fundamentus!A:U,16,FALSE)&lt;0.1,"Ineficiente",IF(VLOOKUP(BQ78,Fundamentus!A:U,16,FALSE)&gt;0.1,"Eficiente","n/a"))</f>
        <v>Eficiente</v>
      </c>
      <c r="EU78" s="33" t="str">
        <f>IF(VLOOKUP(BQ78,Fundamentus!A:U,16,FALSE)&lt;0.1,"Oper. Ineficiente",IF(VLOOKUP(BQ78,Fundamentus!A:U,16,FALSE)&gt;0.1,"Oper.Eficiente","n/a"))</f>
        <v>Oper.Eficiente</v>
      </c>
      <c r="EV78" s="34">
        <f>VLOOKUP(BQ78,Fundamentus!A:U,14,FALSE)</f>
        <v>0.26719999999999999</v>
      </c>
      <c r="EW78" s="17" t="str">
        <f>IF(VLOOKUP(BQ78,Fundamentus!A:U,21,FALSE)&lt;0,"Negativo",IF(VLOOKUP(BQ78,Fundamentus!A:U,21,FALSE)&lt;0.05,"Fraco",IF(VLOOKUP(BQ78,Fundamentus!A:U,21,FALSE)&lt;0.1,"Bom",IF(VLOOKUP(BQ78,Fundamentus!A:U,21,FALSE)&gt;0.1,"Muito bom","n/a"))))</f>
        <v>Bom</v>
      </c>
      <c r="EY78" s="29" t="str">
        <f>IF(VLOOKUP(BQ78,Fundamentus!A:U,15,FALSE)&gt;1,"Bom",IF(VLOOKUP(BQ78,Fundamentus!A:U,15,FALSE)&lt;1,"Ruim","n/a"))</f>
        <v>Bom</v>
      </c>
      <c r="EZ78" s="17" t="str">
        <f>IF(VLOOKUP(BQ78,Fundamentus!A:U,20,FALSE)&lt;0.5,"Baixa",IF(VLOOKUP(BQ78,Fundamentus!A:U,20,FALSE)&lt;1,"Moderada",IF(VLOOKUP(BQ78,Fundamentus!A:U,20,FALSE)&lt;2,"Alerta",IF(VLOOKUP(BQ78,Fundamentus!A:U,20,FALSE)&gt;2,"Alta","n/a"))))</f>
        <v>Baixa</v>
      </c>
      <c r="FA78" s="10"/>
    </row>
    <row r="79" spans="1:157" s="2" customFormat="1" ht="11.25" hidden="1" x14ac:dyDescent="0.2">
      <c r="A79" s="4">
        <v>9.4</v>
      </c>
      <c r="B79" s="4">
        <v>9.44</v>
      </c>
      <c r="C79" s="4">
        <v>9.99</v>
      </c>
      <c r="D79" s="4">
        <v>9.25</v>
      </c>
      <c r="E79" s="4">
        <v>9.14</v>
      </c>
      <c r="F79" s="4">
        <v>9.01</v>
      </c>
      <c r="G79" s="4">
        <v>8.57</v>
      </c>
      <c r="H79" s="4">
        <v>8.18</v>
      </c>
      <c r="I79" s="4">
        <v>8.1</v>
      </c>
      <c r="J79" s="4">
        <v>8.31</v>
      </c>
      <c r="K79" s="4">
        <v>8.5500000000000007</v>
      </c>
      <c r="L79" s="4">
        <v>8.6999999999999993</v>
      </c>
      <c r="M79" s="4">
        <v>8.5399999999999991</v>
      </c>
      <c r="N79" s="4">
        <v>8.75</v>
      </c>
      <c r="O79" s="4">
        <v>9.17</v>
      </c>
      <c r="P79" s="4">
        <v>10.37</v>
      </c>
      <c r="Q79" s="4">
        <v>10.45</v>
      </c>
      <c r="R79" s="4">
        <v>9.9</v>
      </c>
      <c r="S79" s="4">
        <v>10.72</v>
      </c>
      <c r="T79" s="4">
        <v>10.61</v>
      </c>
      <c r="U79" s="4">
        <v>10.19</v>
      </c>
      <c r="V79" s="4">
        <v>10.15</v>
      </c>
      <c r="W79" s="4">
        <v>9.76</v>
      </c>
      <c r="X79" s="4">
        <v>9.41</v>
      </c>
      <c r="Y79" s="4">
        <v>8.98</v>
      </c>
      <c r="Z79" s="4">
        <v>9</v>
      </c>
      <c r="AA79" s="4">
        <v>8.01</v>
      </c>
      <c r="AB79" s="4">
        <v>8.02</v>
      </c>
      <c r="AC79" s="4">
        <v>7.64</v>
      </c>
      <c r="AD79" s="4">
        <v>7.49</v>
      </c>
      <c r="AE79" s="4">
        <v>7.15</v>
      </c>
      <c r="AF79" s="4">
        <v>7.01</v>
      </c>
      <c r="AG79" s="4">
        <v>6.75</v>
      </c>
      <c r="AH79" s="4">
        <v>6.79</v>
      </c>
      <c r="AI79" s="4">
        <v>6.39</v>
      </c>
      <c r="AJ79" s="4">
        <v>6.18</v>
      </c>
      <c r="AK79" s="4">
        <v>6.34</v>
      </c>
      <c r="AL79" s="4">
        <v>6.64</v>
      </c>
      <c r="AM79" s="4">
        <v>6.78</v>
      </c>
      <c r="AN79" s="4">
        <v>6.9</v>
      </c>
      <c r="AO79" s="4">
        <v>6.65</v>
      </c>
      <c r="AP79" s="4">
        <v>7.43</v>
      </c>
      <c r="AQ79" s="4">
        <v>7.17</v>
      </c>
      <c r="AR79" s="4">
        <v>7.08</v>
      </c>
      <c r="AS79" s="4">
        <v>7.09</v>
      </c>
      <c r="AT79" s="4">
        <v>7.21</v>
      </c>
      <c r="AU79" s="4">
        <v>7.4499999999999993</v>
      </c>
      <c r="AV79" s="4">
        <v>7.41</v>
      </c>
      <c r="AW79" s="4">
        <v>7</v>
      </c>
      <c r="AX79" s="4">
        <v>7.25</v>
      </c>
      <c r="AY79" s="12">
        <v>7.28</v>
      </c>
      <c r="AZ79" s="12">
        <v>7.54</v>
      </c>
      <c r="BA79" s="12">
        <v>7.61</v>
      </c>
      <c r="BB79" s="15">
        <v>7.89</v>
      </c>
      <c r="BC79" s="52">
        <v>7.74</v>
      </c>
      <c r="BD79" s="52">
        <v>8.57</v>
      </c>
      <c r="BE79" s="52">
        <v>9.1</v>
      </c>
      <c r="BF79" s="52">
        <v>8.19</v>
      </c>
      <c r="BG79" s="67">
        <v>8.15</v>
      </c>
      <c r="BH79" s="52">
        <v>8.1999999999999993</v>
      </c>
      <c r="BI79" s="52">
        <v>8.07</v>
      </c>
      <c r="BJ79" s="52">
        <v>7.8</v>
      </c>
      <c r="BK79" s="52">
        <v>7.43</v>
      </c>
      <c r="BL79" s="52">
        <v>7.6</v>
      </c>
      <c r="BM79" s="52">
        <v>7.93</v>
      </c>
      <c r="BN79" s="52">
        <v>7.73</v>
      </c>
      <c r="BO79" s="52">
        <v>7.42</v>
      </c>
      <c r="BP79" s="52" cm="1">
        <f t="array" aca="1" ref="BP79" ca="1">_FV(ED79,"Preço")</f>
        <v>8.25</v>
      </c>
      <c r="BQ79" s="69" t="s">
        <v>76</v>
      </c>
      <c r="BR79" s="36" cm="1">
        <f t="array" aca="1" ref="BR79" ca="1">_FV(ED79,"Média de volume",TRUE)</f>
        <v>2384000</v>
      </c>
      <c r="BS79" s="36">
        <v>760800</v>
      </c>
      <c r="BT79" s="36" cm="1">
        <f t="array" aca="1" ref="BT79" ca="1">_FV(ED79,"Volume")</f>
        <v>1744000</v>
      </c>
      <c r="BU79" s="24" cm="1">
        <f t="array" aca="1" ref="BU79" ca="1">_FV(ED79,"Beta")</f>
        <v>1.5057</v>
      </c>
      <c r="BV79" s="71" cm="1">
        <f t="array" aca="1" ref="BV79" ca="1">_FV(ED79,"Variação (%)",TRUE)</f>
        <v>-1.4336999999999999E-2</v>
      </c>
      <c r="BX79" s="17" cm="1">
        <f t="array" aca="1" ref="BX79" ca="1">_FV(ED79,"Baixo")</f>
        <v>8.16</v>
      </c>
      <c r="BY79" s="17" cm="1">
        <f t="array" aca="1" ref="BY79" ca="1">_FV(ED79,"Alto")</f>
        <v>8.3800000000000008</v>
      </c>
      <c r="BZ79" s="24"/>
      <c r="CA79" s="63">
        <f ca="1">SQRT(22.5*(BP79/VLOOKUP(BQ79,Fundamentus!A:U,3,FALSE))*(BP79/VLOOKUP(BQ79,Fundamentus!A:U,4,FALSE)))</f>
        <v>9.6131185258945742</v>
      </c>
      <c r="CC79" s="62">
        <f t="shared" ca="1" si="112"/>
        <v>0.11185983827493262</v>
      </c>
      <c r="CD79" s="8"/>
      <c r="CE79" s="61">
        <f t="shared" si="113"/>
        <v>6.18</v>
      </c>
      <c r="CF79" s="61">
        <f t="shared" si="114"/>
        <v>10.72</v>
      </c>
      <c r="CG79" s="61">
        <f t="shared" si="115"/>
        <v>8.1599999999999948</v>
      </c>
      <c r="CH79" s="14"/>
      <c r="CI79" s="35">
        <f t="shared" si="98"/>
        <v>7.1006251829269429</v>
      </c>
      <c r="CJ79" s="15">
        <f t="shared" si="116"/>
        <v>7.4850000000000705</v>
      </c>
      <c r="CK79" s="35">
        <f t="shared" si="99"/>
        <v>7.8693748170731981</v>
      </c>
      <c r="CM79" s="14"/>
      <c r="CN79" s="17">
        <f t="shared" si="100"/>
        <v>0.95333333333333314</v>
      </c>
      <c r="CO79" s="17">
        <f t="shared" si="101"/>
        <v>3.5666666666666664</v>
      </c>
      <c r="CP79" s="17">
        <f t="shared" si="102"/>
        <v>5.4933333333333341</v>
      </c>
      <c r="CQ79" s="38">
        <f t="shared" si="117"/>
        <v>8.1066666666666674</v>
      </c>
      <c r="CR79" s="17">
        <f t="shared" si="103"/>
        <v>10.033333333333335</v>
      </c>
      <c r="CS79" s="17">
        <f t="shared" si="104"/>
        <v>12.646666666666668</v>
      </c>
      <c r="CT79" s="17">
        <f t="shared" si="105"/>
        <v>14.573333333333336</v>
      </c>
      <c r="CU79" s="2" cm="1">
        <f t="array" aca="1" ref="CU79" ca="1">MAX(_xlfn._xlws.FILTER(CN79:CT79,CN79:CT79&lt;BP79))</f>
        <v>8.1066666666666674</v>
      </c>
      <c r="CV79" s="2" cm="1">
        <f t="array" aca="1" ref="CV79" ca="1">MIN(_xlfn._xlws.FILTER($CN79:$CT79,$CN79:$CT79&gt;BP79))</f>
        <v>10.033333333333335</v>
      </c>
      <c r="CW79" s="16">
        <f t="shared" ca="1" si="80"/>
        <v>0.23766447368421062</v>
      </c>
      <c r="CX79" s="20">
        <f t="shared" ca="1" si="81"/>
        <v>-0.11883223684210531</v>
      </c>
      <c r="CY79" s="20">
        <f t="shared" ca="1" si="82"/>
        <v>-7.9221491228070207E-2</v>
      </c>
      <c r="CZ79" s="20">
        <f t="shared" ca="1" si="83"/>
        <v>-4.7532894736842121E-2</v>
      </c>
      <c r="DA79" s="20">
        <f t="shared" ca="1" si="84"/>
        <v>-2.640716374269007E-2</v>
      </c>
      <c r="DB79" s="20">
        <f t="shared" ca="1" si="85"/>
        <v>-1.3980263157894742E-2</v>
      </c>
      <c r="DC79" s="20">
        <f t="shared" ca="1" si="86"/>
        <v>-7.2019537480063822E-3</v>
      </c>
      <c r="DD79" s="20">
        <f t="shared" ca="1" si="87"/>
        <v>-3.6563765182186249E-3</v>
      </c>
      <c r="DE79" s="21">
        <f t="shared" ca="1" si="88"/>
        <v>3.6563765182186249E-3</v>
      </c>
      <c r="DF79" s="21">
        <f t="shared" ca="1" si="89"/>
        <v>7.2019537480063822E-3</v>
      </c>
      <c r="DG79" s="21">
        <f t="shared" ca="1" si="90"/>
        <v>1.3980263157894742E-2</v>
      </c>
      <c r="DH79" s="21">
        <f t="shared" ca="1" si="91"/>
        <v>2.640716374269007E-2</v>
      </c>
      <c r="DI79" s="21">
        <f t="shared" ca="1" si="92"/>
        <v>4.7532894736842121E-2</v>
      </c>
      <c r="DJ79" s="21">
        <f t="shared" ca="1" si="93"/>
        <v>7.9221491228070207E-2</v>
      </c>
      <c r="DK79" s="21">
        <f t="shared" ca="1" si="94"/>
        <v>0.11883223684210531</v>
      </c>
      <c r="DM79" s="16" cm="1">
        <f t="array" aca="1" ref="DM79" ca="1">MAX(_xlfn._xlws.FILTER(CX79:DK79,CX79:DK79&lt;BV79))</f>
        <v>-2.640716374269007E-2</v>
      </c>
      <c r="DN79" s="16" cm="1">
        <f t="array" aca="1" ref="DN79" ca="1">MIN(_xlfn._xlws.FILTER(CX79:DK79,CX79:DK79&gt;BV79))</f>
        <v>-1.3980263157894742E-2</v>
      </c>
      <c r="DO79" s="2" cm="1">
        <f t="array" aca="1" ref="DO79" ca="1">_FV(ED79,"Fechamento anterior",TRUE)</f>
        <v>8.3699999999999992</v>
      </c>
      <c r="DP79" s="28">
        <f t="shared" ca="1" si="106"/>
        <v>0.97129981024668044</v>
      </c>
      <c r="DQ79" s="15">
        <f t="shared" ca="1" si="95"/>
        <v>8.1489720394736835</v>
      </c>
      <c r="DR79" s="15">
        <f t="shared" ca="1" si="96"/>
        <v>8.252985197368421</v>
      </c>
      <c r="DS79" s="9"/>
      <c r="DT79" s="9"/>
      <c r="DU79" s="9"/>
      <c r="DV79" s="89">
        <v>1.3568004430368793E-2</v>
      </c>
      <c r="DW79" s="89">
        <f t="shared" ca="1" si="107"/>
        <v>1.2426900584795328E-2</v>
      </c>
      <c r="DX79" s="72">
        <f t="shared" ca="1" si="108"/>
        <v>1.9902448496109142</v>
      </c>
      <c r="DY79" s="37"/>
      <c r="DZ79" s="35">
        <f t="shared" si="118"/>
        <v>0.19218740853656363</v>
      </c>
      <c r="EA79" s="56"/>
      <c r="EB79" s="56"/>
      <c r="ED79" s="2" t="e" vm="79">
        <v>#VALUE!</v>
      </c>
      <c r="EF79" s="10" cm="1">
        <f t="array" aca="1" ref="EF79" ca="1">_FV(ED79,"Ações em circulação",TRUE)</f>
        <v>611509500</v>
      </c>
      <c r="EG79" s="18">
        <f>VLOOKUP(BQ79,Fundamentus!A:U,5,FALSE)</f>
        <v>0</v>
      </c>
      <c r="EH79" s="2" t="e">
        <f t="shared" ca="1" si="109"/>
        <v>#DIV/0!</v>
      </c>
      <c r="EI79" s="17" t="e">
        <v>#DIV/0!</v>
      </c>
      <c r="EJ79" s="17" t="e">
        <f t="shared" ca="1" si="110"/>
        <v>#DIV/0!</v>
      </c>
      <c r="EL79" s="16" t="e">
        <f t="shared" ca="1" si="97"/>
        <v>#DIV/0!</v>
      </c>
      <c r="EM79" s="32" t="str">
        <f>IF(VLOOKUP(BQ79,Fundamentus!A:U,3,FALSE)&lt;15,"Bom",IF(VLOOKUP(BQ79,Fundamentus!A:U,3,FALSE)&gt;15,"Ruim","n/a"))</f>
        <v>Bom</v>
      </c>
      <c r="EN79" s="28" t="str">
        <f>IF(VLOOKUP(BQ79,Fundamentus!A:U,4,FALSE)&lt;1,"Baixo",IF(VLOOKUP(BQ79,Fundamentus!A:U,4,FALSE)&lt;1.5,"Moderado",IF(VLOOKUP(BQ79,Fundamentus!A:U,4,FALSE)&gt;1.5,"Alto","n/a")))</f>
        <v>Moderado</v>
      </c>
      <c r="EO79" s="17" t="str">
        <f>IF(VLOOKUP(BQ79,Fundamentus!A:U,8,FALSE)&lt;0,"Risco elevado",IF(VLOOKUP(BQ79,Fundamentus!A:U,8,FALSE)&lt;1,"Saudável",IF(VLOOKUP(BQ79,Fundamentus!A:U,8,FALSE)&lt;3,"Estável",IF(VLOOKUP(BQ79,Fundamentus!A:U,8,FALSE)&gt;3,"Alerta","n/a"))))</f>
        <v>Saudável</v>
      </c>
      <c r="EP79" s="28" t="str">
        <f t="shared" si="111"/>
        <v>Ruim</v>
      </c>
      <c r="EQ79" s="17" t="str">
        <f>IF(VLOOKUP(BQ79,Fundamentus!A:U,12,FALSE)&lt;2,"Subvalorizada",IF(VLOOKUP(BQ79,Fundamentus!A:U,12,FALSE)&lt;6,"Muita barata",IF(VLOOKUP(BQ79,Fundamentus!A:U,12,FALSE)&lt;6,"Barata",IF(VLOOKUP(BQ79,Fundamentus!A:U,12,FALSE)&lt;8,"Atrativa",IF(VLOOKUP(BQ79,Fundamentus!A:U,12,FALSE)&gt;8,"Supervalorizada","n/a")))))</f>
        <v>Subvalorizada</v>
      </c>
      <c r="ES79" s="17" t="str">
        <f>IF(VLOOKUP(BQ79,Fundamentus!A:U,17,FALSE)&lt;0.1,"Fraco retorno",IF(VLOOKUP(BQ79,Fundamentus!A:U,17,FALSE)&gt;0.1,"Bom retorno","n/a"))</f>
        <v>Bom retorno</v>
      </c>
      <c r="ET79" s="17" t="str">
        <f>IF(VLOOKUP(BQ79,Fundamentus!A:U,16,FALSE)&lt;0.1,"Ineficiente",IF(VLOOKUP(BQ79,Fundamentus!A:U,16,FALSE)&gt;0.1,"Eficiente","n/a"))</f>
        <v>Ineficiente</v>
      </c>
      <c r="EU79" s="33" t="str">
        <f>IF(VLOOKUP(BQ79,Fundamentus!A:U,16,FALSE)&lt;0.1,"Oper. Ineficiente",IF(VLOOKUP(BQ79,Fundamentus!A:U,16,FALSE)&gt;0.1,"Oper.Eficiente","n/a"))</f>
        <v>Oper. Ineficiente</v>
      </c>
      <c r="EV79" s="34">
        <f>VLOOKUP(BQ79,Fundamentus!A:U,14,FALSE)</f>
        <v>0</v>
      </c>
      <c r="EW79" s="17" t="str">
        <f>IF(VLOOKUP(BQ79,Fundamentus!A:U,21,FALSE)&lt;0,"Negativo",IF(VLOOKUP(BQ79,Fundamentus!A:U,21,FALSE)&lt;0.05,"Fraco",IF(VLOOKUP(BQ79,Fundamentus!A:U,21,FALSE)&lt;0.1,"Bom",IF(VLOOKUP(BQ79,Fundamentus!A:U,21,FALSE)&gt;0.1,"Muito bom","n/a"))))</f>
        <v>Fraco</v>
      </c>
      <c r="EY79" s="29" t="str">
        <f>IF(VLOOKUP(BQ79,Fundamentus!A:U,15,FALSE)&gt;1,"Bom",IF(VLOOKUP(BQ79,Fundamentus!A:U,15,FALSE)&lt;1,"Ruim","n/a"))</f>
        <v>Ruim</v>
      </c>
      <c r="EZ79" s="17" t="str">
        <f>IF(VLOOKUP(BQ79,Fundamentus!A:U,20,FALSE)&lt;0.5,"Baixa",IF(VLOOKUP(BQ79,Fundamentus!A:U,20,FALSE)&lt;1,"Moderada",IF(VLOOKUP(BQ79,Fundamentus!A:U,20,FALSE)&lt;2,"Alerta",IF(VLOOKUP(BQ79,Fundamentus!A:U,20,FALSE)&gt;2,"Alta","n/a"))))</f>
        <v>Baixa</v>
      </c>
      <c r="FA79" s="10"/>
    </row>
    <row r="80" spans="1:157" s="2" customFormat="1" ht="11.25" hidden="1" x14ac:dyDescent="0.2">
      <c r="A80" s="4">
        <v>38.770000000000003</v>
      </c>
      <c r="B80" s="4">
        <v>38.9</v>
      </c>
      <c r="C80" s="4">
        <v>39.64</v>
      </c>
      <c r="D80" s="4">
        <v>38.340000000000003</v>
      </c>
      <c r="E80" s="4">
        <v>37.75</v>
      </c>
      <c r="F80" s="4">
        <v>37.85</v>
      </c>
      <c r="G80" s="4">
        <v>38.770000000000003</v>
      </c>
      <c r="H80" s="4">
        <v>41.08</v>
      </c>
      <c r="I80" s="4">
        <v>42</v>
      </c>
      <c r="J80" s="4">
        <v>42.19</v>
      </c>
      <c r="K80" s="4">
        <v>45.88</v>
      </c>
      <c r="L80" s="4">
        <v>47.29</v>
      </c>
      <c r="M80" s="4">
        <v>46.92</v>
      </c>
      <c r="N80" s="4">
        <v>49.82</v>
      </c>
      <c r="O80" s="4">
        <v>49.7</v>
      </c>
      <c r="P80" s="4">
        <v>53.36</v>
      </c>
      <c r="Q80" s="4">
        <v>53.81</v>
      </c>
      <c r="R80" s="4">
        <v>54.15</v>
      </c>
      <c r="S80" s="4">
        <v>52.88</v>
      </c>
      <c r="T80" s="4">
        <v>53.62</v>
      </c>
      <c r="U80" s="4">
        <v>52.52</v>
      </c>
      <c r="V80" s="4">
        <v>56.03</v>
      </c>
      <c r="W80" s="4">
        <v>54.5</v>
      </c>
      <c r="X80" s="4">
        <v>54.17</v>
      </c>
      <c r="Y80" s="4">
        <v>54.87</v>
      </c>
      <c r="Z80" s="4">
        <v>55.47</v>
      </c>
      <c r="AA80" s="4">
        <v>54.7</v>
      </c>
      <c r="AB80" s="4">
        <v>55.09</v>
      </c>
      <c r="AC80" s="4">
        <v>54.35</v>
      </c>
      <c r="AD80" s="4">
        <v>54.01</v>
      </c>
      <c r="AE80" s="4">
        <v>53.94</v>
      </c>
      <c r="AF80" s="4">
        <v>55.6</v>
      </c>
      <c r="AG80" s="4">
        <v>57.66</v>
      </c>
      <c r="AH80" s="4">
        <v>54.24</v>
      </c>
      <c r="AI80" s="4">
        <v>53.68</v>
      </c>
      <c r="AJ80" s="4">
        <v>52.46</v>
      </c>
      <c r="AK80" s="4">
        <v>53.35</v>
      </c>
      <c r="AL80" s="4">
        <v>54.17</v>
      </c>
      <c r="AM80" s="4">
        <v>57.87</v>
      </c>
      <c r="AN80" s="4">
        <v>55.04</v>
      </c>
      <c r="AO80" s="4">
        <v>53.94</v>
      </c>
      <c r="AP80" s="4">
        <v>53.8</v>
      </c>
      <c r="AQ80" s="4">
        <v>52.95</v>
      </c>
      <c r="AR80" s="4">
        <v>48.42</v>
      </c>
      <c r="AS80" s="4">
        <v>47.89</v>
      </c>
      <c r="AT80" s="4">
        <v>46.74</v>
      </c>
      <c r="AU80" s="4">
        <v>47.674999999999997</v>
      </c>
      <c r="AV80" s="4">
        <v>45.85</v>
      </c>
      <c r="AW80" s="4">
        <v>43.72</v>
      </c>
      <c r="AX80" s="4">
        <v>45.12</v>
      </c>
      <c r="AY80" s="12">
        <v>45.95</v>
      </c>
      <c r="AZ80" s="12">
        <v>49.89</v>
      </c>
      <c r="BA80" s="12">
        <v>44.64</v>
      </c>
      <c r="BB80" s="15">
        <v>42.21</v>
      </c>
      <c r="BC80" s="52">
        <v>44.17</v>
      </c>
      <c r="BD80" s="52">
        <v>43.69</v>
      </c>
      <c r="BE80" s="52">
        <v>42.35</v>
      </c>
      <c r="BF80" s="52">
        <v>42.57</v>
      </c>
      <c r="BG80" s="67">
        <v>42.39</v>
      </c>
      <c r="BH80" s="52">
        <v>41.64</v>
      </c>
      <c r="BI80" s="52">
        <v>42.35</v>
      </c>
      <c r="BJ80" s="52">
        <v>43</v>
      </c>
      <c r="BK80" s="52">
        <v>39.450000000000003</v>
      </c>
      <c r="BL80" s="52">
        <v>42.37</v>
      </c>
      <c r="BM80" s="52">
        <v>36.17</v>
      </c>
      <c r="BN80" s="52">
        <v>37.18</v>
      </c>
      <c r="BO80" s="52">
        <v>38.07</v>
      </c>
      <c r="BP80" s="52" cm="1">
        <f t="array" aca="1" ref="BP80" ca="1">_FV(ED80,"Preço")</f>
        <v>35.97</v>
      </c>
      <c r="BQ80" s="69" t="s">
        <v>77</v>
      </c>
      <c r="BR80" s="36" cm="1">
        <f t="array" aca="1" ref="BR80" ca="1">_FV(ED80,"Média de volume",TRUE)</f>
        <v>8985530</v>
      </c>
      <c r="BS80" s="36">
        <v>7471100</v>
      </c>
      <c r="BT80" s="36" cm="1">
        <f t="array" aca="1" ref="BT80" ca="1">_FV(ED80,"Volume")</f>
        <v>7172700</v>
      </c>
      <c r="BU80" s="24" cm="1">
        <f t="array" aca="1" ref="BU80" ca="1">_FV(ED80,"Beta")</f>
        <v>0.34489999999999998</v>
      </c>
      <c r="BV80" s="71" cm="1">
        <f t="array" aca="1" ref="BV80" ca="1">_FV(ED80,"Variação (%)",TRUE)</f>
        <v>-1.4250000000000001E-2</v>
      </c>
      <c r="BX80" s="17" cm="1">
        <f t="array" aca="1" ref="BX80" ca="1">_FV(ED80,"Baixo")</f>
        <v>35.72</v>
      </c>
      <c r="BY80" s="17" cm="1">
        <f t="array" aca="1" ref="BY80" ca="1">_FV(ED80,"Alto")</f>
        <v>36.799999999999997</v>
      </c>
      <c r="BZ80" s="24"/>
      <c r="CA80" s="63">
        <f ca="1">SQRT(22.5*(BP80/VLOOKUP(BQ80,Fundamentus!A:U,3,FALSE))*(BP80/VLOOKUP(BQ80,Fundamentus!A:U,4,FALSE)))</f>
        <v>12.763125111099361</v>
      </c>
      <c r="CC80" s="62">
        <f t="shared" ca="1" si="112"/>
        <v>-5.5161544523246689E-2</v>
      </c>
      <c r="CD80" s="8"/>
      <c r="CE80" s="61">
        <f t="shared" si="113"/>
        <v>36.17</v>
      </c>
      <c r="CF80" s="61">
        <f t="shared" si="114"/>
        <v>57.87</v>
      </c>
      <c r="CG80" s="61">
        <f t="shared" si="115"/>
        <v>47.770671641791019</v>
      </c>
      <c r="CH80" s="14"/>
      <c r="CI80" s="35">
        <f t="shared" si="98"/>
        <v>31.173736929691831</v>
      </c>
      <c r="CJ80" s="15">
        <f t="shared" si="116"/>
        <v>35.475000000000364</v>
      </c>
      <c r="CK80" s="35">
        <f t="shared" si="99"/>
        <v>39.776263070308893</v>
      </c>
      <c r="CM80" s="14"/>
      <c r="CN80" s="17">
        <f t="shared" si="100"/>
        <v>8.5033333333333303</v>
      </c>
      <c r="CO80" s="17">
        <f t="shared" si="101"/>
        <v>22.336666666666666</v>
      </c>
      <c r="CP80" s="17">
        <f t="shared" si="102"/>
        <v>30.203333333333326</v>
      </c>
      <c r="CQ80" s="38">
        <f t="shared" si="117"/>
        <v>44.036666666666662</v>
      </c>
      <c r="CR80" s="17">
        <f t="shared" si="103"/>
        <v>51.903333333333322</v>
      </c>
      <c r="CS80" s="17">
        <f t="shared" si="104"/>
        <v>65.73666666666665</v>
      </c>
      <c r="CT80" s="17">
        <f t="shared" si="105"/>
        <v>73.603333333333325</v>
      </c>
      <c r="CU80" s="2" cm="1">
        <f t="array" aca="1" ref="CU80" ca="1">MAX(_xlfn._xlws.FILTER(CN80:CT80,CN80:CT80&lt;BP80))</f>
        <v>30.203333333333326</v>
      </c>
      <c r="CV80" s="2" cm="1">
        <f t="array" aca="1" ref="CV80" ca="1">MIN(_xlfn._xlws.FILTER($CN80:$CT80,$CN80:$CT80&gt;BP80))</f>
        <v>44.036666666666662</v>
      </c>
      <c r="CW80" s="16">
        <f t="shared" ca="1" si="80"/>
        <v>0.45800684251186419</v>
      </c>
      <c r="CX80" s="20">
        <f t="shared" ca="1" si="81"/>
        <v>-0.22900342125593209</v>
      </c>
      <c r="CY80" s="20">
        <f t="shared" ca="1" si="82"/>
        <v>-0.15266894750395474</v>
      </c>
      <c r="CZ80" s="20">
        <f t="shared" ca="1" si="83"/>
        <v>-9.160136850237284E-2</v>
      </c>
      <c r="DA80" s="20">
        <f t="shared" ca="1" si="84"/>
        <v>-5.0889649167984913E-2</v>
      </c>
      <c r="DB80" s="20">
        <f t="shared" ca="1" si="85"/>
        <v>-2.6941578971286129E-2</v>
      </c>
      <c r="DC80" s="20">
        <f t="shared" ca="1" si="86"/>
        <v>-1.3878995227632248E-2</v>
      </c>
      <c r="DD80" s="20">
        <f t="shared" ca="1" si="87"/>
        <v>-7.046259115567141E-3</v>
      </c>
      <c r="DE80" s="21">
        <f t="shared" ca="1" si="88"/>
        <v>7.046259115567141E-3</v>
      </c>
      <c r="DF80" s="21">
        <f t="shared" ca="1" si="89"/>
        <v>1.3878995227632248E-2</v>
      </c>
      <c r="DG80" s="21">
        <f t="shared" ca="1" si="90"/>
        <v>2.6941578971286129E-2</v>
      </c>
      <c r="DH80" s="21">
        <f t="shared" ca="1" si="91"/>
        <v>5.0889649167984913E-2</v>
      </c>
      <c r="DI80" s="21">
        <f t="shared" ca="1" si="92"/>
        <v>9.160136850237284E-2</v>
      </c>
      <c r="DJ80" s="21">
        <f t="shared" ca="1" si="93"/>
        <v>0.15266894750395474</v>
      </c>
      <c r="DK80" s="21">
        <f t="shared" ca="1" si="94"/>
        <v>0.22900342125593209</v>
      </c>
      <c r="DM80" s="16" cm="1">
        <f t="array" aca="1" ref="DM80" ca="1">MAX(_xlfn._xlws.FILTER(CX80:DK80,CX80:DK80&lt;BV80))</f>
        <v>-2.6941578971286129E-2</v>
      </c>
      <c r="DN80" s="16" cm="1">
        <f t="array" aca="1" ref="DN80" ca="1">MIN(_xlfn._xlws.FILTER(CX80:DK80,CX80:DK80&gt;BV80))</f>
        <v>-1.3878995227632248E-2</v>
      </c>
      <c r="DO80" s="2" cm="1">
        <f t="array" aca="1" ref="DO80" ca="1">_FV(ED80,"Fechamento anterior",TRUE)</f>
        <v>36.49</v>
      </c>
      <c r="DP80" s="28">
        <f t="shared" ca="1" si="106"/>
        <v>0.97156118857452201</v>
      </c>
      <c r="DQ80" s="15">
        <f t="shared" ca="1" si="95"/>
        <v>35.506901783337774</v>
      </c>
      <c r="DR80" s="15">
        <f t="shared" ca="1" si="96"/>
        <v>35.983555464143699</v>
      </c>
      <c r="DS80" s="9"/>
      <c r="DT80" s="9"/>
      <c r="DU80" s="9"/>
      <c r="DV80" s="89">
        <v>1.3062583743653881E-2</v>
      </c>
      <c r="DW80" s="89">
        <f t="shared" ca="1" si="107"/>
        <v>1.3062583743653881E-2</v>
      </c>
      <c r="DX80" s="72">
        <f t="shared" ca="1" si="108"/>
        <v>0.11508247505636253</v>
      </c>
      <c r="DY80" s="37"/>
      <c r="DZ80" s="35">
        <f t="shared" si="118"/>
        <v>2.150631535154266</v>
      </c>
      <c r="EA80" s="56"/>
      <c r="EB80" s="56"/>
      <c r="ED80" s="2" t="e" vm="80">
        <v>#VALUE!</v>
      </c>
      <c r="EF80" s="10" cm="1">
        <f t="array" aca="1" ref="EF80" ca="1">_FV(ED80,"Ações em circulação",TRUE)</f>
        <v>4197318000</v>
      </c>
      <c r="EG80" s="18">
        <f>VLOOKUP(BQ80,Fundamentus!A:U,5,FALSE)</f>
        <v>3.895</v>
      </c>
      <c r="EH80" s="2">
        <f t="shared" ca="1" si="109"/>
        <v>38761881504.492943</v>
      </c>
      <c r="EI80" s="17">
        <v>6769104719.6148911</v>
      </c>
      <c r="EJ80" s="17">
        <f t="shared" ca="1" si="110"/>
        <v>6395710448.2413359</v>
      </c>
      <c r="EL80" s="16">
        <f t="shared" ca="1" si="97"/>
        <v>-5.5161544523246508E-2</v>
      </c>
      <c r="EM80" s="32" t="str">
        <f>IF(VLOOKUP(BQ80,Fundamentus!A:U,3,FALSE)&lt;15,"Bom",IF(VLOOKUP(BQ80,Fundamentus!A:U,3,FALSE)&gt;15,"Ruim","n/a"))</f>
        <v>Ruim</v>
      </c>
      <c r="EN80" s="28" t="str">
        <f>IF(VLOOKUP(BQ80,Fundamentus!A:U,4,FALSE)&lt;1,"Baixo",IF(VLOOKUP(BQ80,Fundamentus!A:U,4,FALSE)&lt;1.5,"Moderado",IF(VLOOKUP(BQ80,Fundamentus!A:U,4,FALSE)&gt;1.5,"Alto","n/a")))</f>
        <v>Alto</v>
      </c>
      <c r="EO80" s="17" t="str">
        <f>IF(VLOOKUP(BQ80,Fundamentus!A:U,8,FALSE)&lt;0,"Risco elevado",IF(VLOOKUP(BQ80,Fundamentus!A:U,8,FALSE)&lt;1,"Saudável",IF(VLOOKUP(BQ80,Fundamentus!A:U,8,FALSE)&lt;3,"Estável",IF(VLOOKUP(BQ80,Fundamentus!A:U,8,FALSE)&gt;3,"Alerta","n/a"))))</f>
        <v>Alerta</v>
      </c>
      <c r="EP80" s="28" t="str">
        <f t="shared" si="111"/>
        <v>Bom</v>
      </c>
      <c r="EQ80" s="17" t="str">
        <f>IF(VLOOKUP(BQ80,Fundamentus!A:U,12,FALSE)&lt;2,"Subvalorizada",IF(VLOOKUP(BQ80,Fundamentus!A:U,12,FALSE)&lt;6,"Muita barata",IF(VLOOKUP(BQ80,Fundamentus!A:U,12,FALSE)&lt;6,"Barata",IF(VLOOKUP(BQ80,Fundamentus!A:U,12,FALSE)&lt;8,"Atrativa",IF(VLOOKUP(BQ80,Fundamentus!A:U,12,FALSE)&gt;8,"Supervalorizada","n/a")))))</f>
        <v>Supervalorizada</v>
      </c>
      <c r="ES80" s="17" t="str">
        <f>IF(VLOOKUP(BQ80,Fundamentus!A:U,17,FALSE)&lt;0.1,"Fraco retorno",IF(VLOOKUP(BQ80,Fundamentus!A:U,17,FALSE)&gt;0.1,"Bom retorno","n/a"))</f>
        <v>Bom retorno</v>
      </c>
      <c r="ET80" s="17" t="str">
        <f>IF(VLOOKUP(BQ80,Fundamentus!A:U,16,FALSE)&lt;0.1,"Ineficiente",IF(VLOOKUP(BQ80,Fundamentus!A:U,16,FALSE)&gt;0.1,"Eficiente","n/a"))</f>
        <v>Eficiente</v>
      </c>
      <c r="EU80" s="33" t="str">
        <f>IF(VLOOKUP(BQ80,Fundamentus!A:U,16,FALSE)&lt;0.1,"Oper. Ineficiente",IF(VLOOKUP(BQ80,Fundamentus!A:U,16,FALSE)&gt;0.1,"Oper.Eficiente","n/a"))</f>
        <v>Oper.Eficiente</v>
      </c>
      <c r="EV80" s="34">
        <f>VLOOKUP(BQ80,Fundamentus!A:U,14,FALSE)</f>
        <v>0.16500000000000001</v>
      </c>
      <c r="EW80" s="17" t="str">
        <f>IF(VLOOKUP(BQ80,Fundamentus!A:U,21,FALSE)&lt;0,"Negativo",IF(VLOOKUP(BQ80,Fundamentus!A:U,21,FALSE)&lt;0.05,"Fraco",IF(VLOOKUP(BQ80,Fundamentus!A:U,21,FALSE)&lt;0.1,"Bom",IF(VLOOKUP(BQ80,Fundamentus!A:U,21,FALSE)&gt;0.1,"Muito bom","n/a"))))</f>
        <v>Muito bom</v>
      </c>
      <c r="EY80" s="29" t="str">
        <f>IF(VLOOKUP(BQ80,Fundamentus!A:U,15,FALSE)&gt;1,"Bom",IF(VLOOKUP(BQ80,Fundamentus!A:U,15,FALSE)&lt;1,"Ruim","n/a"))</f>
        <v>Bom</v>
      </c>
      <c r="EZ80" s="17" t="str">
        <f>IF(VLOOKUP(BQ80,Fundamentus!A:U,20,FALSE)&lt;0.5,"Baixa",IF(VLOOKUP(BQ80,Fundamentus!A:U,20,FALSE)&lt;1,"Moderada",IF(VLOOKUP(BQ80,Fundamentus!A:U,20,FALSE)&lt;2,"Alerta",IF(VLOOKUP(BQ80,Fundamentus!A:U,20,FALSE)&gt;2,"Alta","n/a"))))</f>
        <v>Baixa</v>
      </c>
      <c r="FA80" s="10"/>
    </row>
    <row r="81" spans="1:157" s="2" customFormat="1" ht="11.25" hidden="1" x14ac:dyDescent="0.2">
      <c r="A81" s="4">
        <v>42.64</v>
      </c>
      <c r="B81" s="4">
        <v>43.77</v>
      </c>
      <c r="C81" s="4">
        <v>43.58</v>
      </c>
      <c r="D81" s="4">
        <v>43.61</v>
      </c>
      <c r="E81" s="4">
        <v>43.37</v>
      </c>
      <c r="F81" s="4">
        <v>43.48</v>
      </c>
      <c r="G81" s="4">
        <v>44.16</v>
      </c>
      <c r="H81" s="4">
        <v>44.12</v>
      </c>
      <c r="I81" s="4">
        <v>44.18</v>
      </c>
      <c r="J81" s="4">
        <v>45.25</v>
      </c>
      <c r="K81" s="4">
        <v>46.61</v>
      </c>
      <c r="L81" s="4">
        <v>45.6</v>
      </c>
      <c r="M81" s="4">
        <v>44.55</v>
      </c>
      <c r="N81" s="4">
        <v>44.11</v>
      </c>
      <c r="O81" s="4">
        <v>45.68</v>
      </c>
      <c r="P81" s="4">
        <v>46.19</v>
      </c>
      <c r="Q81" s="4">
        <v>45.8</v>
      </c>
      <c r="R81" s="4">
        <v>45.16</v>
      </c>
      <c r="S81" s="4">
        <v>44.98</v>
      </c>
      <c r="T81" s="4">
        <v>44.12</v>
      </c>
      <c r="U81" s="4">
        <v>43.71</v>
      </c>
      <c r="V81" s="4">
        <v>42.92</v>
      </c>
      <c r="W81" s="4">
        <v>41.94</v>
      </c>
      <c r="X81" s="4">
        <v>40.590000000000003</v>
      </c>
      <c r="Y81" s="4">
        <v>40.82</v>
      </c>
      <c r="Z81" s="4">
        <v>40.799999999999997</v>
      </c>
      <c r="AA81" s="4">
        <v>41.11</v>
      </c>
      <c r="AB81" s="4">
        <v>40.270000000000003</v>
      </c>
      <c r="AC81" s="4">
        <v>39.42</v>
      </c>
      <c r="AD81" s="4">
        <v>38.590000000000003</v>
      </c>
      <c r="AE81" s="4">
        <v>37.799999999999997</v>
      </c>
      <c r="AF81" s="4">
        <v>38</v>
      </c>
      <c r="AG81" s="4">
        <v>37.07</v>
      </c>
      <c r="AH81" s="4">
        <v>35.619999999999997</v>
      </c>
      <c r="AI81" s="4">
        <v>34.950000000000003</v>
      </c>
      <c r="AJ81" s="4">
        <v>35.31</v>
      </c>
      <c r="AK81" s="4">
        <v>34.96</v>
      </c>
      <c r="AL81" s="4">
        <v>35.200000000000003</v>
      </c>
      <c r="AM81" s="4">
        <v>35.17</v>
      </c>
      <c r="AN81" s="4">
        <v>36.799999999999997</v>
      </c>
      <c r="AO81" s="4">
        <v>35.950000000000003</v>
      </c>
      <c r="AP81" s="4">
        <v>36.58</v>
      </c>
      <c r="AQ81" s="4">
        <v>36.58</v>
      </c>
      <c r="AR81" s="4">
        <v>37.17</v>
      </c>
      <c r="AS81" s="4">
        <v>37.770000000000003</v>
      </c>
      <c r="AT81" s="4">
        <v>37.770000000000003</v>
      </c>
      <c r="AU81" s="4">
        <v>39.305</v>
      </c>
      <c r="AV81" s="4">
        <v>39.07</v>
      </c>
      <c r="AW81" s="4">
        <v>39.64</v>
      </c>
      <c r="AX81" s="4">
        <v>39.65</v>
      </c>
      <c r="AY81" s="12">
        <v>39.29</v>
      </c>
      <c r="AZ81" s="12">
        <v>40.26</v>
      </c>
      <c r="BA81" s="12">
        <v>41.57</v>
      </c>
      <c r="BB81" s="15">
        <v>39.82</v>
      </c>
      <c r="BC81" s="52">
        <v>40.74</v>
      </c>
      <c r="BD81" s="52">
        <v>40.450000000000003</v>
      </c>
      <c r="BE81" s="52">
        <v>41.06</v>
      </c>
      <c r="BF81" s="52">
        <v>40.6</v>
      </c>
      <c r="BG81" s="67">
        <v>40.46</v>
      </c>
      <c r="BH81" s="52">
        <v>40.049999999999997</v>
      </c>
      <c r="BI81" s="52">
        <v>45.03</v>
      </c>
      <c r="BJ81" s="52">
        <v>46.3</v>
      </c>
      <c r="BK81" s="52">
        <v>41.6</v>
      </c>
      <c r="BL81" s="52">
        <v>41.71</v>
      </c>
      <c r="BM81" s="52">
        <v>42.15</v>
      </c>
      <c r="BN81" s="52">
        <v>40.200000000000003</v>
      </c>
      <c r="BO81" s="52">
        <v>40.6</v>
      </c>
      <c r="BP81" s="52" cm="1">
        <f t="array" aca="1" ref="BP81" ca="1">_FV(ED81,"Preço")</f>
        <v>39.35</v>
      </c>
      <c r="BQ81" s="69" t="s">
        <v>78</v>
      </c>
      <c r="BR81" s="36" cm="1">
        <f t="array" aca="1" ref="BR81" ca="1">_FV(ED81,"Média de volume",TRUE)</f>
        <v>874140</v>
      </c>
      <c r="BS81" s="36">
        <v>1139700</v>
      </c>
      <c r="BT81" s="36" cm="1">
        <f t="array" aca="1" ref="BT81" ca="1">_FV(ED81,"Volume")</f>
        <v>935800</v>
      </c>
      <c r="BU81" s="24" cm="1">
        <f t="array" aca="1" ref="BU81" ca="1">_FV(ED81,"Beta")</f>
        <v>0.58050000000000002</v>
      </c>
      <c r="BV81" s="71" cm="1">
        <f t="array" aca="1" ref="BV81" ca="1">_FV(ED81,"Variação (%)",TRUE)</f>
        <v>2.542E-4</v>
      </c>
      <c r="BX81" s="17" cm="1">
        <f t="array" aca="1" ref="BX81" ca="1">_FV(ED81,"Baixo")</f>
        <v>38.96</v>
      </c>
      <c r="BY81" s="17" cm="1">
        <f t="array" aca="1" ref="BY81" ca="1">_FV(ED81,"Alto")</f>
        <v>39.72</v>
      </c>
      <c r="BZ81" s="24"/>
      <c r="CA81" s="63">
        <f ca="1">SQRT(22.5*(BP81/VLOOKUP(BQ81,Fundamentus!A:U,3,FALSE))*(BP81/VLOOKUP(BQ81,Fundamentus!A:U,4,FALSE)))</f>
        <v>34.296926184918284</v>
      </c>
      <c r="CC81" s="62">
        <f t="shared" ca="1" si="112"/>
        <v>-3.0788177339901478E-2</v>
      </c>
      <c r="CD81" s="8"/>
      <c r="CE81" s="61">
        <f t="shared" si="113"/>
        <v>34.950000000000003</v>
      </c>
      <c r="CF81" s="61">
        <f t="shared" si="114"/>
        <v>46.61</v>
      </c>
      <c r="CG81" s="61">
        <f t="shared" si="115"/>
        <v>40.9460447761194</v>
      </c>
      <c r="CH81" s="14"/>
      <c r="CI81" s="35">
        <f t="shared" si="98"/>
        <v>38.383745744232286</v>
      </c>
      <c r="CJ81" s="15">
        <f t="shared" si="116"/>
        <v>39.845000000000255</v>
      </c>
      <c r="CK81" s="35">
        <f t="shared" si="99"/>
        <v>41.306254255768224</v>
      </c>
      <c r="CM81" s="14"/>
      <c r="CN81" s="17">
        <f t="shared" si="100"/>
        <v>23.17</v>
      </c>
      <c r="CO81" s="17">
        <f t="shared" si="101"/>
        <v>29.060000000000002</v>
      </c>
      <c r="CP81" s="17">
        <f t="shared" si="102"/>
        <v>34.83</v>
      </c>
      <c r="CQ81" s="38">
        <f t="shared" si="117"/>
        <v>40.72</v>
      </c>
      <c r="CR81" s="17">
        <f t="shared" si="103"/>
        <v>46.489999999999995</v>
      </c>
      <c r="CS81" s="17">
        <f t="shared" si="104"/>
        <v>52.379999999999995</v>
      </c>
      <c r="CT81" s="17">
        <f t="shared" si="105"/>
        <v>58.149999999999991</v>
      </c>
      <c r="CU81" s="2" cm="1">
        <f t="array" aca="1" ref="CU81" ca="1">MAX(_xlfn._xlws.FILTER(CN81:CT81,CN81:CT81&lt;BP81))</f>
        <v>34.83</v>
      </c>
      <c r="CV81" s="2" cm="1">
        <f t="array" aca="1" ref="CV81" ca="1">MIN(_xlfn._xlws.FILTER($CN81:$CT81,$CN81:$CT81&gt;BP81))</f>
        <v>40.72</v>
      </c>
      <c r="CW81" s="16">
        <f t="shared" ca="1" si="80"/>
        <v>0.16910709158771176</v>
      </c>
      <c r="CX81" s="20">
        <f t="shared" ca="1" si="81"/>
        <v>-8.4553545793855878E-2</v>
      </c>
      <c r="CY81" s="20">
        <f t="shared" ca="1" si="82"/>
        <v>-5.6369030529237252E-2</v>
      </c>
      <c r="CZ81" s="20">
        <f t="shared" ca="1" si="83"/>
        <v>-3.3821418317542352E-2</v>
      </c>
      <c r="DA81" s="20">
        <f t="shared" ca="1" si="84"/>
        <v>-1.8789676843079084E-2</v>
      </c>
      <c r="DB81" s="20">
        <f t="shared" ca="1" si="85"/>
        <v>-9.9474759757477507E-3</v>
      </c>
      <c r="DC81" s="20">
        <f t="shared" ca="1" si="86"/>
        <v>-5.1244573208397504E-3</v>
      </c>
      <c r="DD81" s="20">
        <f t="shared" ca="1" si="87"/>
        <v>-2.6016475628878734E-3</v>
      </c>
      <c r="DE81" s="21">
        <f t="shared" ca="1" si="88"/>
        <v>2.6016475628878734E-3</v>
      </c>
      <c r="DF81" s="21">
        <f t="shared" ca="1" si="89"/>
        <v>5.1244573208397504E-3</v>
      </c>
      <c r="DG81" s="21">
        <f t="shared" ca="1" si="90"/>
        <v>9.9474759757477507E-3</v>
      </c>
      <c r="DH81" s="21">
        <f t="shared" ca="1" si="91"/>
        <v>1.8789676843079084E-2</v>
      </c>
      <c r="DI81" s="21">
        <f t="shared" ca="1" si="92"/>
        <v>3.3821418317542352E-2</v>
      </c>
      <c r="DJ81" s="21">
        <f t="shared" ca="1" si="93"/>
        <v>5.6369030529237252E-2</v>
      </c>
      <c r="DK81" s="21">
        <f t="shared" ca="1" si="94"/>
        <v>8.4553545793855878E-2</v>
      </c>
      <c r="DM81" s="16" cm="1">
        <f t="array" aca="1" ref="DM81" ca="1">MAX(_xlfn._xlws.FILTER(CX81:DK81,CX81:DK81&lt;BV81))</f>
        <v>-2.6016475628878734E-3</v>
      </c>
      <c r="DN81" s="16" cm="1">
        <f t="array" aca="1" ref="DN81" ca="1">MIN(_xlfn._xlws.FILTER(CX81:DK81,CX81:DK81&gt;BV81))</f>
        <v>2.6016475628878734E-3</v>
      </c>
      <c r="DO81" s="2" cm="1">
        <f t="array" aca="1" ref="DO81" ca="1">_FV(ED81,"Fechamento anterior",TRUE)</f>
        <v>39.340000000000003</v>
      </c>
      <c r="DP81" s="28">
        <f t="shared" ca="1" si="106"/>
        <v>0.54885254405672201</v>
      </c>
      <c r="DQ81" s="15">
        <f t="shared" ca="1" si="95"/>
        <v>39.237651184875993</v>
      </c>
      <c r="DR81" s="15">
        <f t="shared" ca="1" si="96"/>
        <v>39.442348815124014</v>
      </c>
      <c r="DS81" s="9"/>
      <c r="DT81" s="9"/>
      <c r="DU81" s="9"/>
      <c r="DV81" s="89">
        <v>8.8422008673313332E-3</v>
      </c>
      <c r="DW81" s="89">
        <f t="shared" ca="1" si="107"/>
        <v>5.2032951257757467E-3</v>
      </c>
      <c r="DX81" s="72">
        <f t="shared" ca="1" si="108"/>
        <v>-0.33875008270898327</v>
      </c>
      <c r="DY81" s="37"/>
      <c r="DZ81" s="35">
        <f t="shared" si="118"/>
        <v>0.73062712788398321</v>
      </c>
      <c r="EA81" s="56"/>
      <c r="EB81" s="56"/>
      <c r="ED81" s="2" t="e" vm="81">
        <v>#VALUE!</v>
      </c>
      <c r="EF81" s="10" cm="1">
        <f t="array" aca="1" ref="EF81" ca="1">_FV(ED81,"Ações em circulação",TRUE)</f>
        <v>815927700</v>
      </c>
      <c r="EG81" s="18">
        <f>VLOOKUP(BQ81,Fundamentus!A:U,5,FALSE)</f>
        <v>2.9860000000000002</v>
      </c>
      <c r="EH81" s="2">
        <f t="shared" ca="1" si="109"/>
        <v>10752429670.12726</v>
      </c>
      <c r="EI81" s="17">
        <v>3288259676.2786331</v>
      </c>
      <c r="EJ81" s="17">
        <f t="shared" ca="1" si="110"/>
        <v>3187020154.2257199</v>
      </c>
      <c r="EL81" s="16">
        <f t="shared" ca="1" si="97"/>
        <v>-3.0788177339901357E-2</v>
      </c>
      <c r="EM81" s="32" t="str">
        <f>IF(VLOOKUP(BQ81,Fundamentus!A:U,3,FALSE)&lt;15,"Bom",IF(VLOOKUP(BQ81,Fundamentus!A:U,3,FALSE)&gt;15,"Ruim","n/a"))</f>
        <v>Bom</v>
      </c>
      <c r="EN81" s="28" t="str">
        <f>IF(VLOOKUP(BQ81,Fundamentus!A:U,4,FALSE)&lt;1,"Baixo",IF(VLOOKUP(BQ81,Fundamentus!A:U,4,FALSE)&lt;1.5,"Moderado",IF(VLOOKUP(BQ81,Fundamentus!A:U,4,FALSE)&gt;1.5,"Alto","n/a")))</f>
        <v>Alto</v>
      </c>
      <c r="EO81" s="17" t="str">
        <f>IF(VLOOKUP(BQ81,Fundamentus!A:U,8,FALSE)&lt;0,"Risco elevado",IF(VLOOKUP(BQ81,Fundamentus!A:U,8,FALSE)&lt;1,"Saudável",IF(VLOOKUP(BQ81,Fundamentus!A:U,8,FALSE)&lt;3,"Estável",IF(VLOOKUP(BQ81,Fundamentus!A:U,8,FALSE)&gt;3,"Alerta","n/a"))))</f>
        <v>Alerta</v>
      </c>
      <c r="EP81" s="28" t="str">
        <f t="shared" si="111"/>
        <v>Bom</v>
      </c>
      <c r="EQ81" s="17" t="str">
        <f>IF(VLOOKUP(BQ81,Fundamentus!A:U,12,FALSE)&lt;2,"Subvalorizada",IF(VLOOKUP(BQ81,Fundamentus!A:U,12,FALSE)&lt;6,"Muita barata",IF(VLOOKUP(BQ81,Fundamentus!A:U,12,FALSE)&lt;6,"Barata",IF(VLOOKUP(BQ81,Fundamentus!A:U,12,FALSE)&lt;8,"Atrativa",IF(VLOOKUP(BQ81,Fundamentus!A:U,12,FALSE)&gt;8,"Supervalorizada","n/a")))))</f>
        <v>Atrativa</v>
      </c>
      <c r="ES81" s="17" t="str">
        <f>IF(VLOOKUP(BQ81,Fundamentus!A:U,17,FALSE)&lt;0.1,"Fraco retorno",IF(VLOOKUP(BQ81,Fundamentus!A:U,17,FALSE)&gt;0.1,"Bom retorno","n/a"))</f>
        <v>Bom retorno</v>
      </c>
      <c r="ET81" s="17" t="str">
        <f>IF(VLOOKUP(BQ81,Fundamentus!A:U,16,FALSE)&lt;0.1,"Ineficiente",IF(VLOOKUP(BQ81,Fundamentus!A:U,16,FALSE)&gt;0.1,"Eficiente","n/a"))</f>
        <v>Eficiente</v>
      </c>
      <c r="EU81" s="33" t="str">
        <f>IF(VLOOKUP(BQ81,Fundamentus!A:U,16,FALSE)&lt;0.1,"Oper. Ineficiente",IF(VLOOKUP(BQ81,Fundamentus!A:U,16,FALSE)&gt;0.1,"Oper.Eficiente","n/a"))</f>
        <v>Oper.Eficiente</v>
      </c>
      <c r="EV81" s="34">
        <f>VLOOKUP(BQ81,Fundamentus!A:U,14,FALSE)</f>
        <v>0.2964</v>
      </c>
      <c r="EW81" s="17" t="str">
        <f>IF(VLOOKUP(BQ81,Fundamentus!A:U,21,FALSE)&lt;0,"Negativo",IF(VLOOKUP(BQ81,Fundamentus!A:U,21,FALSE)&lt;0.05,"Fraco",IF(VLOOKUP(BQ81,Fundamentus!A:U,21,FALSE)&lt;0.1,"Bom",IF(VLOOKUP(BQ81,Fundamentus!A:U,21,FALSE)&gt;0.1,"Muito bom","n/a"))))</f>
        <v>Negativo</v>
      </c>
      <c r="EY81" s="29" t="str">
        <f>IF(VLOOKUP(BQ81,Fundamentus!A:U,15,FALSE)&gt;1,"Bom",IF(VLOOKUP(BQ81,Fundamentus!A:U,15,FALSE)&lt;1,"Ruim","n/a"))</f>
        <v>Bom</v>
      </c>
      <c r="EZ81" s="17" t="str">
        <f>IF(VLOOKUP(BQ81,Fundamentus!A:U,20,FALSE)&lt;0.5,"Baixa",IF(VLOOKUP(BQ81,Fundamentus!A:U,20,FALSE)&lt;1,"Moderada",IF(VLOOKUP(BQ81,Fundamentus!A:U,20,FALSE)&lt;2,"Alerta",IF(VLOOKUP(BQ81,Fundamentus!A:U,20,FALSE)&gt;2,"Alta","n/a"))))</f>
        <v>Alta</v>
      </c>
      <c r="FA81" s="10"/>
    </row>
    <row r="82" spans="1:157" s="2" customFormat="1" ht="11.25" hidden="1" x14ac:dyDescent="0.2">
      <c r="A82" s="4">
        <v>23.86</v>
      </c>
      <c r="B82" s="4">
        <v>24.61</v>
      </c>
      <c r="C82" s="4">
        <v>29.19</v>
      </c>
      <c r="D82" s="4">
        <v>29.18</v>
      </c>
      <c r="E82" s="4">
        <v>28.86</v>
      </c>
      <c r="F82" s="4">
        <v>29.24</v>
      </c>
      <c r="G82" s="4">
        <v>28.61</v>
      </c>
      <c r="H82" s="4">
        <v>30.67</v>
      </c>
      <c r="I82" s="4">
        <v>32.270000000000003</v>
      </c>
      <c r="J82" s="4">
        <v>31.2</v>
      </c>
      <c r="K82" s="4">
        <v>32.1</v>
      </c>
      <c r="L82" s="4">
        <v>31.22</v>
      </c>
      <c r="M82" s="4">
        <v>33.020000000000003</v>
      </c>
      <c r="N82" s="4">
        <v>33.159999999999997</v>
      </c>
      <c r="O82" s="4">
        <v>33.31</v>
      </c>
      <c r="P82" s="4">
        <v>36.53</v>
      </c>
      <c r="Q82" s="4">
        <v>34.83</v>
      </c>
      <c r="R82" s="4">
        <v>35</v>
      </c>
      <c r="S82" s="4">
        <v>34.340000000000003</v>
      </c>
      <c r="T82" s="4">
        <v>33.06</v>
      </c>
      <c r="U82" s="4">
        <v>32.340000000000003</v>
      </c>
      <c r="V82" s="4">
        <v>31.11</v>
      </c>
      <c r="W82" s="4">
        <v>32.44</v>
      </c>
      <c r="X82" s="4">
        <v>31.87</v>
      </c>
      <c r="Y82" s="4">
        <v>34.58</v>
      </c>
      <c r="Z82" s="4">
        <v>34.619999999999997</v>
      </c>
      <c r="AA82" s="4">
        <v>35.5</v>
      </c>
      <c r="AB82" s="4">
        <v>34.97</v>
      </c>
      <c r="AC82" s="4">
        <v>35.200000000000003</v>
      </c>
      <c r="AD82" s="4">
        <v>35.65</v>
      </c>
      <c r="AE82" s="4">
        <v>37.24</v>
      </c>
      <c r="AF82" s="4">
        <v>39.020000000000003</v>
      </c>
      <c r="AG82" s="4">
        <v>38.44</v>
      </c>
      <c r="AH82" s="4">
        <v>37.21</v>
      </c>
      <c r="AI82" s="4">
        <v>36.21</v>
      </c>
      <c r="AJ82" s="4">
        <v>36.33</v>
      </c>
      <c r="AK82" s="4">
        <v>35.35</v>
      </c>
      <c r="AL82" s="4">
        <v>33.85</v>
      </c>
      <c r="AM82" s="4">
        <v>33.64</v>
      </c>
      <c r="AN82" s="4">
        <v>35.44</v>
      </c>
      <c r="AO82" s="4">
        <v>34.56</v>
      </c>
      <c r="AP82" s="4">
        <v>33.54</v>
      </c>
      <c r="AQ82" s="4">
        <v>31.44</v>
      </c>
      <c r="AR82" s="4">
        <v>30.99</v>
      </c>
      <c r="AS82" s="4">
        <v>31.5</v>
      </c>
      <c r="AT82" s="4">
        <v>33.229999999999997</v>
      </c>
      <c r="AU82" s="4">
        <v>41.46</v>
      </c>
      <c r="AV82" s="4">
        <v>41.58</v>
      </c>
      <c r="AW82" s="4">
        <v>40.79</v>
      </c>
      <c r="AX82" s="4">
        <v>41.33</v>
      </c>
      <c r="AY82" s="12">
        <v>43.55</v>
      </c>
      <c r="AZ82" s="12">
        <v>47.87</v>
      </c>
      <c r="BA82" s="12">
        <v>44.08</v>
      </c>
      <c r="BB82" s="15">
        <v>42.5</v>
      </c>
      <c r="BC82" s="52">
        <v>39.18</v>
      </c>
      <c r="BD82" s="52">
        <v>41.74</v>
      </c>
      <c r="BE82" s="52">
        <v>40.119999999999997</v>
      </c>
      <c r="BF82" s="52">
        <v>39.03</v>
      </c>
      <c r="BG82" s="67">
        <v>39.03</v>
      </c>
      <c r="BH82" s="52">
        <v>39.03</v>
      </c>
      <c r="BI82" s="52">
        <v>39.03</v>
      </c>
      <c r="BJ82" s="52">
        <v>39.03</v>
      </c>
      <c r="BK82" s="52">
        <v>39.03</v>
      </c>
      <c r="BL82" s="52">
        <v>39.03</v>
      </c>
      <c r="BM82" s="52">
        <v>39.03</v>
      </c>
      <c r="BN82" s="52">
        <v>39.03</v>
      </c>
      <c r="BO82" s="52">
        <v>39.03</v>
      </c>
      <c r="BP82" s="52" cm="1">
        <f t="array" aca="1" ref="BP82" ca="1">_FV(ED82,"Preço")</f>
        <v>39.03</v>
      </c>
      <c r="BQ82" s="69" t="s">
        <v>79</v>
      </c>
      <c r="BR82" s="36" cm="1">
        <f t="array" aca="1" ref="BR82" ca="1">_FV(ED82,"Média de volume",TRUE)</f>
        <v>23419940</v>
      </c>
      <c r="BS82" s="36">
        <v>94391100</v>
      </c>
      <c r="BT82" s="36" cm="1">
        <f t="array" aca="1" ref="BT82" ca="1">_FV(ED82,"Volume")</f>
        <v>94391100</v>
      </c>
      <c r="BU82" s="24" cm="1">
        <f t="array" aca="1" ref="BU82" ca="1">_FV(ED82,"Beta")</f>
        <v>0.49909999999999999</v>
      </c>
      <c r="BV82" s="71" cm="1">
        <f t="array" aca="1" ref="BV82" ca="1">_FV(ED82,"Variação (%)",TRUE)</f>
        <v>0</v>
      </c>
      <c r="BX82" s="17" cm="1">
        <f t="array" aca="1" ref="BX82" ca="1">_FV(ED82,"Baixo")</f>
        <v>38.4</v>
      </c>
      <c r="BY82" s="17" cm="1">
        <f t="array" aca="1" ref="BY82" ca="1">_FV(ED82,"Alto")</f>
        <v>40.06</v>
      </c>
      <c r="BZ82" s="24"/>
      <c r="CA82" s="63">
        <f ca="1">SQRT(22.5*(BP82/VLOOKUP(BQ82,Fundamentus!A:U,3,FALSE))*(BP82/VLOOKUP(BQ82,Fundamentus!A:U,4,FALSE)))</f>
        <v>118.86727711875339</v>
      </c>
      <c r="CC82" s="62">
        <f t="shared" ca="1" si="112"/>
        <v>0</v>
      </c>
      <c r="CD82" s="8"/>
      <c r="CE82" s="61">
        <f t="shared" si="113"/>
        <v>23.86</v>
      </c>
      <c r="CF82" s="61">
        <f t="shared" si="114"/>
        <v>47.87</v>
      </c>
      <c r="CG82" s="61">
        <f t="shared" si="115"/>
        <v>35.448208955223905</v>
      </c>
      <c r="CH82" s="14"/>
      <c r="CI82" s="35">
        <f t="shared" si="98"/>
        <v>39.03</v>
      </c>
      <c r="CJ82" s="15">
        <f t="shared" si="116"/>
        <v>39.03</v>
      </c>
      <c r="CK82" s="35">
        <f t="shared" si="99"/>
        <v>39.03</v>
      </c>
      <c r="CM82" s="14"/>
      <c r="CN82" s="17">
        <f t="shared" si="100"/>
        <v>1.9599999999999937</v>
      </c>
      <c r="CO82" s="17">
        <f t="shared" si="101"/>
        <v>12.909999999999997</v>
      </c>
      <c r="CP82" s="17">
        <f t="shared" si="102"/>
        <v>25.969999999999992</v>
      </c>
      <c r="CQ82" s="38">
        <f t="shared" si="117"/>
        <v>36.919999999999995</v>
      </c>
      <c r="CR82" s="17">
        <f t="shared" si="103"/>
        <v>49.97999999999999</v>
      </c>
      <c r="CS82" s="17">
        <f t="shared" si="104"/>
        <v>60.929999999999993</v>
      </c>
      <c r="CT82" s="17">
        <f t="shared" si="105"/>
        <v>73.989999999999981</v>
      </c>
      <c r="CU82" s="2" cm="1">
        <f t="array" aca="1" ref="CU82" ca="1">MAX(_xlfn._xlws.FILTER(CN82:CT82,CN82:CT82&lt;BP82))</f>
        <v>36.919999999999995</v>
      </c>
      <c r="CV82" s="2" cm="1">
        <f t="array" aca="1" ref="CV82" ca="1">MIN(_xlfn._xlws.FILTER($CN82:$CT82,$CN82:$CT82&gt;BP82))</f>
        <v>49.97999999999999</v>
      </c>
      <c r="CW82" s="16">
        <f t="shared" ca="1" si="80"/>
        <v>0.35373781148429018</v>
      </c>
      <c r="CX82" s="20">
        <f t="shared" ca="1" si="81"/>
        <v>-0.17686890574214509</v>
      </c>
      <c r="CY82" s="20">
        <f t="shared" ca="1" si="82"/>
        <v>-0.11791260382809672</v>
      </c>
      <c r="CZ82" s="20">
        <f t="shared" ca="1" si="83"/>
        <v>-7.0747562296858038E-2</v>
      </c>
      <c r="DA82" s="20">
        <f t="shared" ca="1" si="84"/>
        <v>-3.9304201276032243E-2</v>
      </c>
      <c r="DB82" s="20">
        <f t="shared" ca="1" si="85"/>
        <v>-2.0808106557899421E-2</v>
      </c>
      <c r="DC82" s="20">
        <f t="shared" ca="1" si="86"/>
        <v>-1.0719327620736066E-2</v>
      </c>
      <c r="DD82" s="20">
        <f t="shared" ca="1" si="87"/>
        <v>-5.4421201766813873E-3</v>
      </c>
      <c r="DE82" s="21">
        <f t="shared" ca="1" si="88"/>
        <v>5.4421201766813873E-3</v>
      </c>
      <c r="DF82" s="21">
        <f t="shared" ca="1" si="89"/>
        <v>1.0719327620736066E-2</v>
      </c>
      <c r="DG82" s="21">
        <f t="shared" ca="1" si="90"/>
        <v>2.0808106557899421E-2</v>
      </c>
      <c r="DH82" s="21">
        <f t="shared" ca="1" si="91"/>
        <v>3.9304201276032243E-2</v>
      </c>
      <c r="DI82" s="21">
        <f t="shared" ca="1" si="92"/>
        <v>7.0747562296858038E-2</v>
      </c>
      <c r="DJ82" s="21">
        <f t="shared" ca="1" si="93"/>
        <v>0.11791260382809672</v>
      </c>
      <c r="DK82" s="21">
        <f t="shared" ca="1" si="94"/>
        <v>0.17686890574214509</v>
      </c>
      <c r="DM82" s="16" cm="1">
        <f t="array" aca="1" ref="DM82" ca="1">MAX(_xlfn._xlws.FILTER(CX82:DK82,CX82:DK82&lt;BV82))</f>
        <v>-5.4421201766813873E-3</v>
      </c>
      <c r="DN82" s="16" cm="1">
        <f t="array" aca="1" ref="DN82" ca="1">MIN(_xlfn._xlws.FILTER(CX82:DK82,CX82:DK82&gt;BV82))</f>
        <v>5.4421201766813873E-3</v>
      </c>
      <c r="DO82" s="2" cm="1">
        <f t="array" aca="1" ref="DO82" ca="1">_FV(ED82,"Fechamento anterior",TRUE)</f>
        <v>38.29</v>
      </c>
      <c r="DP82" s="28">
        <f t="shared" ca="1" si="106"/>
        <v>2.2756126474151319</v>
      </c>
      <c r="DQ82" s="15">
        <f t="shared" ca="1" si="95"/>
        <v>38.081621218434869</v>
      </c>
      <c r="DR82" s="15">
        <f t="shared" ca="1" si="96"/>
        <v>38.49837878156513</v>
      </c>
      <c r="DS82" s="9"/>
      <c r="DT82" s="9"/>
      <c r="DU82" s="9"/>
      <c r="DV82" s="89">
        <v>1.0884240353362775E-2</v>
      </c>
      <c r="DW82" s="89">
        <f t="shared" ca="1" si="107"/>
        <v>1.0884240353362775E-2</v>
      </c>
      <c r="DX82" s="72" t="e">
        <f t="shared" ca="1" si="108"/>
        <v>#DIV/0!</v>
      </c>
      <c r="DY82" s="37"/>
      <c r="DZ82" s="35">
        <f t="shared" si="118"/>
        <v>0</v>
      </c>
      <c r="EA82" s="56"/>
      <c r="EB82" s="56"/>
      <c r="ED82" s="2" t="e" vm="82">
        <v>#VALUE!</v>
      </c>
      <c r="EF82" s="10" cm="1">
        <f t="array" aca="1" ref="EF82" ca="1">_FV(ED82,"Ações em circulação",TRUE)</f>
        <v>2218116000</v>
      </c>
      <c r="EG82" s="18">
        <f>VLOOKUP(BQ82,Fundamentus!A:U,5,FALSE)</f>
        <v>7.6999999999999999E-2</v>
      </c>
      <c r="EH82" s="2">
        <f t="shared" ca="1" si="109"/>
        <v>1124325551688.3118</v>
      </c>
      <c r="EI82" s="17">
        <v>30918952671.428574</v>
      </c>
      <c r="EJ82" s="17">
        <f t="shared" ca="1" si="110"/>
        <v>30918952671.428574</v>
      </c>
      <c r="EL82" s="16">
        <f t="shared" ca="1" si="97"/>
        <v>0</v>
      </c>
      <c r="EM82" s="32" t="str">
        <f>IF(VLOOKUP(BQ82,Fundamentus!A:U,3,FALSE)&lt;15,"Bom",IF(VLOOKUP(BQ82,Fundamentus!A:U,3,FALSE)&gt;15,"Ruim","n/a"))</f>
        <v>Bom</v>
      </c>
      <c r="EN82" s="28" t="str">
        <f>IF(VLOOKUP(BQ82,Fundamentus!A:U,4,FALSE)&lt;1,"Baixo",IF(VLOOKUP(BQ82,Fundamentus!A:U,4,FALSE)&lt;1.5,"Moderado",IF(VLOOKUP(BQ82,Fundamentus!A:U,4,FALSE)&gt;1.5,"Alto","n/a")))</f>
        <v>Baixo</v>
      </c>
      <c r="EO82" s="17" t="str">
        <f>IF(VLOOKUP(BQ82,Fundamentus!A:U,8,FALSE)&lt;0,"Risco elevado",IF(VLOOKUP(BQ82,Fundamentus!A:U,8,FALSE)&lt;1,"Saudável",IF(VLOOKUP(BQ82,Fundamentus!A:U,8,FALSE)&lt;3,"Estável",IF(VLOOKUP(BQ82,Fundamentus!A:U,8,FALSE)&gt;3,"Alerta","n/a"))))</f>
        <v>Saudável</v>
      </c>
      <c r="EP82" s="28" t="str">
        <f t="shared" si="111"/>
        <v>Ruim</v>
      </c>
      <c r="EQ82" s="17" t="str">
        <f>IF(VLOOKUP(BQ82,Fundamentus!A:U,12,FALSE)&lt;2,"Subvalorizada",IF(VLOOKUP(BQ82,Fundamentus!A:U,12,FALSE)&lt;6,"Muita barata",IF(VLOOKUP(BQ82,Fundamentus!A:U,12,FALSE)&lt;6,"Barata",IF(VLOOKUP(BQ82,Fundamentus!A:U,12,FALSE)&lt;8,"Atrativa",IF(VLOOKUP(BQ82,Fundamentus!A:U,12,FALSE)&gt;8,"Supervalorizada","n/a")))))</f>
        <v>Muita barata</v>
      </c>
      <c r="ES82" s="17" t="str">
        <f>IF(VLOOKUP(BQ82,Fundamentus!A:U,17,FALSE)&lt;0.1,"Fraco retorno",IF(VLOOKUP(BQ82,Fundamentus!A:U,17,FALSE)&gt;0.1,"Bom retorno","n/a"))</f>
        <v>Bom retorno</v>
      </c>
      <c r="ET82" s="17" t="str">
        <f>IF(VLOOKUP(BQ82,Fundamentus!A:U,16,FALSE)&lt;0.1,"Ineficiente",IF(VLOOKUP(BQ82,Fundamentus!A:U,16,FALSE)&gt;0.1,"Eficiente","n/a"))</f>
        <v>Eficiente</v>
      </c>
      <c r="EU82" s="33" t="str">
        <f>IF(VLOOKUP(BQ82,Fundamentus!A:U,16,FALSE)&lt;0.1,"Oper. Ineficiente",IF(VLOOKUP(BQ82,Fundamentus!A:U,16,FALSE)&gt;0.1,"Oper.Eficiente","n/a"))</f>
        <v>Oper.Eficiente</v>
      </c>
      <c r="EV82" s="34">
        <f>VLOOKUP(BQ82,Fundamentus!A:U,14,FALSE)</f>
        <v>2.75E-2</v>
      </c>
      <c r="EW82" s="17" t="str">
        <f>IF(VLOOKUP(BQ82,Fundamentus!A:U,21,FALSE)&lt;0,"Negativo",IF(VLOOKUP(BQ82,Fundamentus!A:U,21,FALSE)&lt;0.05,"Fraco",IF(VLOOKUP(BQ82,Fundamentus!A:U,21,FALSE)&lt;0.1,"Bom",IF(VLOOKUP(BQ82,Fundamentus!A:U,21,FALSE)&gt;0.1,"Muito bom","n/a"))))</f>
        <v>Bom</v>
      </c>
      <c r="EY82" s="29" t="str">
        <f>IF(VLOOKUP(BQ82,Fundamentus!A:U,15,FALSE)&gt;1,"Bom",IF(VLOOKUP(BQ82,Fundamentus!A:U,15,FALSE)&lt;1,"Ruim","n/a"))</f>
        <v>Bom</v>
      </c>
      <c r="EZ82" s="17" t="str">
        <f>IF(VLOOKUP(BQ82,Fundamentus!A:U,20,FALSE)&lt;0.5,"Baixa",IF(VLOOKUP(BQ82,Fundamentus!A:U,20,FALSE)&lt;1,"Moderada",IF(VLOOKUP(BQ82,Fundamentus!A:U,20,FALSE)&lt;2,"Alerta",IF(VLOOKUP(BQ82,Fundamentus!A:U,20,FALSE)&gt;2,"Alta","n/a"))))</f>
        <v>Alta</v>
      </c>
      <c r="FA82" s="10"/>
    </row>
    <row r="83" spans="1:157" s="2" customFormat="1" ht="11.25" hidden="1" x14ac:dyDescent="0.2">
      <c r="A83" s="4">
        <v>6.11</v>
      </c>
      <c r="B83" s="4">
        <v>5.88</v>
      </c>
      <c r="C83" s="4">
        <v>5.97</v>
      </c>
      <c r="D83" s="4">
        <v>5.45</v>
      </c>
      <c r="E83" s="4">
        <v>5.27</v>
      </c>
      <c r="F83" s="4">
        <v>5.4</v>
      </c>
      <c r="G83" s="4">
        <v>5.35</v>
      </c>
      <c r="H83" s="4">
        <v>5.0999999999999996</v>
      </c>
      <c r="I83" s="4">
        <v>5.22</v>
      </c>
      <c r="J83" s="4">
        <v>5.39</v>
      </c>
      <c r="K83" s="4">
        <v>5.44</v>
      </c>
      <c r="L83" s="4">
        <v>5.53</v>
      </c>
      <c r="M83" s="4">
        <v>5.78</v>
      </c>
      <c r="N83" s="4">
        <v>5.69</v>
      </c>
      <c r="O83" s="4">
        <v>6.15</v>
      </c>
      <c r="P83" s="4">
        <v>5.76</v>
      </c>
      <c r="Q83" s="4">
        <v>6.42</v>
      </c>
      <c r="R83" s="4">
        <v>6.32</v>
      </c>
      <c r="S83" s="4">
        <v>6.2</v>
      </c>
      <c r="T83" s="4">
        <v>6.18</v>
      </c>
      <c r="U83" s="4">
        <v>5.9</v>
      </c>
      <c r="V83" s="4">
        <v>5.55</v>
      </c>
      <c r="W83" s="4">
        <v>5.5</v>
      </c>
      <c r="X83" s="4">
        <v>5.7</v>
      </c>
      <c r="Y83" s="4">
        <v>5.7</v>
      </c>
      <c r="Z83" s="4">
        <v>6.28</v>
      </c>
      <c r="AA83" s="4">
        <v>6.95</v>
      </c>
      <c r="AB83" s="4">
        <v>7.47</v>
      </c>
      <c r="AC83" s="4">
        <v>7.05</v>
      </c>
      <c r="AD83" s="4">
        <v>6.84</v>
      </c>
      <c r="AE83" s="4">
        <v>7.04</v>
      </c>
      <c r="AF83" s="4">
        <v>7.01</v>
      </c>
      <c r="AG83" s="4">
        <v>6.3</v>
      </c>
      <c r="AH83" s="4">
        <v>6.09</v>
      </c>
      <c r="AI83" s="4">
        <v>6.28</v>
      </c>
      <c r="AJ83" s="4">
        <v>6.09</v>
      </c>
      <c r="AK83" s="4">
        <v>6.09</v>
      </c>
      <c r="AL83" s="4">
        <v>6.33</v>
      </c>
      <c r="AM83" s="4">
        <v>6.24</v>
      </c>
      <c r="AN83" s="4">
        <v>6.53</v>
      </c>
      <c r="AO83" s="4">
        <v>6.22</v>
      </c>
      <c r="AP83" s="4">
        <v>6.5</v>
      </c>
      <c r="AQ83" s="4">
        <v>6.84</v>
      </c>
      <c r="AR83" s="4">
        <v>6.75</v>
      </c>
      <c r="AS83" s="4">
        <v>6.92</v>
      </c>
      <c r="AT83" s="4">
        <v>7.34</v>
      </c>
      <c r="AU83" s="4">
        <v>7.35</v>
      </c>
      <c r="AV83" s="4">
        <v>7.32</v>
      </c>
      <c r="AW83" s="4">
        <v>6.74</v>
      </c>
      <c r="AX83" s="4">
        <v>7</v>
      </c>
      <c r="AY83" s="12">
        <v>7.5</v>
      </c>
      <c r="AZ83" s="12">
        <v>7.85</v>
      </c>
      <c r="BA83" s="12">
        <v>8.09</v>
      </c>
      <c r="BB83" s="15">
        <v>8.2100000000000009</v>
      </c>
      <c r="BC83" s="52">
        <v>8.15</v>
      </c>
      <c r="BD83" s="52">
        <v>8.5399999999999991</v>
      </c>
      <c r="BE83" s="52">
        <v>8.7200000000000006</v>
      </c>
      <c r="BF83" s="52">
        <v>8.43</v>
      </c>
      <c r="BG83" s="67">
        <v>8.69</v>
      </c>
      <c r="BH83" s="52">
        <v>8.86</v>
      </c>
      <c r="BI83" s="52">
        <v>8.52</v>
      </c>
      <c r="BJ83" s="52">
        <v>8.4700000000000006</v>
      </c>
      <c r="BK83" s="52">
        <v>8.2899999999999991</v>
      </c>
      <c r="BL83" s="52">
        <v>8.02</v>
      </c>
      <c r="BM83" s="52">
        <v>7.79</v>
      </c>
      <c r="BN83" s="52">
        <v>7.39</v>
      </c>
      <c r="BO83" s="52">
        <v>7.41</v>
      </c>
      <c r="BP83" s="52" cm="1">
        <f t="array" aca="1" ref="BP83" ca="1">_FV(ED83,"Preço")</f>
        <v>7.99</v>
      </c>
      <c r="BQ83" s="69" t="s">
        <v>80</v>
      </c>
      <c r="BR83" s="36" cm="1">
        <f t="array" aca="1" ref="BR83" ca="1">_FV(ED83,"Média de volume",TRUE)</f>
        <v>213970</v>
      </c>
      <c r="BS83" s="36">
        <v>98300</v>
      </c>
      <c r="BT83" s="36" cm="1">
        <f t="array" aca="1" ref="BT83" ca="1">_FV(ED83,"Volume")</f>
        <v>180800</v>
      </c>
      <c r="BU83" s="24" cm="1">
        <f t="array" aca="1" ref="BU83" ca="1">_FV(ED83,"Beta")</f>
        <v>1.2751999999999999</v>
      </c>
      <c r="BV83" s="71" cm="1">
        <f t="array" aca="1" ref="BV83" ca="1">_FV(ED83,"Variação (%)",TRUE)</f>
        <v>3.0967999999999999E-2</v>
      </c>
      <c r="BX83" s="17" cm="1">
        <f t="array" aca="1" ref="BX83" ca="1">_FV(ED83,"Baixo")</f>
        <v>7.72</v>
      </c>
      <c r="BY83" s="17" cm="1">
        <f t="array" aca="1" ref="BY83" ca="1">_FV(ED83,"Alto")</f>
        <v>7.99</v>
      </c>
      <c r="BZ83" s="24"/>
      <c r="CA83" s="63">
        <f ca="1">SQRT(22.5*(BP83/VLOOKUP(BQ83,Fundamentus!A:U,3,FALSE))*(BP83/VLOOKUP(BQ83,Fundamentus!A:U,4,FALSE)))</f>
        <v>15.341699418151208</v>
      </c>
      <c r="CC83" s="62">
        <f t="shared" ca="1" si="112"/>
        <v>7.8272604588394065E-2</v>
      </c>
      <c r="CD83" s="8"/>
      <c r="CE83" s="61">
        <f t="shared" si="113"/>
        <v>5.0999999999999996</v>
      </c>
      <c r="CF83" s="61">
        <f t="shared" si="114"/>
        <v>8.86</v>
      </c>
      <c r="CG83" s="61">
        <f t="shared" si="115"/>
        <v>6.7083582089552252</v>
      </c>
      <c r="CH83" s="14"/>
      <c r="CI83" s="35">
        <f t="shared" si="98"/>
        <v>6.3982647561661041</v>
      </c>
      <c r="CJ83" s="15">
        <f t="shared" si="116"/>
        <v>7.0949999999997999</v>
      </c>
      <c r="CK83" s="35">
        <f t="shared" si="99"/>
        <v>7.7917352438334957</v>
      </c>
      <c r="CM83" s="14"/>
      <c r="CN83" s="17">
        <f t="shared" si="100"/>
        <v>1.6266666666666652</v>
      </c>
      <c r="CO83" s="17">
        <f t="shared" si="101"/>
        <v>3.3633333333333324</v>
      </c>
      <c r="CP83" s="17">
        <f t="shared" si="102"/>
        <v>5.3866666666666649</v>
      </c>
      <c r="CQ83" s="38">
        <f t="shared" si="117"/>
        <v>7.1233333333333322</v>
      </c>
      <c r="CR83" s="17">
        <f t="shared" si="103"/>
        <v>9.1466666666666647</v>
      </c>
      <c r="CS83" s="17">
        <f t="shared" si="104"/>
        <v>10.883333333333333</v>
      </c>
      <c r="CT83" s="17">
        <f t="shared" si="105"/>
        <v>12.906666666666665</v>
      </c>
      <c r="CU83" s="2" cm="1">
        <f t="array" aca="1" ref="CU83" ca="1">MAX(_xlfn._xlws.FILTER(CN83:CT83,CN83:CT83&lt;BP83))</f>
        <v>7.1233333333333322</v>
      </c>
      <c r="CV83" s="2" cm="1">
        <f t="array" aca="1" ref="CV83" ca="1">MIN(_xlfn._xlws.FILTER($CN83:$CT83,$CN83:$CT83&gt;BP83))</f>
        <v>9.1466666666666647</v>
      </c>
      <c r="CW83" s="16">
        <f t="shared" ref="CW83:CW114" ca="1" si="119">(CV83/CU83)-1</f>
        <v>0.28404305100608318</v>
      </c>
      <c r="CX83" s="20">
        <f t="shared" ref="CX83:CX114" ca="1" si="120">-$CW83/2</f>
        <v>-0.14202152550304159</v>
      </c>
      <c r="CY83" s="20">
        <f t="shared" ref="CY83:CY114" ca="1" si="121">-$CW83/3</f>
        <v>-9.4681017002027731E-2</v>
      </c>
      <c r="CZ83" s="20">
        <f t="shared" ref="CZ83:CZ114" ca="1" si="122">-$CW83/5</f>
        <v>-5.6808610201216636E-2</v>
      </c>
      <c r="DA83" s="20">
        <f t="shared" ref="DA83:DA114" ca="1" si="123">-$CW83/9</f>
        <v>-3.156033900067591E-2</v>
      </c>
      <c r="DB83" s="20">
        <f t="shared" ref="DB83:DB114" ca="1" si="124">-$CW83/17</f>
        <v>-1.6708414765063715E-2</v>
      </c>
      <c r="DC83" s="20">
        <f t="shared" ref="DC83:DC114" ca="1" si="125">-$CW83/33</f>
        <v>-8.6073651820025212E-3</v>
      </c>
      <c r="DD83" s="20">
        <f t="shared" ref="DD83:DD114" ca="1" si="126">-$CW83/65</f>
        <v>-4.3698930924012799E-3</v>
      </c>
      <c r="DE83" s="21">
        <f t="shared" ref="DE83:DE114" ca="1" si="127">-$CW83/65*-1</f>
        <v>4.3698930924012799E-3</v>
      </c>
      <c r="DF83" s="21">
        <f t="shared" ref="DF83:DF114" ca="1" si="128">-$CW83/33*-1</f>
        <v>8.6073651820025212E-3</v>
      </c>
      <c r="DG83" s="21">
        <f t="shared" ref="DG83:DG114" ca="1" si="129">-$CW83/17*-1</f>
        <v>1.6708414765063715E-2</v>
      </c>
      <c r="DH83" s="21">
        <f t="shared" ref="DH83:DH114" ca="1" si="130">-$CW83/9*-1</f>
        <v>3.156033900067591E-2</v>
      </c>
      <c r="DI83" s="21">
        <f t="shared" ref="DI83:DI114" ca="1" si="131">-$CW83/5*-1</f>
        <v>5.6808610201216636E-2</v>
      </c>
      <c r="DJ83" s="21">
        <f t="shared" ref="DJ83:DJ114" ca="1" si="132">-$CW83/3*-1</f>
        <v>9.4681017002027731E-2</v>
      </c>
      <c r="DK83" s="21">
        <f t="shared" ref="DK83:DK114" ca="1" si="133">-$CW83/2*-1</f>
        <v>0.14202152550304159</v>
      </c>
      <c r="DM83" s="16" cm="1">
        <f t="array" aca="1" ref="DM83" ca="1">MAX(_xlfn._xlws.FILTER(CX83:DK83,CX83:DK83&lt;BV83))</f>
        <v>1.6708414765063715E-2</v>
      </c>
      <c r="DN83" s="16" cm="1">
        <f t="array" aca="1" ref="DN83" ca="1">MIN(_xlfn._xlws.FILTER(CX83:DK83,CX83:DK83&gt;BV83))</f>
        <v>3.156033900067591E-2</v>
      </c>
      <c r="DO83" s="2" cm="1">
        <f t="array" aca="1" ref="DO83" ca="1">_FV(ED83,"Fechamento anterior",TRUE)</f>
        <v>7.75</v>
      </c>
      <c r="DP83" s="28">
        <f t="shared" ca="1" si="106"/>
        <v>0.96009964393899738</v>
      </c>
      <c r="DQ83" s="15">
        <f t="shared" ref="DQ83:DQ114" ca="1" si="134">DO83+(DO83*DM83)</f>
        <v>7.8794902144292438</v>
      </c>
      <c r="DR83" s="15">
        <f t="shared" ref="DR83:DR114" ca="1" si="135">DO83+(DO83*DN83)</f>
        <v>7.9945926272552379</v>
      </c>
      <c r="DS83" s="9"/>
      <c r="DT83" s="9"/>
      <c r="DU83" s="9"/>
      <c r="DV83" s="89">
        <v>4.2374720896012413E-3</v>
      </c>
      <c r="DW83" s="89">
        <f t="shared" ca="1" si="107"/>
        <v>1.4851924235612195E-2</v>
      </c>
      <c r="DX83" s="72">
        <f t="shared" ca="1" si="108"/>
        <v>1.2845625478561673</v>
      </c>
      <c r="DY83" s="37"/>
      <c r="DZ83" s="35">
        <f t="shared" si="118"/>
        <v>0.34836762191684784</v>
      </c>
      <c r="EA83" s="56"/>
      <c r="EB83" s="56"/>
      <c r="ED83" s="2" t="e" vm="83">
        <v>#VALUE!</v>
      </c>
      <c r="EF83" s="10" cm="1">
        <f t="array" aca="1" ref="EF83" ca="1">_FV(ED83,"Ações em circulação",TRUE)</f>
        <v>123812800</v>
      </c>
      <c r="EG83" s="18">
        <f>VLOOKUP(BQ83,Fundamentus!A:U,5,FALSE)</f>
        <v>9.4E-2</v>
      </c>
      <c r="EH83" s="2">
        <f t="shared" ca="1" si="109"/>
        <v>10524088000</v>
      </c>
      <c r="EI83" s="17">
        <v>122001708.51063831</v>
      </c>
      <c r="EJ83" s="17">
        <f t="shared" ca="1" si="110"/>
        <v>131551100</v>
      </c>
      <c r="EL83" s="16">
        <f t="shared" ca="1" si="97"/>
        <v>7.8272604588393913E-2</v>
      </c>
      <c r="EM83" s="32" t="str">
        <f>IF(VLOOKUP(BQ83,Fundamentus!A:U,3,FALSE)&lt;15,"Bom",IF(VLOOKUP(BQ83,Fundamentus!A:U,3,FALSE)&gt;15,"Ruim","n/a"))</f>
        <v>Bom</v>
      </c>
      <c r="EN83" s="28" t="str">
        <f>IF(VLOOKUP(BQ83,Fundamentus!A:U,4,FALSE)&lt;1,"Baixo",IF(VLOOKUP(BQ83,Fundamentus!A:U,4,FALSE)&lt;1.5,"Moderado",IF(VLOOKUP(BQ83,Fundamentus!A:U,4,FALSE)&gt;1.5,"Alto","n/a")))</f>
        <v>Baixo</v>
      </c>
      <c r="EO83" s="17" t="str">
        <f>IF(VLOOKUP(BQ83,Fundamentus!A:U,8,FALSE)&lt;0,"Risco elevado",IF(VLOOKUP(BQ83,Fundamentus!A:U,8,FALSE)&lt;1,"Saudável",IF(VLOOKUP(BQ83,Fundamentus!A:U,8,FALSE)&lt;3,"Estável",IF(VLOOKUP(BQ83,Fundamentus!A:U,8,FALSE)&gt;3,"Alerta","n/a"))))</f>
        <v>Estável</v>
      </c>
      <c r="EP83" s="28" t="str">
        <f t="shared" si="111"/>
        <v>Ruim</v>
      </c>
      <c r="EQ83" s="17" t="str">
        <f>IF(VLOOKUP(BQ83,Fundamentus!A:U,12,FALSE)&lt;2,"Subvalorizada",IF(VLOOKUP(BQ83,Fundamentus!A:U,12,FALSE)&lt;6,"Muita barata",IF(VLOOKUP(BQ83,Fundamentus!A:U,12,FALSE)&lt;6,"Barata",IF(VLOOKUP(BQ83,Fundamentus!A:U,12,FALSE)&lt;8,"Atrativa",IF(VLOOKUP(BQ83,Fundamentus!A:U,12,FALSE)&gt;8,"Supervalorizada","n/a")))))</f>
        <v>Muita barata</v>
      </c>
      <c r="ES83" s="17" t="str">
        <f>IF(VLOOKUP(BQ83,Fundamentus!A:U,17,FALSE)&lt;0.1,"Fraco retorno",IF(VLOOKUP(BQ83,Fundamentus!A:U,17,FALSE)&gt;0.1,"Bom retorno","n/a"))</f>
        <v>Fraco retorno</v>
      </c>
      <c r="ET83" s="17" t="str">
        <f>IF(VLOOKUP(BQ83,Fundamentus!A:U,16,FALSE)&lt;0.1,"Ineficiente",IF(VLOOKUP(BQ83,Fundamentus!A:U,16,FALSE)&gt;0.1,"Eficiente","n/a"))</f>
        <v>Ineficiente</v>
      </c>
      <c r="EU83" s="33" t="str">
        <f>IF(VLOOKUP(BQ83,Fundamentus!A:U,16,FALSE)&lt;0.1,"Oper. Ineficiente",IF(VLOOKUP(BQ83,Fundamentus!A:U,16,FALSE)&gt;0.1,"Oper.Eficiente","n/a"))</f>
        <v>Oper. Ineficiente</v>
      </c>
      <c r="EV83" s="34">
        <f>VLOOKUP(BQ83,Fundamentus!A:U,14,FALSE)</f>
        <v>1.2500000000000001E-2</v>
      </c>
      <c r="EW83" s="17" t="str">
        <f>IF(VLOOKUP(BQ83,Fundamentus!A:U,21,FALSE)&lt;0,"Negativo",IF(VLOOKUP(BQ83,Fundamentus!A:U,21,FALSE)&lt;0.05,"Fraco",IF(VLOOKUP(BQ83,Fundamentus!A:U,21,FALSE)&lt;0.1,"Bom",IF(VLOOKUP(BQ83,Fundamentus!A:U,21,FALSE)&gt;0.1,"Muito bom","n/a"))))</f>
        <v>Muito bom</v>
      </c>
      <c r="EY83" s="29" t="str">
        <f>IF(VLOOKUP(BQ83,Fundamentus!A:U,15,FALSE)&gt;1,"Bom",IF(VLOOKUP(BQ83,Fundamentus!A:U,15,FALSE)&lt;1,"Ruim","n/a"))</f>
        <v>Bom</v>
      </c>
      <c r="EZ83" s="17" t="str">
        <f>IF(VLOOKUP(BQ83,Fundamentus!A:U,20,FALSE)&lt;0.5,"Baixa",IF(VLOOKUP(BQ83,Fundamentus!A:U,20,FALSE)&lt;1,"Moderada",IF(VLOOKUP(BQ83,Fundamentus!A:U,20,FALSE)&lt;2,"Alerta",IF(VLOOKUP(BQ83,Fundamentus!A:U,20,FALSE)&gt;2,"Alta","n/a"))))</f>
        <v>Moderada</v>
      </c>
      <c r="FA83" s="10"/>
    </row>
    <row r="84" spans="1:157" s="2" customFormat="1" ht="11.25" hidden="1" x14ac:dyDescent="0.2">
      <c r="A84" s="4">
        <v>31.61</v>
      </c>
      <c r="B84" s="4">
        <v>30.93</v>
      </c>
      <c r="C84" s="4">
        <v>30.74</v>
      </c>
      <c r="D84" s="4">
        <v>30.02</v>
      </c>
      <c r="E84" s="4">
        <v>29.4</v>
      </c>
      <c r="F84" s="4">
        <v>29.48</v>
      </c>
      <c r="G84" s="4">
        <v>29.78</v>
      </c>
      <c r="H84" s="4">
        <v>29.27</v>
      </c>
      <c r="I84" s="4">
        <v>31</v>
      </c>
      <c r="J84" s="4">
        <v>32.58</v>
      </c>
      <c r="K84" s="4">
        <v>34.159999999999997</v>
      </c>
      <c r="L84" s="4">
        <v>32.49</v>
      </c>
      <c r="M84" s="4">
        <v>32.67</v>
      </c>
      <c r="N84" s="4">
        <v>33.06</v>
      </c>
      <c r="O84" s="4">
        <v>34.659999999999997</v>
      </c>
      <c r="P84" s="4">
        <v>34.89</v>
      </c>
      <c r="Q84" s="4">
        <v>35.31</v>
      </c>
      <c r="R84" s="4">
        <v>34.200000000000003</v>
      </c>
      <c r="S84" s="4">
        <v>34.799999999999997</v>
      </c>
      <c r="T84" s="4">
        <v>34</v>
      </c>
      <c r="U84" s="4">
        <v>32.65</v>
      </c>
      <c r="V84" s="4">
        <v>32.44</v>
      </c>
      <c r="W84" s="4">
        <v>32.5</v>
      </c>
      <c r="X84" s="4">
        <v>31.84</v>
      </c>
      <c r="Y84" s="4">
        <v>32.03</v>
      </c>
      <c r="Z84" s="4">
        <v>31.79</v>
      </c>
      <c r="AA84" s="4">
        <v>31.41</v>
      </c>
      <c r="AB84" s="4">
        <v>31.28</v>
      </c>
      <c r="AC84" s="4">
        <v>32.67</v>
      </c>
      <c r="AD84" s="4">
        <v>32.74</v>
      </c>
      <c r="AE84" s="4">
        <v>30.78</v>
      </c>
      <c r="AF84" s="4">
        <v>29.75</v>
      </c>
      <c r="AG84" s="4">
        <v>29.43</v>
      </c>
      <c r="AH84" s="4">
        <v>27.93</v>
      </c>
      <c r="AI84" s="4">
        <v>27.64</v>
      </c>
      <c r="AJ84" s="4">
        <v>26.24</v>
      </c>
      <c r="AK84" s="4">
        <v>27.16</v>
      </c>
      <c r="AL84" s="4">
        <v>27.86</v>
      </c>
      <c r="AM84" s="4">
        <v>28.37</v>
      </c>
      <c r="AN84" s="4">
        <v>30.15</v>
      </c>
      <c r="AO84" s="4">
        <v>30.3</v>
      </c>
      <c r="AP84" s="4">
        <v>31.43</v>
      </c>
      <c r="AQ84" s="4">
        <v>31.19</v>
      </c>
      <c r="AR84" s="4">
        <v>30.06</v>
      </c>
      <c r="AS84" s="4">
        <v>30.8</v>
      </c>
      <c r="AT84" s="4">
        <v>32.22</v>
      </c>
      <c r="AU84" s="4">
        <v>33.034999999999997</v>
      </c>
      <c r="AV84" s="4">
        <v>32.270000000000003</v>
      </c>
      <c r="AW84" s="4">
        <v>33.33</v>
      </c>
      <c r="AX84" s="4">
        <v>33.6</v>
      </c>
      <c r="AY84" s="12">
        <v>34.15</v>
      </c>
      <c r="AZ84" s="12">
        <v>35.950000000000003</v>
      </c>
      <c r="BA84" s="12">
        <v>36.81</v>
      </c>
      <c r="BB84" s="15">
        <v>36.81</v>
      </c>
      <c r="BC84" s="52">
        <v>36.99</v>
      </c>
      <c r="BD84" s="52">
        <v>36.29</v>
      </c>
      <c r="BE84" s="52">
        <v>36.65</v>
      </c>
      <c r="BF84" s="52">
        <v>36.25</v>
      </c>
      <c r="BG84" s="67">
        <v>36.4</v>
      </c>
      <c r="BH84" s="52">
        <v>35.93</v>
      </c>
      <c r="BI84" s="52">
        <v>35.28</v>
      </c>
      <c r="BJ84" s="52">
        <v>36.07</v>
      </c>
      <c r="BK84" s="52">
        <v>34.340000000000003</v>
      </c>
      <c r="BL84" s="52">
        <v>34.22</v>
      </c>
      <c r="BM84" s="52">
        <v>33.880000000000003</v>
      </c>
      <c r="BN84" s="52">
        <v>34.33</v>
      </c>
      <c r="BO84" s="52">
        <v>35.69</v>
      </c>
      <c r="BP84" s="52" cm="1">
        <f t="array" aca="1" ref="BP84" ca="1">_FV(ED84,"Preço")</f>
        <v>35.9</v>
      </c>
      <c r="BQ84" s="69" t="s">
        <v>81</v>
      </c>
      <c r="BR84" s="36" cm="1">
        <f t="array" aca="1" ref="BR84" ca="1">_FV(ED84,"Média de volume",TRUE)</f>
        <v>7586360</v>
      </c>
      <c r="BS84" s="36">
        <v>8261000</v>
      </c>
      <c r="BT84" s="36" cm="1">
        <f t="array" aca="1" ref="BT84" ca="1">_FV(ED84,"Volume")</f>
        <v>5579200</v>
      </c>
      <c r="BU84" s="24" cm="1">
        <f t="array" aca="1" ref="BU84" ca="1">_FV(ED84,"Beta")</f>
        <v>0.89590000000000003</v>
      </c>
      <c r="BV84" s="71" cm="1">
        <f t="array" aca="1" ref="BV84" ca="1">_FV(ED84,"Variação (%)",TRUE)</f>
        <v>1.1268E-2</v>
      </c>
      <c r="BX84" s="17" cm="1">
        <f t="array" aca="1" ref="BX84" ca="1">_FV(ED84,"Baixo")</f>
        <v>35.03</v>
      </c>
      <c r="BY84" s="17" cm="1">
        <f t="array" aca="1" ref="BY84" ca="1">_FV(ED84,"Alto")</f>
        <v>35.9</v>
      </c>
      <c r="BZ84" s="24"/>
      <c r="CA84" s="63">
        <f ca="1">SQRT(22.5*(BP84/VLOOKUP(BQ84,Fundamentus!A:U,3,FALSE))*(BP84/VLOOKUP(BQ84,Fundamentus!A:U,4,FALSE)))</f>
        <v>35.680878615625389</v>
      </c>
      <c r="CC84" s="62">
        <f t="shared" ca="1" si="112"/>
        <v>5.8840011207621423E-3</v>
      </c>
      <c r="CD84" s="8"/>
      <c r="CE84" s="61">
        <f t="shared" si="113"/>
        <v>26.24</v>
      </c>
      <c r="CF84" s="61">
        <f t="shared" si="114"/>
        <v>36.99</v>
      </c>
      <c r="CG84" s="61">
        <f t="shared" si="115"/>
        <v>32.477388059701497</v>
      </c>
      <c r="CH84" s="14"/>
      <c r="CI84" s="35">
        <f t="shared" si="98"/>
        <v>34.501430942810067</v>
      </c>
      <c r="CJ84" s="15">
        <f t="shared" si="116"/>
        <v>35.744999999999891</v>
      </c>
      <c r="CK84" s="35">
        <f t="shared" si="99"/>
        <v>36.988569057189714</v>
      </c>
      <c r="CM84" s="14"/>
      <c r="CN84" s="17">
        <f t="shared" si="100"/>
        <v>18.206666666666667</v>
      </c>
      <c r="CO84" s="17">
        <f t="shared" si="101"/>
        <v>22.223333333333333</v>
      </c>
      <c r="CP84" s="17">
        <f t="shared" si="102"/>
        <v>28.956666666666671</v>
      </c>
      <c r="CQ84" s="38">
        <f t="shared" si="117"/>
        <v>32.973333333333336</v>
      </c>
      <c r="CR84" s="17">
        <f t="shared" si="103"/>
        <v>39.706666666666678</v>
      </c>
      <c r="CS84" s="17">
        <f t="shared" si="104"/>
        <v>43.723333333333343</v>
      </c>
      <c r="CT84" s="17">
        <f t="shared" si="105"/>
        <v>50.456666666666678</v>
      </c>
      <c r="CU84" s="2" cm="1">
        <f t="array" aca="1" ref="CU84" ca="1">MAX(_xlfn._xlws.FILTER(CN84:CT84,CN84:CT84&lt;BP84))</f>
        <v>32.973333333333336</v>
      </c>
      <c r="CV84" s="2" cm="1">
        <f t="array" aca="1" ref="CV84" ca="1">MIN(_xlfn._xlws.FILTER($CN84:$CT84,$CN84:$CT84&gt;BP84))</f>
        <v>39.706666666666678</v>
      </c>
      <c r="CW84" s="16">
        <f t="shared" ca="1" si="119"/>
        <v>0.20420541852001639</v>
      </c>
      <c r="CX84" s="20">
        <f t="shared" ca="1" si="120"/>
        <v>-0.1021027092600082</v>
      </c>
      <c r="CY84" s="20">
        <f t="shared" ca="1" si="121"/>
        <v>-6.8068472840005459E-2</v>
      </c>
      <c r="CZ84" s="20">
        <f t="shared" ca="1" si="122"/>
        <v>-4.084108370400328E-2</v>
      </c>
      <c r="DA84" s="20">
        <f t="shared" ca="1" si="123"/>
        <v>-2.2689490946668486E-2</v>
      </c>
      <c r="DB84" s="20">
        <f t="shared" ca="1" si="124"/>
        <v>-1.2012083442353905E-2</v>
      </c>
      <c r="DC84" s="20">
        <f t="shared" ca="1" si="125"/>
        <v>-6.1880429854550417E-3</v>
      </c>
      <c r="DD84" s="20">
        <f t="shared" ca="1" si="126"/>
        <v>-3.1416218233848675E-3</v>
      </c>
      <c r="DE84" s="21">
        <f t="shared" ca="1" si="127"/>
        <v>3.1416218233848675E-3</v>
      </c>
      <c r="DF84" s="21">
        <f t="shared" ca="1" si="128"/>
        <v>6.1880429854550417E-3</v>
      </c>
      <c r="DG84" s="21">
        <f t="shared" ca="1" si="129"/>
        <v>1.2012083442353905E-2</v>
      </c>
      <c r="DH84" s="21">
        <f t="shared" ca="1" si="130"/>
        <v>2.2689490946668486E-2</v>
      </c>
      <c r="DI84" s="21">
        <f t="shared" ca="1" si="131"/>
        <v>4.084108370400328E-2</v>
      </c>
      <c r="DJ84" s="21">
        <f t="shared" ca="1" si="132"/>
        <v>6.8068472840005459E-2</v>
      </c>
      <c r="DK84" s="21">
        <f t="shared" ca="1" si="133"/>
        <v>0.1021027092600082</v>
      </c>
      <c r="DM84" s="16" cm="1">
        <f t="array" aca="1" ref="DM84" ca="1">MAX(_xlfn._xlws.FILTER(CX84:DK84,CX84:DK84&lt;BV84))</f>
        <v>6.1880429854550417E-3</v>
      </c>
      <c r="DN84" s="16" cm="1">
        <f t="array" aca="1" ref="DN84" ca="1">MIN(_xlfn._xlws.FILTER(CX84:DK84,CX84:DK84&gt;BV84))</f>
        <v>1.2012083442353905E-2</v>
      </c>
      <c r="DO84" s="2" cm="1">
        <f t="array" aca="1" ref="DO84" ca="1">_FV(ED84,"Fechamento anterior",TRUE)</f>
        <v>35.5</v>
      </c>
      <c r="DP84" s="28">
        <f t="shared" ca="1" si="106"/>
        <v>0.87217159391993593</v>
      </c>
      <c r="DQ84" s="15">
        <f t="shared" ca="1" si="134"/>
        <v>35.719675525983654</v>
      </c>
      <c r="DR84" s="15">
        <f t="shared" ca="1" si="135"/>
        <v>35.926428962203566</v>
      </c>
      <c r="DS84" s="9"/>
      <c r="DT84" s="9"/>
      <c r="DU84" s="9"/>
      <c r="DV84" s="89">
        <v>1.0677407504314581E-2</v>
      </c>
      <c r="DW84" s="89">
        <f t="shared" ca="1" si="107"/>
        <v>5.8240404568988633E-3</v>
      </c>
      <c r="DX84" s="72">
        <f t="shared" ca="1" si="108"/>
        <v>0.12464124859328007</v>
      </c>
      <c r="DY84" s="37"/>
      <c r="DZ84" s="35">
        <f t="shared" si="118"/>
        <v>0.62178452859491318</v>
      </c>
      <c r="EA84" s="56"/>
      <c r="EB84" s="56"/>
      <c r="ED84" s="2" t="e" vm="84">
        <v>#VALUE!</v>
      </c>
      <c r="EF84" s="10" cm="1">
        <f t="array" aca="1" ref="EF84" ca="1">_FV(ED84,"Ações em circulação",TRUE)</f>
        <v>1254548000</v>
      </c>
      <c r="EG84" s="18">
        <f>VLOOKUP(BQ84,Fundamentus!A:U,5,FALSE)</f>
        <v>0.92</v>
      </c>
      <c r="EH84" s="2">
        <f t="shared" ca="1" si="109"/>
        <v>48954644782.608696</v>
      </c>
      <c r="EI84" s="17">
        <v>4019999974.6869569</v>
      </c>
      <c r="EJ84" s="17">
        <f t="shared" ca="1" si="110"/>
        <v>4043653659.0434785</v>
      </c>
      <c r="EL84" s="16">
        <f t="shared" ca="1" si="97"/>
        <v>5.8840011207621501E-3</v>
      </c>
      <c r="EM84" s="32" t="str">
        <f>IF(VLOOKUP(BQ84,Fundamentus!A:U,3,FALSE)&lt;15,"Bom",IF(VLOOKUP(BQ84,Fundamentus!A:U,3,FALSE)&gt;15,"Ruim","n/a"))</f>
        <v>Bom</v>
      </c>
      <c r="EN84" s="28" t="str">
        <f>IF(VLOOKUP(BQ84,Fundamentus!A:U,4,FALSE)&lt;1,"Baixo",IF(VLOOKUP(BQ84,Fundamentus!A:U,4,FALSE)&lt;1.5,"Moderado",IF(VLOOKUP(BQ84,Fundamentus!A:U,4,FALSE)&gt;1.5,"Alto","n/a")))</f>
        <v>Alto</v>
      </c>
      <c r="EO84" s="17" t="str">
        <f>IF(VLOOKUP(BQ84,Fundamentus!A:U,8,FALSE)&lt;0,"Risco elevado",IF(VLOOKUP(BQ84,Fundamentus!A:U,8,FALSE)&lt;1,"Saudável",IF(VLOOKUP(BQ84,Fundamentus!A:U,8,FALSE)&lt;3,"Estável",IF(VLOOKUP(BQ84,Fundamentus!A:U,8,FALSE)&gt;3,"Alerta","n/a"))))</f>
        <v>Alerta</v>
      </c>
      <c r="EP84" s="28" t="str">
        <f t="shared" si="111"/>
        <v>Ruim</v>
      </c>
      <c r="EQ84" s="17" t="str">
        <f>IF(VLOOKUP(BQ84,Fundamentus!A:U,12,FALSE)&lt;2,"Subvalorizada",IF(VLOOKUP(BQ84,Fundamentus!A:U,12,FALSE)&lt;6,"Muita barata",IF(VLOOKUP(BQ84,Fundamentus!A:U,12,FALSE)&lt;6,"Barata",IF(VLOOKUP(BQ84,Fundamentus!A:U,12,FALSE)&lt;8,"Atrativa",IF(VLOOKUP(BQ84,Fundamentus!A:U,12,FALSE)&gt;8,"Supervalorizada","n/a")))))</f>
        <v>Atrativa</v>
      </c>
      <c r="ES84" s="17" t="str">
        <f>IF(VLOOKUP(BQ84,Fundamentus!A:U,17,FALSE)&lt;0.1,"Fraco retorno",IF(VLOOKUP(BQ84,Fundamentus!A:U,17,FALSE)&gt;0.1,"Bom retorno","n/a"))</f>
        <v>Bom retorno</v>
      </c>
      <c r="ET84" s="17" t="str">
        <f>IF(VLOOKUP(BQ84,Fundamentus!A:U,16,FALSE)&lt;0.1,"Ineficiente",IF(VLOOKUP(BQ84,Fundamentus!A:U,16,FALSE)&gt;0.1,"Eficiente","n/a"))</f>
        <v>Ineficiente</v>
      </c>
      <c r="EU84" s="33" t="str">
        <f>IF(VLOOKUP(BQ84,Fundamentus!A:U,16,FALSE)&lt;0.1,"Oper. Ineficiente",IF(VLOOKUP(BQ84,Fundamentus!A:U,16,FALSE)&gt;0.1,"Oper.Eficiente","n/a"))</f>
        <v>Oper. Ineficiente</v>
      </c>
      <c r="EV84" s="34">
        <f>VLOOKUP(BQ84,Fundamentus!A:U,14,FALSE)</f>
        <v>8.2600000000000007E-2</v>
      </c>
      <c r="EW84" s="17" t="str">
        <f>IF(VLOOKUP(BQ84,Fundamentus!A:U,21,FALSE)&lt;0,"Negativo",IF(VLOOKUP(BQ84,Fundamentus!A:U,21,FALSE)&lt;0.05,"Fraco",IF(VLOOKUP(BQ84,Fundamentus!A:U,21,FALSE)&lt;0.1,"Bom",IF(VLOOKUP(BQ84,Fundamentus!A:U,21,FALSE)&gt;0.1,"Muito bom","n/a"))))</f>
        <v>Muito bom</v>
      </c>
      <c r="EY84" s="29" t="str">
        <f>IF(VLOOKUP(BQ84,Fundamentus!A:U,15,FALSE)&gt;1,"Bom",IF(VLOOKUP(BQ84,Fundamentus!A:U,15,FALSE)&lt;1,"Ruim","n/a"))</f>
        <v>Bom</v>
      </c>
      <c r="EZ84" s="17" t="str">
        <f>IF(VLOOKUP(BQ84,Fundamentus!A:U,20,FALSE)&lt;0.5,"Baixa",IF(VLOOKUP(BQ84,Fundamentus!A:U,20,FALSE)&lt;1,"Moderada",IF(VLOOKUP(BQ84,Fundamentus!A:U,20,FALSE)&lt;2,"Alerta",IF(VLOOKUP(BQ84,Fundamentus!A:U,20,FALSE)&gt;2,"Alta","n/a"))))</f>
        <v>Alta</v>
      </c>
      <c r="FA84" s="10"/>
    </row>
    <row r="85" spans="1:157" s="2" customFormat="1" ht="11.25" hidden="1" x14ac:dyDescent="0.2">
      <c r="A85" s="4">
        <v>19.760000000000002</v>
      </c>
      <c r="B85" s="4">
        <v>19.3</v>
      </c>
      <c r="C85" s="4">
        <v>19.91</v>
      </c>
      <c r="D85" s="4">
        <v>19.5</v>
      </c>
      <c r="E85" s="4">
        <v>18.89</v>
      </c>
      <c r="F85" s="4">
        <v>18.66</v>
      </c>
      <c r="G85" s="4">
        <v>18.25</v>
      </c>
      <c r="H85" s="4">
        <v>18.16</v>
      </c>
      <c r="I85" s="4">
        <v>18.670000000000002</v>
      </c>
      <c r="J85" s="4">
        <v>18.45</v>
      </c>
      <c r="K85" s="4">
        <v>19.2</v>
      </c>
      <c r="L85" s="4">
        <v>18.45</v>
      </c>
      <c r="M85" s="4">
        <v>18.170000000000002</v>
      </c>
      <c r="N85" s="4">
        <v>18.38</v>
      </c>
      <c r="O85" s="4">
        <v>18.7</v>
      </c>
      <c r="P85" s="4">
        <v>19.22</v>
      </c>
      <c r="Q85" s="4">
        <v>20.11</v>
      </c>
      <c r="R85" s="4">
        <v>19.899999999999999</v>
      </c>
      <c r="S85" s="4">
        <v>20.43</v>
      </c>
      <c r="T85" s="4">
        <v>19.66</v>
      </c>
      <c r="U85" s="4">
        <v>19.77</v>
      </c>
      <c r="V85" s="4">
        <v>19.920000000000002</v>
      </c>
      <c r="W85" s="4">
        <v>18.84</v>
      </c>
      <c r="X85" s="4">
        <v>18.899999999999999</v>
      </c>
      <c r="Y85" s="4">
        <v>19.21</v>
      </c>
      <c r="Z85" s="4">
        <v>19.05</v>
      </c>
      <c r="AA85" s="4">
        <v>19.100000000000001</v>
      </c>
      <c r="AB85" s="4">
        <v>19.47</v>
      </c>
      <c r="AC85" s="4">
        <v>19.100000000000001</v>
      </c>
      <c r="AD85" s="4">
        <v>19.95</v>
      </c>
      <c r="AE85" s="4">
        <v>19.399999999999999</v>
      </c>
      <c r="AF85" s="4">
        <v>19.78</v>
      </c>
      <c r="AG85" s="4">
        <v>20.3</v>
      </c>
      <c r="AH85" s="4">
        <v>19.12</v>
      </c>
      <c r="AI85" s="4">
        <v>19.02</v>
      </c>
      <c r="AJ85" s="4">
        <v>18.899999999999999</v>
      </c>
      <c r="AK85" s="4">
        <v>18.23</v>
      </c>
      <c r="AL85" s="4">
        <v>18.32</v>
      </c>
      <c r="AM85" s="4">
        <v>18.100000000000001</v>
      </c>
      <c r="AN85" s="4">
        <v>18.75</v>
      </c>
      <c r="AO85" s="4">
        <v>18.2</v>
      </c>
      <c r="AP85" s="4">
        <v>19.63</v>
      </c>
      <c r="AQ85" s="4">
        <v>19.77</v>
      </c>
      <c r="AR85" s="4">
        <v>19.45</v>
      </c>
      <c r="AS85" s="4">
        <v>19.87</v>
      </c>
      <c r="AT85" s="4">
        <v>20.64</v>
      </c>
      <c r="AU85" s="4">
        <v>21.03</v>
      </c>
      <c r="AV85" s="4">
        <v>20.89</v>
      </c>
      <c r="AW85" s="4">
        <v>20.49</v>
      </c>
      <c r="AX85" s="4">
        <v>20.47</v>
      </c>
      <c r="AY85" s="12">
        <v>20.94</v>
      </c>
      <c r="AZ85" s="12">
        <v>22.13</v>
      </c>
      <c r="BA85" s="12">
        <v>22.9</v>
      </c>
      <c r="BB85" s="15">
        <v>22.72</v>
      </c>
      <c r="BC85" s="52">
        <v>23.53</v>
      </c>
      <c r="BD85" s="52">
        <v>24.4</v>
      </c>
      <c r="BE85" s="52">
        <v>25.05</v>
      </c>
      <c r="BF85" s="52">
        <v>24.51</v>
      </c>
      <c r="BG85" s="67">
        <v>24.45</v>
      </c>
      <c r="BH85" s="52">
        <v>24.99</v>
      </c>
      <c r="BI85" s="52">
        <v>24.91</v>
      </c>
      <c r="BJ85" s="52">
        <v>25.96</v>
      </c>
      <c r="BK85" s="52">
        <v>24.23</v>
      </c>
      <c r="BL85" s="52">
        <v>23.5</v>
      </c>
      <c r="BM85" s="52">
        <v>23.8</v>
      </c>
      <c r="BN85" s="52">
        <v>24.76</v>
      </c>
      <c r="BO85" s="52">
        <v>26.8</v>
      </c>
      <c r="BP85" s="52" cm="1">
        <f t="array" aca="1" ref="BP85" ca="1">_FV(ED85,"Preço")</f>
        <v>26.7</v>
      </c>
      <c r="BQ85" s="69" t="s">
        <v>82</v>
      </c>
      <c r="BR85" s="36" cm="1">
        <f t="array" aca="1" ref="BR85" ca="1">_FV(ED85,"Média de volume",TRUE)</f>
        <v>1546450</v>
      </c>
      <c r="BS85" s="36">
        <v>1291100</v>
      </c>
      <c r="BT85" s="36" cm="1">
        <f t="array" aca="1" ref="BT85" ca="1">_FV(ED85,"Volume")</f>
        <v>676100</v>
      </c>
      <c r="BU85" s="24" cm="1">
        <f t="array" aca="1" ref="BU85" ca="1">_FV(ED85,"Beta")</f>
        <v>0.74209999999999998</v>
      </c>
      <c r="BV85" s="71" cm="1">
        <f t="array" aca="1" ref="BV85" ca="1">_FV(ED85,"Variação (%)",TRUE)</f>
        <v>-5.587E-3</v>
      </c>
      <c r="BX85" s="17" cm="1">
        <f t="array" aca="1" ref="BX85" ca="1">_FV(ED85,"Baixo")</f>
        <v>26.7</v>
      </c>
      <c r="BY85" s="17" cm="1">
        <f t="array" aca="1" ref="BY85" ca="1">_FV(ED85,"Alto")</f>
        <v>27.15</v>
      </c>
      <c r="BZ85" s="24"/>
      <c r="CA85" s="63">
        <f ca="1">SQRT(22.5*(BP85/VLOOKUP(BQ85,Fundamentus!A:U,3,FALSE))*(BP85/VLOOKUP(BQ85,Fundamentus!A:U,4,FALSE)))</f>
        <v>52.721105564352833</v>
      </c>
      <c r="CC85" s="62">
        <f t="shared" ca="1" si="112"/>
        <v>-3.7313432835821424E-3</v>
      </c>
      <c r="CD85" s="8"/>
      <c r="CE85" s="61">
        <f t="shared" si="113"/>
        <v>18.100000000000001</v>
      </c>
      <c r="CF85" s="61">
        <f t="shared" si="114"/>
        <v>26.8</v>
      </c>
      <c r="CG85" s="61">
        <f t="shared" si="115"/>
        <v>20.522686567164182</v>
      </c>
      <c r="CH85" s="14"/>
      <c r="CI85" s="35">
        <f t="shared" si="98"/>
        <v>25.088909655737602</v>
      </c>
      <c r="CJ85" s="15">
        <f t="shared" si="116"/>
        <v>27.430000000000291</v>
      </c>
      <c r="CK85" s="35">
        <f t="shared" si="99"/>
        <v>29.77109034426298</v>
      </c>
      <c r="CM85" s="14"/>
      <c r="CN85" s="17">
        <f t="shared" si="100"/>
        <v>12.300000000000004</v>
      </c>
      <c r="CO85" s="17">
        <f t="shared" si="101"/>
        <v>15.200000000000003</v>
      </c>
      <c r="CP85" s="17">
        <f t="shared" si="102"/>
        <v>21.000000000000004</v>
      </c>
      <c r="CQ85" s="38">
        <f t="shared" si="117"/>
        <v>23.900000000000002</v>
      </c>
      <c r="CR85" s="17">
        <f t="shared" si="103"/>
        <v>29.700000000000003</v>
      </c>
      <c r="CS85" s="17">
        <f t="shared" si="104"/>
        <v>32.6</v>
      </c>
      <c r="CT85" s="17">
        <f t="shared" si="105"/>
        <v>38.400000000000006</v>
      </c>
      <c r="CU85" s="2" cm="1">
        <f t="array" aca="1" ref="CU85" ca="1">MAX(_xlfn._xlws.FILTER(CN85:CT85,CN85:CT85&lt;BP85))</f>
        <v>23.900000000000002</v>
      </c>
      <c r="CV85" s="2" cm="1">
        <f t="array" aca="1" ref="CV85" ca="1">MIN(_xlfn._xlws.FILTER($CN85:$CT85,$CN85:$CT85&gt;BP85))</f>
        <v>29.700000000000003</v>
      </c>
      <c r="CW85" s="16">
        <f t="shared" ca="1" si="119"/>
        <v>0.2426778242677825</v>
      </c>
      <c r="CX85" s="20">
        <f t="shared" ca="1" si="120"/>
        <v>-0.12133891213389125</v>
      </c>
      <c r="CY85" s="20">
        <f t="shared" ca="1" si="121"/>
        <v>-8.089260808926084E-2</v>
      </c>
      <c r="CZ85" s="20">
        <f t="shared" ca="1" si="122"/>
        <v>-4.85355648535565E-2</v>
      </c>
      <c r="DA85" s="20">
        <f t="shared" ca="1" si="123"/>
        <v>-2.6964202696420279E-2</v>
      </c>
      <c r="DB85" s="20">
        <f t="shared" ca="1" si="124"/>
        <v>-1.4275166133398971E-2</v>
      </c>
      <c r="DC85" s="20">
        <f t="shared" ca="1" si="125"/>
        <v>-7.3538734626600755E-3</v>
      </c>
      <c r="DD85" s="20">
        <f t="shared" ca="1" si="126"/>
        <v>-3.7335049887351154E-3</v>
      </c>
      <c r="DE85" s="21">
        <f t="shared" ca="1" si="127"/>
        <v>3.7335049887351154E-3</v>
      </c>
      <c r="DF85" s="21">
        <f t="shared" ca="1" si="128"/>
        <v>7.3538734626600755E-3</v>
      </c>
      <c r="DG85" s="21">
        <f t="shared" ca="1" si="129"/>
        <v>1.4275166133398971E-2</v>
      </c>
      <c r="DH85" s="21">
        <f t="shared" ca="1" si="130"/>
        <v>2.6964202696420279E-2</v>
      </c>
      <c r="DI85" s="21">
        <f t="shared" ca="1" si="131"/>
        <v>4.85355648535565E-2</v>
      </c>
      <c r="DJ85" s="21">
        <f t="shared" ca="1" si="132"/>
        <v>8.089260808926084E-2</v>
      </c>
      <c r="DK85" s="21">
        <f t="shared" ca="1" si="133"/>
        <v>0.12133891213389125</v>
      </c>
      <c r="DM85" s="16" cm="1">
        <f t="array" aca="1" ref="DM85" ca="1">MAX(_xlfn._xlws.FILTER(CX85:DK85,CX85:DK85&lt;BV85))</f>
        <v>-7.3538734626600755E-3</v>
      </c>
      <c r="DN85" s="16" cm="1">
        <f t="array" aca="1" ref="DN85" ca="1">MIN(_xlfn._xlws.FILTER(CX85:DK85,CX85:DK85&gt;BV85))</f>
        <v>-3.7335049887351154E-3</v>
      </c>
      <c r="DO85" s="2" cm="1">
        <f t="array" aca="1" ref="DO85" ca="1">_FV(ED85,"Fechamento anterior",TRUE)</f>
        <v>26.85</v>
      </c>
      <c r="DP85" s="28">
        <f t="shared" ca="1" si="106"/>
        <v>0.4881495617414478</v>
      </c>
      <c r="DQ85" s="15">
        <f t="shared" ca="1" si="134"/>
        <v>26.652548497527579</v>
      </c>
      <c r="DR85" s="15">
        <f t="shared" ca="1" si="135"/>
        <v>26.749755391052464</v>
      </c>
      <c r="DS85" s="9"/>
      <c r="DT85" s="9"/>
      <c r="DU85" s="9"/>
      <c r="DV85" s="89">
        <v>1.2689036563021307E-2</v>
      </c>
      <c r="DW85" s="89">
        <f t="shared" ca="1" si="107"/>
        <v>3.6203684739249602E-3</v>
      </c>
      <c r="DX85" s="72">
        <f t="shared" ca="1" si="108"/>
        <v>-0.31182051636294306</v>
      </c>
      <c r="DY85" s="37"/>
      <c r="DZ85" s="35">
        <f t="shared" si="118"/>
        <v>1.1705451721313451</v>
      </c>
      <c r="EA85" s="56"/>
      <c r="EB85" s="56"/>
      <c r="ED85" s="2" t="e" vm="85">
        <v>#VALUE!</v>
      </c>
      <c r="EF85" s="10" cm="1">
        <f t="array" aca="1" ref="EF85" ca="1">_FV(ED85,"Ações em circulação",TRUE)</f>
        <v>1213797000</v>
      </c>
      <c r="EG85" s="18">
        <f>VLOOKUP(BQ85,Fundamentus!A:U,5,FALSE)</f>
        <v>0.58299999999999996</v>
      </c>
      <c r="EH85" s="2">
        <f t="shared" ca="1" si="109"/>
        <v>55588987821.61235</v>
      </c>
      <c r="EI85" s="17">
        <v>4759499989.502574</v>
      </c>
      <c r="EJ85" s="17">
        <f t="shared" ca="1" si="110"/>
        <v>4741740661.1835337</v>
      </c>
      <c r="EL85" s="16">
        <f t="shared" ca="1" si="97"/>
        <v>-3.7313432835822669E-3</v>
      </c>
      <c r="EM85" s="32" t="str">
        <f>IF(VLOOKUP(BQ85,Fundamentus!A:U,3,FALSE)&lt;15,"Bom",IF(VLOOKUP(BQ85,Fundamentus!A:U,3,FALSE)&gt;15,"Ruim","n/a"))</f>
        <v>Bom</v>
      </c>
      <c r="EN85" s="28" t="str">
        <f>IF(VLOOKUP(BQ85,Fundamentus!A:U,4,FALSE)&lt;1,"Baixo",IF(VLOOKUP(BQ85,Fundamentus!A:U,4,FALSE)&lt;1.5,"Moderado",IF(VLOOKUP(BQ85,Fundamentus!A:U,4,FALSE)&gt;1.5,"Alto","n/a")))</f>
        <v>Baixo</v>
      </c>
      <c r="EO85" s="17" t="str">
        <f>IF(VLOOKUP(BQ85,Fundamentus!A:U,8,FALSE)&lt;0,"Risco elevado",IF(VLOOKUP(BQ85,Fundamentus!A:U,8,FALSE)&lt;1,"Saudável",IF(VLOOKUP(BQ85,Fundamentus!A:U,8,FALSE)&lt;3,"Estável",IF(VLOOKUP(BQ85,Fundamentus!A:U,8,FALSE)&gt;3,"Alerta","n/a"))))</f>
        <v>Alerta</v>
      </c>
      <c r="EP85" s="28" t="str">
        <f t="shared" si="111"/>
        <v>Ruim</v>
      </c>
      <c r="EQ85" s="17" t="str">
        <f>IF(VLOOKUP(BQ85,Fundamentus!A:U,12,FALSE)&lt;2,"Subvalorizada",IF(VLOOKUP(BQ85,Fundamentus!A:U,12,FALSE)&lt;6,"Muita barata",IF(VLOOKUP(BQ85,Fundamentus!A:U,12,FALSE)&lt;6,"Barata",IF(VLOOKUP(BQ85,Fundamentus!A:U,12,FALSE)&lt;8,"Atrativa",IF(VLOOKUP(BQ85,Fundamentus!A:U,12,FALSE)&gt;8,"Supervalorizada","n/a")))))</f>
        <v>Muita barata</v>
      </c>
      <c r="ES85" s="17" t="str">
        <f>IF(VLOOKUP(BQ85,Fundamentus!A:U,17,FALSE)&lt;0.1,"Fraco retorno",IF(VLOOKUP(BQ85,Fundamentus!A:U,17,FALSE)&gt;0.1,"Bom retorno","n/a"))</f>
        <v>Bom retorno</v>
      </c>
      <c r="ET85" s="17" t="str">
        <f>IF(VLOOKUP(BQ85,Fundamentus!A:U,16,FALSE)&lt;0.1,"Ineficiente",IF(VLOOKUP(BQ85,Fundamentus!A:U,16,FALSE)&gt;0.1,"Eficiente","n/a"))</f>
        <v>Eficiente</v>
      </c>
      <c r="EU85" s="33" t="str">
        <f>IF(VLOOKUP(BQ85,Fundamentus!A:U,16,FALSE)&lt;0.1,"Oper. Ineficiente",IF(VLOOKUP(BQ85,Fundamentus!A:U,16,FALSE)&gt;0.1,"Oper.Eficiente","n/a"))</f>
        <v>Oper.Eficiente</v>
      </c>
      <c r="EV85" s="34">
        <f>VLOOKUP(BQ85,Fundamentus!A:U,14,FALSE)</f>
        <v>8.5300000000000001E-2</v>
      </c>
      <c r="EW85" s="17" t="str">
        <f>IF(VLOOKUP(BQ85,Fundamentus!A:U,21,FALSE)&lt;0,"Negativo",IF(VLOOKUP(BQ85,Fundamentus!A:U,21,FALSE)&lt;0.05,"Fraco",IF(VLOOKUP(BQ85,Fundamentus!A:U,21,FALSE)&lt;0.1,"Bom",IF(VLOOKUP(BQ85,Fundamentus!A:U,21,FALSE)&gt;0.1,"Muito bom","n/a"))))</f>
        <v>Bom</v>
      </c>
      <c r="EY85" s="29" t="str">
        <f>IF(VLOOKUP(BQ85,Fundamentus!A:U,15,FALSE)&gt;1,"Bom",IF(VLOOKUP(BQ85,Fundamentus!A:U,15,FALSE)&lt;1,"Ruim","n/a"))</f>
        <v>Bom</v>
      </c>
      <c r="EZ85" s="17" t="str">
        <f>IF(VLOOKUP(BQ85,Fundamentus!A:U,20,FALSE)&lt;0.5,"Baixa",IF(VLOOKUP(BQ85,Fundamentus!A:U,20,FALSE)&lt;1,"Moderada",IF(VLOOKUP(BQ85,Fundamentus!A:U,20,FALSE)&lt;2,"Alerta",IF(VLOOKUP(BQ85,Fundamentus!A:U,20,FALSE)&gt;2,"Alta","n/a"))))</f>
        <v>Alerta</v>
      </c>
      <c r="FA85" s="10"/>
    </row>
    <row r="86" spans="1:157" s="2" customFormat="1" ht="11.25" hidden="1" x14ac:dyDescent="0.2">
      <c r="A86" s="4">
        <v>10.01</v>
      </c>
      <c r="B86" s="4">
        <v>9.6300000000000008</v>
      </c>
      <c r="C86" s="4">
        <v>9.99</v>
      </c>
      <c r="D86" s="4">
        <v>9.16</v>
      </c>
      <c r="E86" s="4">
        <v>9</v>
      </c>
      <c r="F86" s="4">
        <v>8.9700000000000006</v>
      </c>
      <c r="G86" s="4">
        <v>8.75</v>
      </c>
      <c r="H86" s="4">
        <v>8.5500000000000007</v>
      </c>
      <c r="I86" s="4">
        <v>7.85</v>
      </c>
      <c r="J86" s="4">
        <v>8.57</v>
      </c>
      <c r="K86" s="4">
        <v>8.24</v>
      </c>
      <c r="L86" s="4">
        <v>7.4</v>
      </c>
      <c r="M86" s="4">
        <v>7</v>
      </c>
      <c r="N86" s="4">
        <v>7.1</v>
      </c>
      <c r="O86" s="4">
        <v>7.08</v>
      </c>
      <c r="P86" s="4">
        <v>6.75</v>
      </c>
      <c r="Q86" s="4">
        <v>6.83</v>
      </c>
      <c r="R86" s="4">
        <v>6.53</v>
      </c>
      <c r="S86" s="4">
        <v>6.3</v>
      </c>
      <c r="T86" s="4">
        <v>6.14</v>
      </c>
      <c r="U86" s="4">
        <v>5.65</v>
      </c>
      <c r="V86" s="4">
        <v>5.88</v>
      </c>
      <c r="W86" s="4">
        <v>5.93</v>
      </c>
      <c r="X86" s="4">
        <v>5.91</v>
      </c>
      <c r="Y86" s="4">
        <v>6.08</v>
      </c>
      <c r="Z86" s="4">
        <v>6.46</v>
      </c>
      <c r="AA86" s="4">
        <v>6.06</v>
      </c>
      <c r="AB86" s="4">
        <v>5.9</v>
      </c>
      <c r="AC86" s="4">
        <v>5.63</v>
      </c>
      <c r="AD86" s="4">
        <v>5.89</v>
      </c>
      <c r="AE86" s="4">
        <v>5.22</v>
      </c>
      <c r="AF86" s="4">
        <v>5.09</v>
      </c>
      <c r="AG86" s="4">
        <v>5.0999999999999996</v>
      </c>
      <c r="AH86" s="4">
        <v>5</v>
      </c>
      <c r="AI86" s="4">
        <v>5.07</v>
      </c>
      <c r="AJ86" s="4">
        <v>5.08</v>
      </c>
      <c r="AK86" s="4">
        <v>5.0199999999999996</v>
      </c>
      <c r="AL86" s="4">
        <v>5.48</v>
      </c>
      <c r="AM86" s="4">
        <v>5.45</v>
      </c>
      <c r="AN86" s="4">
        <v>5.71</v>
      </c>
      <c r="AO86" s="4">
        <v>5.43</v>
      </c>
      <c r="AP86" s="4">
        <v>5.78</v>
      </c>
      <c r="AQ86" s="4">
        <v>5.35</v>
      </c>
      <c r="AR86" s="4">
        <v>5</v>
      </c>
      <c r="AS86" s="4">
        <v>5.28</v>
      </c>
      <c r="AT86" s="4">
        <v>5.38</v>
      </c>
      <c r="AU86" s="4">
        <v>5.3949999999999996</v>
      </c>
      <c r="AV86" s="4">
        <v>5.22</v>
      </c>
      <c r="AW86" s="4">
        <v>4.96</v>
      </c>
      <c r="AX86" s="4">
        <v>4.97</v>
      </c>
      <c r="AY86" s="12">
        <v>5.42</v>
      </c>
      <c r="AZ86" s="12">
        <v>5.94</v>
      </c>
      <c r="BA86" s="12">
        <v>6.15</v>
      </c>
      <c r="BB86" s="15">
        <v>5.61</v>
      </c>
      <c r="BC86" s="52">
        <v>5.12</v>
      </c>
      <c r="BD86" s="52">
        <v>4.93</v>
      </c>
      <c r="BE86" s="52">
        <v>4.72</v>
      </c>
      <c r="BF86" s="52">
        <v>4.42</v>
      </c>
      <c r="BG86" s="67">
        <v>4.46</v>
      </c>
      <c r="BH86" s="52">
        <v>4.28</v>
      </c>
      <c r="BI86" s="52">
        <v>4.41</v>
      </c>
      <c r="BJ86" s="52">
        <v>4.67</v>
      </c>
      <c r="BK86" s="52">
        <v>4.62</v>
      </c>
      <c r="BL86" s="52">
        <v>4.3899999999999997</v>
      </c>
      <c r="BM86" s="52">
        <v>4.2</v>
      </c>
      <c r="BN86" s="52">
        <v>3.97</v>
      </c>
      <c r="BO86" s="52">
        <v>4.08</v>
      </c>
      <c r="BP86" s="52" cm="1">
        <f t="array" aca="1" ref="BP86" ca="1">_FV(ED86,"Preço")</f>
        <v>4.07</v>
      </c>
      <c r="BQ86" s="69" t="s">
        <v>83</v>
      </c>
      <c r="BR86" s="36" cm="1">
        <f t="array" aca="1" ref="BR86" ca="1">_FV(ED86,"Média de volume",TRUE)</f>
        <v>912700</v>
      </c>
      <c r="BS86" s="36">
        <v>519000</v>
      </c>
      <c r="BT86" s="36" cm="1">
        <f t="array" aca="1" ref="BT86" ca="1">_FV(ED86,"Volume")</f>
        <v>666900</v>
      </c>
      <c r="BU86" s="24" cm="1">
        <f t="array" aca="1" ref="BU86" ca="1">_FV(ED86,"Beta")</f>
        <v>1.8900999999999999</v>
      </c>
      <c r="BV86" s="71" cm="1">
        <f t="array" aca="1" ref="BV86" ca="1">_FV(ED86,"Variação (%)",TRUE)</f>
        <v>-1.6907999999999999E-2</v>
      </c>
      <c r="BX86" s="17" cm="1">
        <f t="array" aca="1" ref="BX86" ca="1">_FV(ED86,"Baixo")</f>
        <v>4.01</v>
      </c>
      <c r="BY86" s="17" cm="1">
        <f t="array" aca="1" ref="BY86" ca="1">_FV(ED86,"Alto")</f>
        <v>4.2</v>
      </c>
      <c r="BZ86" s="24"/>
      <c r="CA86" s="63">
        <f ca="1">SQRT(22.5*(BP86/VLOOKUP(BQ86,Fundamentus!A:U,3,FALSE))*(BP86/VLOOKUP(BQ86,Fundamentus!A:U,4,FALSE)))</f>
        <v>2.1687505304486838</v>
      </c>
      <c r="CC86" s="62">
        <f t="shared" ca="1" si="112"/>
        <v>-2.4509803921568107E-3</v>
      </c>
      <c r="CD86" s="8"/>
      <c r="CE86" s="61">
        <f t="shared" si="113"/>
        <v>3.97</v>
      </c>
      <c r="CF86" s="61">
        <f t="shared" si="114"/>
        <v>10.01</v>
      </c>
      <c r="CG86" s="61">
        <f t="shared" si="115"/>
        <v>6.0539552238805969</v>
      </c>
      <c r="CH86" s="14"/>
      <c r="CI86" s="35">
        <f t="shared" si="98"/>
        <v>3.4084547692803007</v>
      </c>
      <c r="CJ86" s="15">
        <f t="shared" si="116"/>
        <v>3.8699999999998909</v>
      </c>
      <c r="CK86" s="35">
        <f t="shared" si="99"/>
        <v>4.3315452307194811</v>
      </c>
      <c r="CM86" s="14"/>
      <c r="CN86" s="17">
        <f t="shared" si="100"/>
        <v>-4.009999999999998</v>
      </c>
      <c r="CO86" s="17">
        <f t="shared" si="101"/>
        <v>-1.9999999999998685E-2</v>
      </c>
      <c r="CP86" s="17">
        <f t="shared" si="102"/>
        <v>2.0300000000000011</v>
      </c>
      <c r="CQ86" s="38">
        <f t="shared" si="117"/>
        <v>6.0200000000000005</v>
      </c>
      <c r="CR86" s="17">
        <f t="shared" si="103"/>
        <v>8.07</v>
      </c>
      <c r="CS86" s="17">
        <f t="shared" si="104"/>
        <v>12.059999999999999</v>
      </c>
      <c r="CT86" s="17">
        <f t="shared" si="105"/>
        <v>14.11</v>
      </c>
      <c r="CU86" s="2" cm="1">
        <f t="array" aca="1" ref="CU86" ca="1">MAX(_xlfn._xlws.FILTER(CN86:CT86,CN86:CT86&lt;BP86))</f>
        <v>2.0300000000000011</v>
      </c>
      <c r="CV86" s="2" cm="1">
        <f t="array" aca="1" ref="CV86" ca="1">MIN(_xlfn._xlws.FILTER($CN86:$CT86,$CN86:$CT86&gt;BP86))</f>
        <v>6.0200000000000005</v>
      </c>
      <c r="CW86" s="16">
        <f t="shared" ca="1" si="119"/>
        <v>1.9655172413793087</v>
      </c>
      <c r="CX86" s="20">
        <f t="shared" ca="1" si="120"/>
        <v>-0.98275862068965436</v>
      </c>
      <c r="CY86" s="20">
        <f t="shared" ca="1" si="121"/>
        <v>-0.65517241379310287</v>
      </c>
      <c r="CZ86" s="20">
        <f t="shared" ca="1" si="122"/>
        <v>-0.39310344827586174</v>
      </c>
      <c r="DA86" s="20">
        <f t="shared" ca="1" si="123"/>
        <v>-0.21839080459770097</v>
      </c>
      <c r="DB86" s="20">
        <f t="shared" ca="1" si="124"/>
        <v>-0.11561866125760639</v>
      </c>
      <c r="DC86" s="20">
        <f t="shared" ca="1" si="125"/>
        <v>-5.9561128526645718E-2</v>
      </c>
      <c r="DD86" s="20">
        <f t="shared" ca="1" si="126"/>
        <v>-3.0238726790450903E-2</v>
      </c>
      <c r="DE86" s="21">
        <f t="shared" ca="1" si="127"/>
        <v>3.0238726790450903E-2</v>
      </c>
      <c r="DF86" s="21">
        <f t="shared" ca="1" si="128"/>
        <v>5.9561128526645718E-2</v>
      </c>
      <c r="DG86" s="21">
        <f t="shared" ca="1" si="129"/>
        <v>0.11561866125760639</v>
      </c>
      <c r="DH86" s="21">
        <f t="shared" ca="1" si="130"/>
        <v>0.21839080459770097</v>
      </c>
      <c r="DI86" s="21">
        <f t="shared" ca="1" si="131"/>
        <v>0.39310344827586174</v>
      </c>
      <c r="DJ86" s="21">
        <f t="shared" ca="1" si="132"/>
        <v>0.65517241379310287</v>
      </c>
      <c r="DK86" s="21">
        <f t="shared" ca="1" si="133"/>
        <v>0.98275862068965436</v>
      </c>
      <c r="DM86" s="16" cm="1">
        <f t="array" aca="1" ref="DM86" ca="1">MAX(_xlfn._xlws.FILTER(CX86:DK86,CX86:DK86&lt;BV86))</f>
        <v>-3.0238726790450903E-2</v>
      </c>
      <c r="DN86" s="16" cm="1">
        <f t="array" aca="1" ref="DN86" ca="1">MIN(_xlfn._xlws.FILTER(CX86:DK86,CX86:DK86&gt;BV86))</f>
        <v>3.0238726790450903E-2</v>
      </c>
      <c r="DO86" s="2" cm="1">
        <f t="array" aca="1" ref="DO86" ca="1">_FV(ED86,"Fechamento anterior",TRUE)</f>
        <v>4.1399999999999997</v>
      </c>
      <c r="DP86" s="28">
        <f t="shared" ca="1" si="106"/>
        <v>0.22042122213747131</v>
      </c>
      <c r="DQ86" s="15">
        <f t="shared" ca="1" si="134"/>
        <v>4.014811671087533</v>
      </c>
      <c r="DR86" s="15">
        <f t="shared" ca="1" si="135"/>
        <v>4.2651883289124664</v>
      </c>
      <c r="DS86" s="9"/>
      <c r="DT86" s="9"/>
      <c r="DU86" s="9"/>
      <c r="DV86" s="89">
        <v>6.0477453580901806E-2</v>
      </c>
      <c r="DW86" s="89">
        <f t="shared" ca="1" si="107"/>
        <v>6.0477453580901806E-2</v>
      </c>
      <c r="DX86" s="72">
        <f t="shared" ca="1" si="108"/>
        <v>0.43332697791783392</v>
      </c>
      <c r="DY86" s="37"/>
      <c r="DZ86" s="35">
        <f t="shared" si="118"/>
        <v>0.23077261535979518</v>
      </c>
      <c r="EA86" s="56"/>
      <c r="EB86" s="56"/>
      <c r="ED86" s="2" t="e" vm="86">
        <v>#VALUE!</v>
      </c>
      <c r="EF86" s="10" cm="1">
        <f t="array" aca="1" ref="EF86" ca="1">_FV(ED86,"Ações em circulação",TRUE)</f>
        <v>141800000</v>
      </c>
      <c r="EG86" s="18">
        <f>VLOOKUP(BQ86,Fundamentus!A:U,5,FALSE)</f>
        <v>0.17899999999999999</v>
      </c>
      <c r="EH86" s="2">
        <f t="shared" ca="1" si="109"/>
        <v>3224167597.7653632</v>
      </c>
      <c r="EI86" s="17">
        <v>7757014.5251396652</v>
      </c>
      <c r="EJ86" s="17">
        <f t="shared" ca="1" si="110"/>
        <v>7738002.2346368711</v>
      </c>
      <c r="EL86" s="16">
        <f t="shared" ca="1" si="97"/>
        <v>-2.4509803921569651E-3</v>
      </c>
      <c r="EM86" s="32" t="str">
        <f>IF(VLOOKUP(BQ86,Fundamentus!A:U,3,FALSE)&lt;15,"Bom",IF(VLOOKUP(BQ86,Fundamentus!A:U,3,FALSE)&gt;15,"Ruim","n/a"))</f>
        <v>Ruim</v>
      </c>
      <c r="EN86" s="28" t="str">
        <f>IF(VLOOKUP(BQ86,Fundamentus!A:U,4,FALSE)&lt;1,"Baixo",IF(VLOOKUP(BQ86,Fundamentus!A:U,4,FALSE)&lt;1.5,"Moderado",IF(VLOOKUP(BQ86,Fundamentus!A:U,4,FALSE)&gt;1.5,"Alto","n/a")))</f>
        <v>Baixo</v>
      </c>
      <c r="EO86" s="17" t="str">
        <f>IF(VLOOKUP(BQ86,Fundamentus!A:U,8,FALSE)&lt;0,"Risco elevado",IF(VLOOKUP(BQ86,Fundamentus!A:U,8,FALSE)&lt;1,"Saudável",IF(VLOOKUP(BQ86,Fundamentus!A:U,8,FALSE)&lt;3,"Estável",IF(VLOOKUP(BQ86,Fundamentus!A:U,8,FALSE)&gt;3,"Alerta","n/a"))))</f>
        <v>Saudável</v>
      </c>
      <c r="EP86" s="28" t="str">
        <f t="shared" si="111"/>
        <v>Ruim</v>
      </c>
      <c r="EQ86" s="17" t="str">
        <f>IF(VLOOKUP(BQ86,Fundamentus!A:U,12,FALSE)&lt;2,"Subvalorizada",IF(VLOOKUP(BQ86,Fundamentus!A:U,12,FALSE)&lt;6,"Muita barata",IF(VLOOKUP(BQ86,Fundamentus!A:U,12,FALSE)&lt;6,"Barata",IF(VLOOKUP(BQ86,Fundamentus!A:U,12,FALSE)&lt;8,"Atrativa",IF(VLOOKUP(BQ86,Fundamentus!A:U,12,FALSE)&gt;8,"Supervalorizada","n/a")))))</f>
        <v>Muita barata</v>
      </c>
      <c r="ES86" s="17" t="str">
        <f>IF(VLOOKUP(BQ86,Fundamentus!A:U,17,FALSE)&lt;0.1,"Fraco retorno",IF(VLOOKUP(BQ86,Fundamentus!A:U,17,FALSE)&gt;0.1,"Bom retorno","n/a"))</f>
        <v>Fraco retorno</v>
      </c>
      <c r="ET86" s="17" t="str">
        <f>IF(VLOOKUP(BQ86,Fundamentus!A:U,16,FALSE)&lt;0.1,"Ineficiente",IF(VLOOKUP(BQ86,Fundamentus!A:U,16,FALSE)&gt;0.1,"Eficiente","n/a"))</f>
        <v>Ineficiente</v>
      </c>
      <c r="EU86" s="33" t="str">
        <f>IF(VLOOKUP(BQ86,Fundamentus!A:U,16,FALSE)&lt;0.1,"Oper. Ineficiente",IF(VLOOKUP(BQ86,Fundamentus!A:U,16,FALSE)&gt;0.1,"Oper.Eficiente","n/a"))</f>
        <v>Oper. Ineficiente</v>
      </c>
      <c r="EV86" s="34">
        <f>VLOOKUP(BQ86,Fundamentus!A:U,14,FALSE)</f>
        <v>2.3999999999999998E-3</v>
      </c>
      <c r="EW86" s="17" t="str">
        <f>IF(VLOOKUP(BQ86,Fundamentus!A:U,21,FALSE)&lt;0,"Negativo",IF(VLOOKUP(BQ86,Fundamentus!A:U,21,FALSE)&lt;0.05,"Fraco",IF(VLOOKUP(BQ86,Fundamentus!A:U,21,FALSE)&lt;0.1,"Bom",IF(VLOOKUP(BQ86,Fundamentus!A:U,21,FALSE)&gt;0.1,"Muito bom","n/a"))))</f>
        <v>Bom</v>
      </c>
      <c r="EY86" s="29" t="str">
        <f>IF(VLOOKUP(BQ86,Fundamentus!A:U,15,FALSE)&gt;1,"Bom",IF(VLOOKUP(BQ86,Fundamentus!A:U,15,FALSE)&lt;1,"Ruim","n/a"))</f>
        <v>Bom</v>
      </c>
      <c r="EZ86" s="17" t="str">
        <f>IF(VLOOKUP(BQ86,Fundamentus!A:U,20,FALSE)&lt;0.5,"Baixa",IF(VLOOKUP(BQ86,Fundamentus!A:U,20,FALSE)&lt;1,"Moderada",IF(VLOOKUP(BQ86,Fundamentus!A:U,20,FALSE)&lt;2,"Alerta",IF(VLOOKUP(BQ86,Fundamentus!A:U,20,FALSE)&gt;2,"Alta","n/a"))))</f>
        <v>Moderada</v>
      </c>
      <c r="FA86" s="10"/>
    </row>
    <row r="87" spans="1:157" s="2" customFormat="1" ht="11.25" hidden="1" x14ac:dyDescent="0.2">
      <c r="A87" s="4">
        <v>1.2</v>
      </c>
      <c r="B87" s="4">
        <v>1.17</v>
      </c>
      <c r="C87" s="4">
        <v>1.08</v>
      </c>
      <c r="D87" s="4">
        <v>1.1100000000000001</v>
      </c>
      <c r="E87" s="4">
        <v>1.05</v>
      </c>
      <c r="F87" s="4">
        <v>1</v>
      </c>
      <c r="G87" s="4">
        <v>0.98</v>
      </c>
      <c r="H87" s="4">
        <v>0.9</v>
      </c>
      <c r="I87" s="4">
        <v>0.87</v>
      </c>
      <c r="J87" s="4">
        <v>0.94</v>
      </c>
      <c r="K87" s="4">
        <v>0.92</v>
      </c>
      <c r="L87" s="4">
        <v>0.88</v>
      </c>
      <c r="M87" s="4">
        <v>0.85</v>
      </c>
      <c r="N87" s="4">
        <v>0.88</v>
      </c>
      <c r="O87" s="4">
        <v>0.91</v>
      </c>
      <c r="P87" s="4">
        <v>0.9</v>
      </c>
      <c r="Q87" s="4">
        <v>0.93</v>
      </c>
      <c r="R87" s="4">
        <v>0.9</v>
      </c>
      <c r="S87" s="4">
        <v>0.89</v>
      </c>
      <c r="T87" s="4">
        <v>0.87</v>
      </c>
      <c r="U87" s="4">
        <v>0.84</v>
      </c>
      <c r="V87" s="4">
        <v>0.84</v>
      </c>
      <c r="W87" s="4">
        <v>0.83</v>
      </c>
      <c r="X87" s="4">
        <v>0.79</v>
      </c>
      <c r="Y87" s="4">
        <v>0.8</v>
      </c>
      <c r="Z87" s="4">
        <v>0.8</v>
      </c>
      <c r="AA87" s="4">
        <v>0.78</v>
      </c>
      <c r="AB87" s="4">
        <v>0.78</v>
      </c>
      <c r="AC87" s="4">
        <v>0.7</v>
      </c>
      <c r="AD87" s="4">
        <v>0.69</v>
      </c>
      <c r="AE87" s="4">
        <v>0.59</v>
      </c>
      <c r="AF87" s="4">
        <v>0.59</v>
      </c>
      <c r="AG87" s="4">
        <v>0.57999999999999996</v>
      </c>
      <c r="AH87" s="4">
        <v>0.51</v>
      </c>
      <c r="AI87" s="4">
        <v>0.5</v>
      </c>
      <c r="AJ87" s="4">
        <v>0.5</v>
      </c>
      <c r="AK87" s="4">
        <v>0.52</v>
      </c>
      <c r="AL87" s="4">
        <v>4.75</v>
      </c>
      <c r="AM87" s="4">
        <v>4.55</v>
      </c>
      <c r="AN87" s="4">
        <v>4.75</v>
      </c>
      <c r="AO87" s="4">
        <v>5.09</v>
      </c>
      <c r="AP87" s="4">
        <v>4.95</v>
      </c>
      <c r="AQ87" s="4">
        <v>5.3</v>
      </c>
      <c r="AR87" s="4">
        <v>5.14</v>
      </c>
      <c r="AS87" s="4">
        <v>5.18</v>
      </c>
      <c r="AT87" s="4">
        <v>4.97</v>
      </c>
      <c r="AU87" s="4">
        <v>5.04</v>
      </c>
      <c r="AV87" s="4">
        <v>5.5</v>
      </c>
      <c r="AW87" s="4">
        <v>5.25</v>
      </c>
      <c r="AX87" s="4">
        <v>5.05</v>
      </c>
      <c r="AY87" s="12">
        <v>4.91</v>
      </c>
      <c r="AZ87" s="12">
        <v>5.05</v>
      </c>
      <c r="BA87" s="12">
        <v>4.5</v>
      </c>
      <c r="BB87" s="15">
        <v>4.8</v>
      </c>
      <c r="BC87" s="52">
        <v>4.67</v>
      </c>
      <c r="BD87" s="52">
        <v>4.33</v>
      </c>
      <c r="BE87" s="52">
        <v>4.3600000000000003</v>
      </c>
      <c r="BF87" s="52">
        <v>4.2</v>
      </c>
      <c r="BG87" s="67">
        <v>4.25</v>
      </c>
      <c r="BH87" s="52">
        <v>4.24</v>
      </c>
      <c r="BI87" s="52">
        <v>3.6</v>
      </c>
      <c r="BJ87" s="52">
        <v>3.67</v>
      </c>
      <c r="BK87" s="52">
        <v>3.57</v>
      </c>
      <c r="BL87" s="52">
        <v>3.63</v>
      </c>
      <c r="BM87" s="52">
        <v>3.58</v>
      </c>
      <c r="BN87" s="52">
        <v>4.24</v>
      </c>
      <c r="BO87" s="52">
        <v>4.8</v>
      </c>
      <c r="BP87" s="52" cm="1">
        <f t="array" aca="1" ref="BP87" ca="1">_FV(ED87,"Preço")</f>
        <v>4.43</v>
      </c>
      <c r="BQ87" s="69" t="s">
        <v>84</v>
      </c>
      <c r="BR87" s="36" cm="1">
        <f t="array" aca="1" ref="BR87" ca="1">_FV(ED87,"Média de volume",TRUE)</f>
        <v>12040</v>
      </c>
      <c r="BS87" s="36">
        <v>4800</v>
      </c>
      <c r="BT87" s="36" cm="1">
        <f t="array" aca="1" ref="BT87" ca="1">_FV(ED87,"Volume")</f>
        <v>200</v>
      </c>
      <c r="BU87" s="24" cm="1">
        <f t="array" aca="1" ref="BU87" ca="1">_FV(ED87,"Beta")</f>
        <v>1.1282000000000001</v>
      </c>
      <c r="BV87" s="71" cm="1">
        <f t="array" aca="1" ref="BV87" ca="1">_FV(ED87,"Variação (%)",TRUE)</f>
        <v>-1.7738E-2</v>
      </c>
      <c r="BX87" s="17" cm="1">
        <f t="array" aca="1" ref="BX87" ca="1">_FV(ED87,"Baixo")</f>
        <v>4.43</v>
      </c>
      <c r="BY87" s="17" cm="1">
        <f t="array" aca="1" ref="BY87" ca="1">_FV(ED87,"Alto")</f>
        <v>4.43</v>
      </c>
      <c r="BZ87" s="24"/>
      <c r="CA87" s="63" t="e">
        <f ca="1">SQRT(22.5*(BP87/VLOOKUP(BQ87,Fundamentus!A:U,3,FALSE))*(BP87/VLOOKUP(BQ87,Fundamentus!A:U,4,FALSE)))</f>
        <v>#NUM!</v>
      </c>
      <c r="CC87" s="62">
        <f t="shared" ca="1" si="112"/>
        <v>-7.7083333333333365E-2</v>
      </c>
      <c r="CD87" s="8"/>
      <c r="CE87" s="61">
        <f t="shared" si="113"/>
        <v>0.5</v>
      </c>
      <c r="CF87" s="61">
        <f t="shared" si="114"/>
        <v>5.5</v>
      </c>
      <c r="CG87" s="61">
        <f t="shared" si="115"/>
        <v>2.5192537313432837</v>
      </c>
      <c r="CH87" s="14"/>
      <c r="CI87" s="35">
        <f t="shared" si="98"/>
        <v>4.1295739392450281</v>
      </c>
      <c r="CJ87" s="15">
        <f t="shared" si="116"/>
        <v>5.1050000000000182</v>
      </c>
      <c r="CK87" s="35">
        <f t="shared" si="99"/>
        <v>6.0804260607550082</v>
      </c>
      <c r="CM87" s="14"/>
      <c r="CN87" s="17">
        <f t="shared" si="100"/>
        <v>-3.3</v>
      </c>
      <c r="CO87" s="17">
        <f t="shared" si="101"/>
        <v>-1.4</v>
      </c>
      <c r="CP87" s="17">
        <f t="shared" si="102"/>
        <v>1.7000000000000002</v>
      </c>
      <c r="CQ87" s="38">
        <f t="shared" si="117"/>
        <v>3.6</v>
      </c>
      <c r="CR87" s="17">
        <f t="shared" si="103"/>
        <v>6.7</v>
      </c>
      <c r="CS87" s="17">
        <f t="shared" si="104"/>
        <v>8.6</v>
      </c>
      <c r="CT87" s="17">
        <f t="shared" si="105"/>
        <v>11.7</v>
      </c>
      <c r="CU87" s="2" cm="1">
        <f t="array" aca="1" ref="CU87" ca="1">MAX(_xlfn._xlws.FILTER(CN87:CT87,CN87:CT87&lt;BP87))</f>
        <v>3.6</v>
      </c>
      <c r="CV87" s="2" cm="1">
        <f t="array" aca="1" ref="CV87" ca="1">MIN(_xlfn._xlws.FILTER($CN87:$CT87,$CN87:$CT87&gt;BP87))</f>
        <v>6.7</v>
      </c>
      <c r="CW87" s="16">
        <f t="shared" ca="1" si="119"/>
        <v>0.86111111111111116</v>
      </c>
      <c r="CX87" s="20">
        <f t="shared" ca="1" si="120"/>
        <v>-0.43055555555555558</v>
      </c>
      <c r="CY87" s="20">
        <f t="shared" ca="1" si="121"/>
        <v>-0.28703703703703703</v>
      </c>
      <c r="CZ87" s="20">
        <f t="shared" ca="1" si="122"/>
        <v>-0.17222222222222222</v>
      </c>
      <c r="DA87" s="20">
        <f t="shared" ca="1" si="123"/>
        <v>-9.5679012345679021E-2</v>
      </c>
      <c r="DB87" s="20">
        <f t="shared" ca="1" si="124"/>
        <v>-5.0653594771241831E-2</v>
      </c>
      <c r="DC87" s="20">
        <f t="shared" ca="1" si="125"/>
        <v>-2.6094276094276097E-2</v>
      </c>
      <c r="DD87" s="20">
        <f t="shared" ca="1" si="126"/>
        <v>-1.3247863247863249E-2</v>
      </c>
      <c r="DE87" s="21">
        <f t="shared" ca="1" si="127"/>
        <v>1.3247863247863249E-2</v>
      </c>
      <c r="DF87" s="21">
        <f t="shared" ca="1" si="128"/>
        <v>2.6094276094276097E-2</v>
      </c>
      <c r="DG87" s="21">
        <f t="shared" ca="1" si="129"/>
        <v>5.0653594771241831E-2</v>
      </c>
      <c r="DH87" s="21">
        <f t="shared" ca="1" si="130"/>
        <v>9.5679012345679021E-2</v>
      </c>
      <c r="DI87" s="21">
        <f t="shared" ca="1" si="131"/>
        <v>0.17222222222222222</v>
      </c>
      <c r="DJ87" s="21">
        <f t="shared" ca="1" si="132"/>
        <v>0.28703703703703703</v>
      </c>
      <c r="DK87" s="21">
        <f t="shared" ca="1" si="133"/>
        <v>0.43055555555555558</v>
      </c>
      <c r="DM87" s="16" cm="1">
        <f t="array" aca="1" ref="DM87" ca="1">MAX(_xlfn._xlws.FILTER(CX87:DK87,CX87:DK87&lt;BV87))</f>
        <v>-2.6094276094276097E-2</v>
      </c>
      <c r="DN87" s="16" cm="1">
        <f t="array" aca="1" ref="DN87" ca="1">MIN(_xlfn._xlws.FILTER(CX87:DK87,CX87:DK87&gt;BV87))</f>
        <v>-1.3247863247863249E-2</v>
      </c>
      <c r="DO87" s="2" cm="1">
        <f t="array" aca="1" ref="DO87" ca="1">_FV(ED87,"Fechamento anterior",TRUE)</f>
        <v>4.51</v>
      </c>
      <c r="DP87" s="28">
        <f t="shared" ca="1" si="106"/>
        <v>0.6504474822974019</v>
      </c>
      <c r="DQ87" s="15">
        <f t="shared" ca="1" si="134"/>
        <v>4.3923148148148146</v>
      </c>
      <c r="DR87" s="15">
        <f t="shared" ca="1" si="135"/>
        <v>4.4502521367521366</v>
      </c>
      <c r="DS87" s="9"/>
      <c r="DT87" s="9"/>
      <c r="DU87" s="9"/>
      <c r="DV87" s="89">
        <v>4.502541757443719E-2</v>
      </c>
      <c r="DW87" s="89">
        <f t="shared" ca="1" si="107"/>
        <v>1.2846412846412848E-2</v>
      </c>
      <c r="DX87" s="72">
        <f t="shared" ca="1" si="108"/>
        <v>-0.69200529610369577</v>
      </c>
      <c r="DY87" s="37"/>
      <c r="DZ87" s="35">
        <f t="shared" si="118"/>
        <v>0.48771303037749519</v>
      </c>
      <c r="EA87" s="56"/>
      <c r="EB87" s="56"/>
      <c r="ED87" s="2" t="e" vm="87">
        <v>#VALUE!</v>
      </c>
      <c r="EF87" s="10" cm="1">
        <f t="array" aca="1" ref="EF87" ca="1">_FV(ED87,"Ações em circulação",TRUE)</f>
        <v>11109350</v>
      </c>
      <c r="EG87" s="18">
        <f>VLOOKUP(BQ87,Fundamentus!A:U,5,FALSE)</f>
        <v>0.25600000000000001</v>
      </c>
      <c r="EH87" s="2">
        <f t="shared" ca="1" si="109"/>
        <v>192243830.078125</v>
      </c>
      <c r="EI87" s="17">
        <v>-25475128.21875</v>
      </c>
      <c r="EJ87" s="17">
        <f t="shared" ca="1" si="110"/>
        <v>-23511420.41855469</v>
      </c>
      <c r="EL87" s="16">
        <f t="shared" ca="1" si="97"/>
        <v>-7.7083333333333282E-2</v>
      </c>
      <c r="EM87" s="32" t="str">
        <f>IF(VLOOKUP(BQ87,Fundamentus!A:U,3,FALSE)&lt;15,"Bom",IF(VLOOKUP(BQ87,Fundamentus!A:U,3,FALSE)&gt;15,"Ruim","n/a"))</f>
        <v>Bom</v>
      </c>
      <c r="EN87" s="28" t="str">
        <f>IF(VLOOKUP(BQ87,Fundamentus!A:U,4,FALSE)&lt;1,"Baixo",IF(VLOOKUP(BQ87,Fundamentus!A:U,4,FALSE)&lt;1.5,"Moderado",IF(VLOOKUP(BQ87,Fundamentus!A:U,4,FALSE)&gt;1.5,"Alto","n/a")))</f>
        <v>Baixo</v>
      </c>
      <c r="EO87" s="17" t="str">
        <f>IF(VLOOKUP(BQ87,Fundamentus!A:U,8,FALSE)&lt;0,"Risco elevado",IF(VLOOKUP(BQ87,Fundamentus!A:U,8,FALSE)&lt;1,"Saudável",IF(VLOOKUP(BQ87,Fundamentus!A:U,8,FALSE)&lt;3,"Estável",IF(VLOOKUP(BQ87,Fundamentus!A:U,8,FALSE)&gt;3,"Alerta","n/a"))))</f>
        <v>Saudável</v>
      </c>
      <c r="EP87" s="28" t="str">
        <f t="shared" si="111"/>
        <v>Ruim</v>
      </c>
      <c r="EQ87" s="17" t="str">
        <f>IF(VLOOKUP(BQ87,Fundamentus!A:U,12,FALSE)&lt;2,"Subvalorizada",IF(VLOOKUP(BQ87,Fundamentus!A:U,12,FALSE)&lt;6,"Muita barata",IF(VLOOKUP(BQ87,Fundamentus!A:U,12,FALSE)&lt;6,"Barata",IF(VLOOKUP(BQ87,Fundamentus!A:U,12,FALSE)&lt;8,"Atrativa",IF(VLOOKUP(BQ87,Fundamentus!A:U,12,FALSE)&gt;8,"Supervalorizada","n/a")))))</f>
        <v>Muita barata</v>
      </c>
      <c r="ES87" s="17" t="str">
        <f>IF(VLOOKUP(BQ87,Fundamentus!A:U,17,FALSE)&lt;0.1,"Fraco retorno",IF(VLOOKUP(BQ87,Fundamentus!A:U,17,FALSE)&gt;0.1,"Bom retorno","n/a"))</f>
        <v>Fraco retorno</v>
      </c>
      <c r="ET87" s="17" t="str">
        <f>IF(VLOOKUP(BQ87,Fundamentus!A:U,16,FALSE)&lt;0.1,"Ineficiente",IF(VLOOKUP(BQ87,Fundamentus!A:U,16,FALSE)&gt;0.1,"Eficiente","n/a"))</f>
        <v>Ineficiente</v>
      </c>
      <c r="EU87" s="33" t="str">
        <f>IF(VLOOKUP(BQ87,Fundamentus!A:U,16,FALSE)&lt;0.1,"Oper. Ineficiente",IF(VLOOKUP(BQ87,Fundamentus!A:U,16,FALSE)&gt;0.1,"Oper.Eficiente","n/a"))</f>
        <v>Oper. Ineficiente</v>
      </c>
      <c r="EV87" s="34">
        <f>VLOOKUP(BQ87,Fundamentus!A:U,14,FALSE)</f>
        <v>-0.12230000000000001</v>
      </c>
      <c r="EW87" s="17" t="str">
        <f>IF(VLOOKUP(BQ87,Fundamentus!A:U,21,FALSE)&lt;0,"Negativo",IF(VLOOKUP(BQ87,Fundamentus!A:U,21,FALSE)&lt;0.05,"Fraco",IF(VLOOKUP(BQ87,Fundamentus!A:U,21,FALSE)&lt;0.1,"Bom",IF(VLOOKUP(BQ87,Fundamentus!A:U,21,FALSE)&gt;0.1,"Muito bom","n/a"))))</f>
        <v>Negativo</v>
      </c>
      <c r="EY87" s="29" t="str">
        <f>IF(VLOOKUP(BQ87,Fundamentus!A:U,15,FALSE)&gt;1,"Bom",IF(VLOOKUP(BQ87,Fundamentus!A:U,15,FALSE)&lt;1,"Ruim","n/a"))</f>
        <v>Bom</v>
      </c>
      <c r="EZ87" s="17" t="str">
        <f>IF(VLOOKUP(BQ87,Fundamentus!A:U,20,FALSE)&lt;0.5,"Baixa",IF(VLOOKUP(BQ87,Fundamentus!A:U,20,FALSE)&lt;1,"Moderada",IF(VLOOKUP(BQ87,Fundamentus!A:U,20,FALSE)&lt;2,"Alerta",IF(VLOOKUP(BQ87,Fundamentus!A:U,20,FALSE)&gt;2,"Alta","n/a"))))</f>
        <v>Baixa</v>
      </c>
      <c r="FA87" s="10"/>
    </row>
    <row r="88" spans="1:157" s="2" customFormat="1" ht="11.25" hidden="1" x14ac:dyDescent="0.2">
      <c r="A88" s="4">
        <v>34.4</v>
      </c>
      <c r="B88" s="4">
        <v>34.29</v>
      </c>
      <c r="C88" s="4">
        <v>35.57</v>
      </c>
      <c r="D88" s="4">
        <v>33.58</v>
      </c>
      <c r="E88" s="4">
        <v>31.25</v>
      </c>
      <c r="F88" s="4">
        <v>31.86</v>
      </c>
      <c r="G88" s="4">
        <v>30.51</v>
      </c>
      <c r="H88" s="4">
        <v>30.96</v>
      </c>
      <c r="I88" s="4">
        <v>29.34</v>
      </c>
      <c r="J88" s="4">
        <v>27.57</v>
      </c>
      <c r="K88" s="4">
        <v>28.4</v>
      </c>
      <c r="L88" s="4">
        <v>28.87</v>
      </c>
      <c r="M88" s="4">
        <v>27.83</v>
      </c>
      <c r="N88" s="4">
        <v>27.14</v>
      </c>
      <c r="O88" s="4">
        <v>29.53</v>
      </c>
      <c r="P88" s="4">
        <v>28.02</v>
      </c>
      <c r="Q88" s="4">
        <v>28.09</v>
      </c>
      <c r="R88" s="4">
        <v>27.16</v>
      </c>
      <c r="S88" s="4">
        <v>27.76</v>
      </c>
      <c r="T88" s="4">
        <v>27.35</v>
      </c>
      <c r="U88" s="4">
        <v>25.95</v>
      </c>
      <c r="V88" s="4">
        <v>24.95</v>
      </c>
      <c r="W88" s="4">
        <v>26.53</v>
      </c>
      <c r="X88" s="4">
        <v>25.29</v>
      </c>
      <c r="Y88" s="4">
        <v>24.92</v>
      </c>
      <c r="Z88" s="4">
        <v>24.6</v>
      </c>
      <c r="AA88" s="4">
        <v>25.5</v>
      </c>
      <c r="AB88" s="4">
        <v>24.79</v>
      </c>
      <c r="AC88" s="4">
        <v>25.4</v>
      </c>
      <c r="AD88" s="4">
        <v>23.79</v>
      </c>
      <c r="AE88" s="4">
        <v>22.42</v>
      </c>
      <c r="AF88" s="4">
        <v>21.67</v>
      </c>
      <c r="AG88" s="4">
        <v>21.22</v>
      </c>
      <c r="AH88" s="4">
        <v>20.52</v>
      </c>
      <c r="AI88" s="4">
        <v>20.16</v>
      </c>
      <c r="AJ88" s="4">
        <v>19.59</v>
      </c>
      <c r="AK88" s="4">
        <v>19.28</v>
      </c>
      <c r="AL88" s="4">
        <v>19.399999999999999</v>
      </c>
      <c r="AM88" s="4">
        <v>20.2</v>
      </c>
      <c r="AN88" s="4">
        <v>23.08</v>
      </c>
      <c r="AO88" s="4">
        <v>21.61</v>
      </c>
      <c r="AP88" s="4">
        <v>22.73</v>
      </c>
      <c r="AQ88" s="4">
        <v>23.69</v>
      </c>
      <c r="AR88" s="4">
        <v>22.46</v>
      </c>
      <c r="AS88" s="4">
        <v>23.7</v>
      </c>
      <c r="AT88" s="4">
        <v>23.29</v>
      </c>
      <c r="AU88" s="4">
        <v>23.815000000000001</v>
      </c>
      <c r="AV88" s="4">
        <v>22.41</v>
      </c>
      <c r="AW88" s="4">
        <v>23.81</v>
      </c>
      <c r="AX88" s="4">
        <v>23.89</v>
      </c>
      <c r="AY88" s="12">
        <v>25.18</v>
      </c>
      <c r="AZ88" s="12">
        <v>24.83</v>
      </c>
      <c r="BA88" s="12">
        <v>25.37</v>
      </c>
      <c r="BB88" s="15">
        <v>23.56</v>
      </c>
      <c r="BC88" s="52">
        <v>23.97</v>
      </c>
      <c r="BD88" s="52">
        <v>23.61</v>
      </c>
      <c r="BE88" s="52">
        <v>23.78</v>
      </c>
      <c r="BF88" s="52">
        <v>23.5</v>
      </c>
      <c r="BG88" s="67">
        <v>23.11</v>
      </c>
      <c r="BH88" s="52">
        <v>23.33</v>
      </c>
      <c r="BI88" s="52">
        <v>23.9</v>
      </c>
      <c r="BJ88" s="52">
        <v>24.44</v>
      </c>
      <c r="BK88" s="52">
        <v>26.75</v>
      </c>
      <c r="BL88" s="52">
        <v>24.73</v>
      </c>
      <c r="BM88" s="52">
        <v>25.51</v>
      </c>
      <c r="BN88" s="52">
        <v>24.17</v>
      </c>
      <c r="BO88" s="52">
        <v>24.8</v>
      </c>
      <c r="BP88" s="52" cm="1">
        <f t="array" aca="1" ref="BP88" ca="1">_FV(ED88,"Preço")</f>
        <v>28.98</v>
      </c>
      <c r="BQ88" s="69" t="s">
        <v>85</v>
      </c>
      <c r="BR88" s="36" cm="1">
        <f t="array" aca="1" ref="BR88" ca="1">_FV(ED88,"Média de volume",TRUE)</f>
        <v>825130</v>
      </c>
      <c r="BS88" s="36">
        <v>421800</v>
      </c>
      <c r="BT88" s="36" cm="1">
        <f t="array" aca="1" ref="BT88" ca="1">_FV(ED88,"Volume")</f>
        <v>545500</v>
      </c>
      <c r="BU88" s="24" cm="1">
        <f t="array" aca="1" ref="BU88" ca="1">_FV(ED88,"Beta")</f>
        <v>0.9123</v>
      </c>
      <c r="BV88" s="71" cm="1">
        <f t="array" aca="1" ref="BV88" ca="1">_FV(ED88,"Variação (%)",TRUE)</f>
        <v>5.5520000000000005E-3</v>
      </c>
      <c r="BX88" s="17" cm="1">
        <f t="array" aca="1" ref="BX88" ca="1">_FV(ED88,"Baixo")</f>
        <v>28.72</v>
      </c>
      <c r="BY88" s="17" cm="1">
        <f t="array" aca="1" ref="BY88" ca="1">_FV(ED88,"Alto")</f>
        <v>29.54</v>
      </c>
      <c r="BZ88" s="24"/>
      <c r="CA88" s="63">
        <f ca="1">SQRT(22.5*(BP88/VLOOKUP(BQ88,Fundamentus!A:U,3,FALSE))*(BP88/VLOOKUP(BQ88,Fundamentus!A:U,4,FALSE)))</f>
        <v>34.041231876324105</v>
      </c>
      <c r="CC88" s="62">
        <f t="shared" ca="1" si="112"/>
        <v>0.16854838709677417</v>
      </c>
      <c r="CD88" s="8"/>
      <c r="CE88" s="61">
        <f t="shared" si="113"/>
        <v>19.28</v>
      </c>
      <c r="CF88" s="61">
        <f t="shared" si="114"/>
        <v>35.57</v>
      </c>
      <c r="CG88" s="61">
        <f t="shared" si="115"/>
        <v>25.44305970149253</v>
      </c>
      <c r="CH88" s="14"/>
      <c r="CI88" s="35">
        <f t="shared" si="98"/>
        <v>22.744594694161457</v>
      </c>
      <c r="CJ88" s="15">
        <f t="shared" si="116"/>
        <v>24.520000000000095</v>
      </c>
      <c r="CK88" s="35">
        <f t="shared" si="99"/>
        <v>26.295405305838734</v>
      </c>
      <c r="CM88" s="14"/>
      <c r="CN88" s="17">
        <f t="shared" si="100"/>
        <v>1.240000000000002</v>
      </c>
      <c r="CO88" s="17">
        <f t="shared" si="101"/>
        <v>10.260000000000002</v>
      </c>
      <c r="CP88" s="17">
        <f t="shared" si="102"/>
        <v>17.53</v>
      </c>
      <c r="CQ88" s="38">
        <f t="shared" si="117"/>
        <v>26.55</v>
      </c>
      <c r="CR88" s="17">
        <f t="shared" si="103"/>
        <v>33.82</v>
      </c>
      <c r="CS88" s="17">
        <f t="shared" si="104"/>
        <v>42.84</v>
      </c>
      <c r="CT88" s="17">
        <f t="shared" si="105"/>
        <v>50.11</v>
      </c>
      <c r="CU88" s="2" cm="1">
        <f t="array" aca="1" ref="CU88" ca="1">MAX(_xlfn._xlws.FILTER(CN88:CT88,CN88:CT88&lt;BP88))</f>
        <v>26.55</v>
      </c>
      <c r="CV88" s="2" cm="1">
        <f t="array" aca="1" ref="CV88" ca="1">MIN(_xlfn._xlws.FILTER($CN88:$CT88,$CN88:$CT88&gt;BP88))</f>
        <v>33.82</v>
      </c>
      <c r="CW88" s="16">
        <f t="shared" ca="1" si="119"/>
        <v>0.2738229755178907</v>
      </c>
      <c r="CX88" s="20">
        <f t="shared" ca="1" si="120"/>
        <v>-0.13691148775894535</v>
      </c>
      <c r="CY88" s="20">
        <f t="shared" ca="1" si="121"/>
        <v>-9.1274325172630233E-2</v>
      </c>
      <c r="CZ88" s="20">
        <f t="shared" ca="1" si="122"/>
        <v>-5.4764595103578138E-2</v>
      </c>
      <c r="DA88" s="20">
        <f t="shared" ca="1" si="123"/>
        <v>-3.0424775057543412E-2</v>
      </c>
      <c r="DB88" s="20">
        <f t="shared" ca="1" si="124"/>
        <v>-1.6107233853993569E-2</v>
      </c>
      <c r="DC88" s="20">
        <f t="shared" ca="1" si="125"/>
        <v>-8.2976659247845658E-3</v>
      </c>
      <c r="DD88" s="20">
        <f t="shared" ca="1" si="126"/>
        <v>-4.2126611618137034E-3</v>
      </c>
      <c r="DE88" s="21">
        <f t="shared" ca="1" si="127"/>
        <v>4.2126611618137034E-3</v>
      </c>
      <c r="DF88" s="21">
        <f t="shared" ca="1" si="128"/>
        <v>8.2976659247845658E-3</v>
      </c>
      <c r="DG88" s="21">
        <f t="shared" ca="1" si="129"/>
        <v>1.6107233853993569E-2</v>
      </c>
      <c r="DH88" s="21">
        <f t="shared" ca="1" si="130"/>
        <v>3.0424775057543412E-2</v>
      </c>
      <c r="DI88" s="21">
        <f t="shared" ca="1" si="131"/>
        <v>5.4764595103578138E-2</v>
      </c>
      <c r="DJ88" s="21">
        <f t="shared" ca="1" si="132"/>
        <v>9.1274325172630233E-2</v>
      </c>
      <c r="DK88" s="21">
        <f t="shared" ca="1" si="133"/>
        <v>0.13691148775894535</v>
      </c>
      <c r="DM88" s="16" cm="1">
        <f t="array" aca="1" ref="DM88" ca="1">MAX(_xlfn._xlws.FILTER(CX88:DK88,CX88:DK88&lt;BV88))</f>
        <v>4.2126611618137034E-3</v>
      </c>
      <c r="DN88" s="16" cm="1">
        <f t="array" aca="1" ref="DN88" ca="1">MIN(_xlfn._xlws.FILTER(CX88:DK88,CX88:DK88&gt;BV88))</f>
        <v>8.2976659247845658E-3</v>
      </c>
      <c r="DO88" s="2" cm="1">
        <f t="array" aca="1" ref="DO88" ca="1">_FV(ED88,"Fechamento anterior",TRUE)</f>
        <v>28.82</v>
      </c>
      <c r="DP88" s="28">
        <f t="shared" ca="1" si="106"/>
        <v>0.32779375400318178</v>
      </c>
      <c r="DQ88" s="15">
        <f t="shared" ca="1" si="134"/>
        <v>28.94140889468347</v>
      </c>
      <c r="DR88" s="15">
        <f t="shared" ca="1" si="135"/>
        <v>29.059138731952292</v>
      </c>
      <c r="DS88" s="9"/>
      <c r="DT88" s="9"/>
      <c r="DU88" s="9"/>
      <c r="DV88" s="89">
        <v>1.4675122758744113E-2</v>
      </c>
      <c r="DW88" s="89">
        <f t="shared" ca="1" si="107"/>
        <v>4.0850047629708624E-3</v>
      </c>
      <c r="DX88" s="72">
        <f t="shared" ca="1" si="108"/>
        <v>2.5121024395571228</v>
      </c>
      <c r="DY88" s="37"/>
      <c r="DZ88" s="35">
        <f t="shared" si="118"/>
        <v>0.88770265291932038</v>
      </c>
      <c r="EA88" s="56"/>
      <c r="EB88" s="56"/>
      <c r="ED88" s="2" t="e" vm="88">
        <v>#VALUE!</v>
      </c>
      <c r="EF88" s="10" cm="1">
        <f t="array" aca="1" ref="EF88" ca="1">_FV(ED88,"Ações em circulação",TRUE)</f>
        <v>339000000</v>
      </c>
      <c r="EG88" s="18">
        <f>VLOOKUP(BQ88,Fundamentus!A:U,5,FALSE)</f>
        <v>0.878</v>
      </c>
      <c r="EH88" s="2">
        <f t="shared" ca="1" si="109"/>
        <v>11189316628.701595</v>
      </c>
      <c r="EI88" s="17">
        <v>551542961.27562642</v>
      </c>
      <c r="EJ88" s="17">
        <f t="shared" ca="1" si="110"/>
        <v>644504637.81321192</v>
      </c>
      <c r="EL88" s="16">
        <f t="shared" ca="1" si="97"/>
        <v>0.16854838709677433</v>
      </c>
      <c r="EM88" s="32" t="str">
        <f>IF(VLOOKUP(BQ88,Fundamentus!A:U,3,FALSE)&lt;15,"Bom",IF(VLOOKUP(BQ88,Fundamentus!A:U,3,FALSE)&gt;15,"Ruim","n/a"))</f>
        <v>Ruim</v>
      </c>
      <c r="EN88" s="28" t="str">
        <f>IF(VLOOKUP(BQ88,Fundamentus!A:U,4,FALSE)&lt;1,"Baixo",IF(VLOOKUP(BQ88,Fundamentus!A:U,4,FALSE)&lt;1.5,"Moderado",IF(VLOOKUP(BQ88,Fundamentus!A:U,4,FALSE)&gt;1.5,"Alto","n/a")))</f>
        <v>Moderado</v>
      </c>
      <c r="EO88" s="17" t="str">
        <f>IF(VLOOKUP(BQ88,Fundamentus!A:U,8,FALSE)&lt;0,"Risco elevado",IF(VLOOKUP(BQ88,Fundamentus!A:U,8,FALSE)&lt;1,"Saudável",IF(VLOOKUP(BQ88,Fundamentus!A:U,8,FALSE)&lt;3,"Estável",IF(VLOOKUP(BQ88,Fundamentus!A:U,8,FALSE)&gt;3,"Alerta","n/a"))))</f>
        <v>Estável</v>
      </c>
      <c r="EP88" s="28" t="str">
        <f t="shared" si="111"/>
        <v>Ruim</v>
      </c>
      <c r="EQ88" s="17" t="str">
        <f>IF(VLOOKUP(BQ88,Fundamentus!A:U,12,FALSE)&lt;2,"Subvalorizada",IF(VLOOKUP(BQ88,Fundamentus!A:U,12,FALSE)&lt;6,"Muita barata",IF(VLOOKUP(BQ88,Fundamentus!A:U,12,FALSE)&lt;6,"Barata",IF(VLOOKUP(BQ88,Fundamentus!A:U,12,FALSE)&lt;8,"Atrativa",IF(VLOOKUP(BQ88,Fundamentus!A:U,12,FALSE)&gt;8,"Supervalorizada","n/a")))))</f>
        <v>Atrativa</v>
      </c>
      <c r="ES88" s="17" t="str">
        <f>IF(VLOOKUP(BQ88,Fundamentus!A:U,17,FALSE)&lt;0.1,"Fraco retorno",IF(VLOOKUP(BQ88,Fundamentus!A:U,17,FALSE)&gt;0.1,"Bom retorno","n/a"))</f>
        <v>Fraco retorno</v>
      </c>
      <c r="ET88" s="17" t="str">
        <f>IF(VLOOKUP(BQ88,Fundamentus!A:U,16,FALSE)&lt;0.1,"Ineficiente",IF(VLOOKUP(BQ88,Fundamentus!A:U,16,FALSE)&gt;0.1,"Eficiente","n/a"))</f>
        <v>Ineficiente</v>
      </c>
      <c r="EU88" s="33" t="str">
        <f>IF(VLOOKUP(BQ88,Fundamentus!A:U,16,FALSE)&lt;0.1,"Oper. Ineficiente",IF(VLOOKUP(BQ88,Fundamentus!A:U,16,FALSE)&gt;0.1,"Oper.Eficiente","n/a"))</f>
        <v>Oper. Ineficiente</v>
      </c>
      <c r="EV88" s="34">
        <f>VLOOKUP(BQ88,Fundamentus!A:U,14,FALSE)</f>
        <v>5.7599999999999998E-2</v>
      </c>
      <c r="EW88" s="17" t="str">
        <f>IF(VLOOKUP(BQ88,Fundamentus!A:U,21,FALSE)&lt;0,"Negativo",IF(VLOOKUP(BQ88,Fundamentus!A:U,21,FALSE)&lt;0.05,"Fraco",IF(VLOOKUP(BQ88,Fundamentus!A:U,21,FALSE)&lt;0.1,"Bom",IF(VLOOKUP(BQ88,Fundamentus!A:U,21,FALSE)&gt;0.1,"Muito bom","n/a"))))</f>
        <v>Bom</v>
      </c>
      <c r="EY88" s="29" t="str">
        <f>IF(VLOOKUP(BQ88,Fundamentus!A:U,15,FALSE)&gt;1,"Bom",IF(VLOOKUP(BQ88,Fundamentus!A:U,15,FALSE)&lt;1,"Ruim","n/a"))</f>
        <v>Bom</v>
      </c>
      <c r="EZ88" s="17" t="str">
        <f>IF(VLOOKUP(BQ88,Fundamentus!A:U,20,FALSE)&lt;0.5,"Baixa",IF(VLOOKUP(BQ88,Fundamentus!A:U,20,FALSE)&lt;1,"Moderada",IF(VLOOKUP(BQ88,Fundamentus!A:U,20,FALSE)&lt;2,"Alerta",IF(VLOOKUP(BQ88,Fundamentus!A:U,20,FALSE)&gt;2,"Alta","n/a"))))</f>
        <v>Baixa</v>
      </c>
      <c r="FA88" s="10"/>
    </row>
    <row r="89" spans="1:157" s="2" customFormat="1" ht="11.25" hidden="1" x14ac:dyDescent="0.2">
      <c r="A89" s="4">
        <v>13.78</v>
      </c>
      <c r="B89" s="4">
        <v>13.45</v>
      </c>
      <c r="C89" s="4">
        <v>13.43</v>
      </c>
      <c r="D89" s="4">
        <v>12.94</v>
      </c>
      <c r="E89" s="4">
        <v>12.69</v>
      </c>
      <c r="F89" s="4">
        <v>12.95</v>
      </c>
      <c r="G89" s="4">
        <v>12.83</v>
      </c>
      <c r="H89" s="4">
        <v>12.4</v>
      </c>
      <c r="I89" s="4">
        <v>12.38</v>
      </c>
      <c r="J89" s="4">
        <v>12.46</v>
      </c>
      <c r="K89" s="4">
        <v>12.64</v>
      </c>
      <c r="L89" s="4">
        <v>12.49</v>
      </c>
      <c r="M89" s="4">
        <v>12.45</v>
      </c>
      <c r="N89" s="4">
        <v>12.65</v>
      </c>
      <c r="O89" s="4">
        <v>14.6</v>
      </c>
      <c r="P89" s="4">
        <v>14.86</v>
      </c>
      <c r="Q89" s="4">
        <v>15.66</v>
      </c>
      <c r="R89" s="4">
        <v>15.64</v>
      </c>
      <c r="S89" s="4">
        <v>15.7</v>
      </c>
      <c r="T89" s="4">
        <v>15.55</v>
      </c>
      <c r="U89" s="4">
        <v>14.75</v>
      </c>
      <c r="V89" s="4">
        <v>14.94</v>
      </c>
      <c r="W89" s="4">
        <v>15.06</v>
      </c>
      <c r="X89" s="4">
        <v>14.8</v>
      </c>
      <c r="Y89" s="4">
        <v>15.15</v>
      </c>
      <c r="Z89" s="4">
        <v>14.93</v>
      </c>
      <c r="AA89" s="4">
        <v>14.11</v>
      </c>
      <c r="AB89" s="4">
        <v>13.54</v>
      </c>
      <c r="AC89" s="4">
        <v>13.53</v>
      </c>
      <c r="AD89" s="4">
        <v>13.8</v>
      </c>
      <c r="AE89" s="4">
        <v>12.63</v>
      </c>
      <c r="AF89" s="4">
        <v>12.32</v>
      </c>
      <c r="AG89" s="4">
        <v>12.1</v>
      </c>
      <c r="AH89" s="4">
        <v>11.55</v>
      </c>
      <c r="AI89" s="4">
        <v>11.55</v>
      </c>
      <c r="AJ89" s="4">
        <v>11.2</v>
      </c>
      <c r="AK89" s="4">
        <v>11.18</v>
      </c>
      <c r="AL89" s="4">
        <v>11.59</v>
      </c>
      <c r="AM89" s="4">
        <v>11.3</v>
      </c>
      <c r="AN89" s="4">
        <v>12.09</v>
      </c>
      <c r="AO89" s="4">
        <v>11.99</v>
      </c>
      <c r="AP89" s="4">
        <v>12.19</v>
      </c>
      <c r="AQ89" s="4">
        <v>11.84</v>
      </c>
      <c r="AR89" s="4">
        <v>11.24</v>
      </c>
      <c r="AS89" s="4">
        <v>11.69</v>
      </c>
      <c r="AT89" s="4">
        <v>12.13</v>
      </c>
      <c r="AU89" s="4">
        <v>12.475</v>
      </c>
      <c r="AV89" s="4">
        <v>12.84</v>
      </c>
      <c r="AW89" s="4">
        <v>12.57</v>
      </c>
      <c r="AX89" s="4">
        <v>12.62</v>
      </c>
      <c r="AY89" s="12">
        <v>12.78</v>
      </c>
      <c r="AZ89" s="12">
        <v>13.38</v>
      </c>
      <c r="BA89" s="12">
        <v>13.73</v>
      </c>
      <c r="BB89" s="15">
        <v>15.08</v>
      </c>
      <c r="BC89" s="52">
        <v>15.35</v>
      </c>
      <c r="BD89" s="52">
        <v>15.64</v>
      </c>
      <c r="BE89" s="52">
        <v>16.2</v>
      </c>
      <c r="BF89" s="52">
        <v>15.96</v>
      </c>
      <c r="BG89" s="67">
        <v>16.29</v>
      </c>
      <c r="BH89" s="52">
        <v>16.62</v>
      </c>
      <c r="BI89" s="52">
        <v>16.57</v>
      </c>
      <c r="BJ89" s="52">
        <v>16.670000000000002</v>
      </c>
      <c r="BK89" s="52">
        <v>16.05</v>
      </c>
      <c r="BL89" s="52">
        <v>15.67</v>
      </c>
      <c r="BM89" s="52">
        <v>15.56</v>
      </c>
      <c r="BN89" s="52">
        <v>15.56</v>
      </c>
      <c r="BO89" s="52">
        <v>15.97</v>
      </c>
      <c r="BP89" s="52" cm="1">
        <f t="array" aca="1" ref="BP89" ca="1">_FV(ED89,"Preço")</f>
        <v>16.03</v>
      </c>
      <c r="BQ89" s="69" t="s">
        <v>110</v>
      </c>
      <c r="BR89" s="36" cm="1">
        <f t="array" aca="1" ref="BR89" ca="1">_FV(ED89,"Média de volume",TRUE)</f>
        <v>26874860</v>
      </c>
      <c r="BS89" s="36">
        <v>25120200</v>
      </c>
      <c r="BT89" s="36" cm="1">
        <f t="array" aca="1" ref="BT89" ca="1">_FV(ED89,"Volume")</f>
        <v>20239500</v>
      </c>
      <c r="BU89" s="24" cm="1">
        <f t="array" aca="1" ref="BU89" ca="1">_FV(ED89,"Beta")</f>
        <v>1.4984</v>
      </c>
      <c r="BV89" s="71" cm="1">
        <f t="array" aca="1" ref="BV89" ca="1">_FV(ED89,"Variação (%)",TRUE)</f>
        <v>1.2489999999999999E-3</v>
      </c>
      <c r="BX89" s="17" cm="1">
        <f t="array" aca="1" ref="BX89" ca="1">_FV(ED89,"Baixo")</f>
        <v>15.88</v>
      </c>
      <c r="BY89" s="17" cm="1">
        <f t="array" aca="1" ref="BY89" ca="1">_FV(ED89,"Alto")</f>
        <v>16.09</v>
      </c>
      <c r="BZ89" s="24"/>
      <c r="CA89" s="63">
        <f ca="1">SQRT(22.5*(BP89/VLOOKUP(BQ89,Fundamentus!A:U,3,FALSE))*(BP89/VLOOKUP(BQ89,Fundamentus!A:U,4,FALSE)))</f>
        <v>26.404589659977418</v>
      </c>
      <c r="CC89" s="62">
        <f t="shared" ca="1" si="112"/>
        <v>3.7570444583594547E-3</v>
      </c>
      <c r="CD89" s="8"/>
      <c r="CE89" s="61">
        <f t="shared" si="113"/>
        <v>11.18</v>
      </c>
      <c r="CF89" s="61">
        <f t="shared" si="114"/>
        <v>16.670000000000002</v>
      </c>
      <c r="CG89" s="61">
        <f t="shared" si="115"/>
        <v>13.706492537313437</v>
      </c>
      <c r="CH89" s="14"/>
      <c r="CI89" s="35">
        <f t="shared" si="98"/>
        <v>15.499038463316696</v>
      </c>
      <c r="CJ89" s="15">
        <f t="shared" si="116"/>
        <v>15.915000000000077</v>
      </c>
      <c r="CK89" s="35">
        <f t="shared" si="99"/>
        <v>16.330961536683461</v>
      </c>
      <c r="CM89" s="14"/>
      <c r="CN89" s="17">
        <f t="shared" si="100"/>
        <v>7.053333333333331</v>
      </c>
      <c r="CO89" s="17">
        <f t="shared" si="101"/>
        <v>9.1166666666666654</v>
      </c>
      <c r="CP89" s="17">
        <f t="shared" si="102"/>
        <v>12.543333333333333</v>
      </c>
      <c r="CQ89" s="38">
        <f t="shared" si="117"/>
        <v>14.606666666666667</v>
      </c>
      <c r="CR89" s="17">
        <f t="shared" si="103"/>
        <v>18.033333333333335</v>
      </c>
      <c r="CS89" s="17">
        <f t="shared" si="104"/>
        <v>20.096666666666671</v>
      </c>
      <c r="CT89" s="17">
        <f t="shared" si="105"/>
        <v>23.523333333333337</v>
      </c>
      <c r="CU89" s="2" cm="1">
        <f t="array" aca="1" ref="CU89" ca="1">MAX(_xlfn._xlws.FILTER(CN89:CT89,CN89:CT89&lt;BP89))</f>
        <v>14.606666666666667</v>
      </c>
      <c r="CV89" s="2" cm="1">
        <f t="array" aca="1" ref="CV89" ca="1">MIN(_xlfn._xlws.FILTER($CN89:$CT89,$CN89:$CT89&gt;BP89))</f>
        <v>18.033333333333335</v>
      </c>
      <c r="CW89" s="16">
        <f t="shared" ca="1" si="119"/>
        <v>0.234596074851666</v>
      </c>
      <c r="CX89" s="20">
        <f t="shared" ca="1" si="120"/>
        <v>-0.117298037425833</v>
      </c>
      <c r="CY89" s="20">
        <f t="shared" ca="1" si="121"/>
        <v>-7.8198691617221996E-2</v>
      </c>
      <c r="CZ89" s="20">
        <f t="shared" ca="1" si="122"/>
        <v>-4.6919214970333203E-2</v>
      </c>
      <c r="DA89" s="20">
        <f t="shared" ca="1" si="123"/>
        <v>-2.6066230539074E-2</v>
      </c>
      <c r="DB89" s="20">
        <f t="shared" ca="1" si="124"/>
        <v>-1.379976910892153E-2</v>
      </c>
      <c r="DC89" s="20">
        <f t="shared" ca="1" si="125"/>
        <v>-7.1089719652020003E-3</v>
      </c>
      <c r="DD89" s="20">
        <f t="shared" ca="1" si="126"/>
        <v>-3.6091703823333231E-3</v>
      </c>
      <c r="DE89" s="21">
        <f t="shared" ca="1" si="127"/>
        <v>3.6091703823333231E-3</v>
      </c>
      <c r="DF89" s="21">
        <f t="shared" ca="1" si="128"/>
        <v>7.1089719652020003E-3</v>
      </c>
      <c r="DG89" s="21">
        <f t="shared" ca="1" si="129"/>
        <v>1.379976910892153E-2</v>
      </c>
      <c r="DH89" s="21">
        <f t="shared" ca="1" si="130"/>
        <v>2.6066230539074E-2</v>
      </c>
      <c r="DI89" s="21">
        <f t="shared" ca="1" si="131"/>
        <v>4.6919214970333203E-2</v>
      </c>
      <c r="DJ89" s="21">
        <f t="shared" ca="1" si="132"/>
        <v>7.8198691617221996E-2</v>
      </c>
      <c r="DK89" s="21">
        <f t="shared" ca="1" si="133"/>
        <v>0.117298037425833</v>
      </c>
      <c r="DM89" s="16" cm="1">
        <f t="array" aca="1" ref="DM89" ca="1">MAX(_xlfn._xlws.FILTER(CX89:DK89,CX89:DK89&lt;BV89))</f>
        <v>-3.6091703823333231E-3</v>
      </c>
      <c r="DN89" s="16" cm="1">
        <f t="array" aca="1" ref="DN89" ca="1">MIN(_xlfn._xlws.FILTER(CX89:DK89,CX89:DK89&gt;BV89))</f>
        <v>3.6091703823333231E-3</v>
      </c>
      <c r="DO89" s="2" cm="1">
        <f t="array" aca="1" ref="DO89" ca="1">_FV(ED89,"Fechamento anterior",TRUE)</f>
        <v>16.010000000000002</v>
      </c>
      <c r="DP89" s="28">
        <f t="shared" ca="1" si="106"/>
        <v>0.67306182663072667</v>
      </c>
      <c r="DQ89" s="15">
        <f t="shared" ca="1" si="134"/>
        <v>15.952217182178845</v>
      </c>
      <c r="DR89" s="15">
        <f t="shared" ca="1" si="135"/>
        <v>16.067782817821158</v>
      </c>
      <c r="DS89" s="9"/>
      <c r="DT89" s="9"/>
      <c r="DU89" s="9"/>
      <c r="DV89" s="89">
        <v>6.6907971437195294E-3</v>
      </c>
      <c r="DW89" s="89">
        <f t="shared" ca="1" si="107"/>
        <v>7.2183407646666461E-3</v>
      </c>
      <c r="DX89" s="72">
        <f t="shared" ca="1" si="108"/>
        <v>0.27646786988254318</v>
      </c>
      <c r="DY89" s="37"/>
      <c r="DZ89" s="35">
        <f t="shared" si="118"/>
        <v>0.2079807683416908</v>
      </c>
      <c r="EA89" s="56"/>
      <c r="EB89" s="56"/>
      <c r="ED89" s="2" t="e" vm="89">
        <v>#VALUE!</v>
      </c>
      <c r="EF89" s="10" cm="1">
        <f t="array" aca="1" ref="EF89" ca="1">_FV(ED89,"Ações em circulação",TRUE)</f>
        <v>10592010000</v>
      </c>
      <c r="EG89" s="18">
        <f>VLOOKUP(BQ89,Fundamentus!A:U,5,FALSE)</f>
        <v>0</v>
      </c>
      <c r="EH89" s="2" t="e">
        <f t="shared" ca="1" si="109"/>
        <v>#DIV/0!</v>
      </c>
      <c r="EI89" s="17" t="e">
        <v>#DIV/0!</v>
      </c>
      <c r="EJ89" s="17" t="e">
        <f t="shared" ca="1" si="110"/>
        <v>#DIV/0!</v>
      </c>
      <c r="EL89" s="16" t="e">
        <f t="shared" ca="1" si="97"/>
        <v>#DIV/0!</v>
      </c>
      <c r="EM89" s="32" t="str">
        <f>IF(VLOOKUP(BQ89,Fundamentus!A:U,3,FALSE)&lt;15,"Bom",IF(VLOOKUP(BQ89,Fundamentus!A:U,3,FALSE)&gt;15,"Ruim","n/a"))</f>
        <v>Bom</v>
      </c>
      <c r="EN89" s="28" t="str">
        <f>IF(VLOOKUP(BQ89,Fundamentus!A:U,4,FALSE)&lt;1,"Baixo",IF(VLOOKUP(BQ89,Fundamentus!A:U,4,FALSE)&lt;1.5,"Moderado",IF(VLOOKUP(BQ89,Fundamentus!A:U,4,FALSE)&gt;1.5,"Alto","n/a")))</f>
        <v>Moderado</v>
      </c>
      <c r="EO89" s="17" t="str">
        <f>IF(VLOOKUP(BQ89,Fundamentus!A:U,8,FALSE)&lt;0,"Risco elevado",IF(VLOOKUP(BQ89,Fundamentus!A:U,8,FALSE)&lt;1,"Saudável",IF(VLOOKUP(BQ89,Fundamentus!A:U,8,FALSE)&lt;3,"Estável",IF(VLOOKUP(BQ89,Fundamentus!A:U,8,FALSE)&gt;3,"Alerta","n/a"))))</f>
        <v>Saudável</v>
      </c>
      <c r="EP89" s="28" t="str">
        <f t="shared" si="111"/>
        <v>Ruim</v>
      </c>
      <c r="EQ89" s="17" t="str">
        <f>IF(VLOOKUP(BQ89,Fundamentus!A:U,12,FALSE)&lt;2,"Subvalorizada",IF(VLOOKUP(BQ89,Fundamentus!A:U,12,FALSE)&lt;6,"Muita barata",IF(VLOOKUP(BQ89,Fundamentus!A:U,12,FALSE)&lt;6,"Barata",IF(VLOOKUP(BQ89,Fundamentus!A:U,12,FALSE)&lt;8,"Atrativa",IF(VLOOKUP(BQ89,Fundamentus!A:U,12,FALSE)&gt;8,"Supervalorizada","n/a")))))</f>
        <v>Subvalorizada</v>
      </c>
      <c r="ES89" s="17" t="str">
        <f>IF(VLOOKUP(BQ89,Fundamentus!A:U,17,FALSE)&lt;0.1,"Fraco retorno",IF(VLOOKUP(BQ89,Fundamentus!A:U,17,FALSE)&gt;0.1,"Bom retorno","n/a"))</f>
        <v>Bom retorno</v>
      </c>
      <c r="ET89" s="17" t="str">
        <f>IF(VLOOKUP(BQ89,Fundamentus!A:U,16,FALSE)&lt;0.1,"Ineficiente",IF(VLOOKUP(BQ89,Fundamentus!A:U,16,FALSE)&gt;0.1,"Eficiente","n/a"))</f>
        <v>Ineficiente</v>
      </c>
      <c r="EU89" s="33" t="str">
        <f>IF(VLOOKUP(BQ89,Fundamentus!A:U,16,FALSE)&lt;0.1,"Oper. Ineficiente",IF(VLOOKUP(BQ89,Fundamentus!A:U,16,FALSE)&gt;0.1,"Oper.Eficiente","n/a"))</f>
        <v>Oper. Ineficiente</v>
      </c>
      <c r="EV89" s="34">
        <f>VLOOKUP(BQ89,Fundamentus!A:U,14,FALSE)</f>
        <v>0</v>
      </c>
      <c r="EW89" s="17" t="str">
        <f>IF(VLOOKUP(BQ89,Fundamentus!A:U,21,FALSE)&lt;0,"Negativo",IF(VLOOKUP(BQ89,Fundamentus!A:U,21,FALSE)&lt;0.05,"Fraco",IF(VLOOKUP(BQ89,Fundamentus!A:U,21,FALSE)&lt;0.1,"Bom",IF(VLOOKUP(BQ89,Fundamentus!A:U,21,FALSE)&gt;0.1,"Muito bom","n/a"))))</f>
        <v>Negativo</v>
      </c>
      <c r="EY89" s="29" t="str">
        <f>IF(VLOOKUP(BQ89,Fundamentus!A:U,15,FALSE)&gt;1,"Bom",IF(VLOOKUP(BQ89,Fundamentus!A:U,15,FALSE)&lt;1,"Ruim","n/a"))</f>
        <v>Ruim</v>
      </c>
      <c r="EZ89" s="17" t="str">
        <f>IF(VLOOKUP(BQ89,Fundamentus!A:U,20,FALSE)&lt;0.5,"Baixa",IF(VLOOKUP(BQ89,Fundamentus!A:U,20,FALSE)&lt;1,"Moderada",IF(VLOOKUP(BQ89,Fundamentus!A:U,20,FALSE)&lt;2,"Alerta",IF(VLOOKUP(BQ89,Fundamentus!A:U,20,FALSE)&gt;2,"Alta","n/a"))))</f>
        <v>Baixa</v>
      </c>
      <c r="FA89" s="10">
        <v>2</v>
      </c>
    </row>
    <row r="90" spans="1:157" s="2" customFormat="1" ht="11.25" hidden="1" x14ac:dyDescent="0.2">
      <c r="A90" s="4">
        <v>29.94</v>
      </c>
      <c r="B90" s="4">
        <v>28.77</v>
      </c>
      <c r="C90" s="4">
        <v>31.33</v>
      </c>
      <c r="D90" s="4">
        <v>30.45</v>
      </c>
      <c r="E90" s="4">
        <v>30.39</v>
      </c>
      <c r="F90" s="4">
        <v>29.92</v>
      </c>
      <c r="G90" s="4">
        <v>29.63</v>
      </c>
      <c r="H90" s="4">
        <v>29.75</v>
      </c>
      <c r="I90" s="4">
        <v>30.89</v>
      </c>
      <c r="J90" s="4">
        <v>29.9</v>
      </c>
      <c r="K90" s="4">
        <v>30.7</v>
      </c>
      <c r="L90" s="4">
        <v>30.31</v>
      </c>
      <c r="M90" s="4">
        <v>30.21</v>
      </c>
      <c r="N90" s="4">
        <v>30.76</v>
      </c>
      <c r="O90" s="4">
        <v>31.18</v>
      </c>
      <c r="P90" s="4">
        <v>32.75</v>
      </c>
      <c r="Q90" s="4">
        <v>34.14</v>
      </c>
      <c r="R90" s="4">
        <v>34.06</v>
      </c>
      <c r="S90" s="4">
        <v>34.54</v>
      </c>
      <c r="T90" s="4">
        <v>34.909999999999997</v>
      </c>
      <c r="U90" s="4">
        <v>35.57</v>
      </c>
      <c r="V90" s="4">
        <v>36.450000000000003</v>
      </c>
      <c r="W90" s="4">
        <v>37.5</v>
      </c>
      <c r="X90" s="4">
        <v>36.26</v>
      </c>
      <c r="Y90" s="4">
        <v>37.22</v>
      </c>
      <c r="Z90" s="4">
        <v>38.340000000000003</v>
      </c>
      <c r="AA90" s="4">
        <v>38</v>
      </c>
      <c r="AB90" s="4">
        <v>38.58</v>
      </c>
      <c r="AC90" s="4">
        <v>38.58</v>
      </c>
      <c r="AD90" s="4">
        <v>38.549999999999997</v>
      </c>
      <c r="AE90" s="4">
        <v>37.840000000000003</v>
      </c>
      <c r="AF90" s="4">
        <v>39.200000000000003</v>
      </c>
      <c r="AG90" s="4">
        <v>38.65</v>
      </c>
      <c r="AH90" s="4">
        <v>37.14</v>
      </c>
      <c r="AI90" s="4">
        <v>36.57</v>
      </c>
      <c r="AJ90" s="4">
        <v>34.770000000000003</v>
      </c>
      <c r="AK90" s="4">
        <v>36.42</v>
      </c>
      <c r="AL90" s="4">
        <v>36.770000000000003</v>
      </c>
      <c r="AM90" s="4">
        <v>38</v>
      </c>
      <c r="AN90" s="4">
        <v>39.99</v>
      </c>
      <c r="AO90" s="4">
        <v>40.75</v>
      </c>
      <c r="AP90" s="4">
        <v>39.29</v>
      </c>
      <c r="AQ90" s="4">
        <v>38.840000000000003</v>
      </c>
      <c r="AR90" s="4">
        <v>38.020000000000003</v>
      </c>
      <c r="AS90" s="4">
        <v>37.67</v>
      </c>
      <c r="AT90" s="4">
        <v>38.950000000000003</v>
      </c>
      <c r="AU90" s="4">
        <v>41.31</v>
      </c>
      <c r="AV90" s="4">
        <v>40.880000000000003</v>
      </c>
      <c r="AW90" s="4">
        <v>40.4</v>
      </c>
      <c r="AX90" s="4">
        <v>38.99</v>
      </c>
      <c r="AY90" s="12">
        <v>40.5</v>
      </c>
      <c r="AZ90" s="12">
        <v>42.39</v>
      </c>
      <c r="BA90" s="12">
        <v>43.99</v>
      </c>
      <c r="BB90" s="15">
        <v>44.15</v>
      </c>
      <c r="BC90" s="52">
        <v>47.59</v>
      </c>
      <c r="BD90" s="52">
        <v>49.5</v>
      </c>
      <c r="BE90" s="52">
        <v>52.07</v>
      </c>
      <c r="BF90" s="52">
        <v>52.51</v>
      </c>
      <c r="BG90" s="67">
        <v>52.99</v>
      </c>
      <c r="BH90" s="52">
        <v>53.5</v>
      </c>
      <c r="BI90" s="52">
        <v>54.18</v>
      </c>
      <c r="BJ90" s="52">
        <v>56.66</v>
      </c>
      <c r="BK90" s="52">
        <v>52.35</v>
      </c>
      <c r="BL90" s="52">
        <v>51.81</v>
      </c>
      <c r="BM90" s="52">
        <v>51.3</v>
      </c>
      <c r="BN90" s="52">
        <v>52.27</v>
      </c>
      <c r="BO90" s="52">
        <v>53.55</v>
      </c>
      <c r="BP90" s="52" cm="1">
        <f t="array" aca="1" ref="BP90" ca="1">_FV(ED90,"Preço")</f>
        <v>52.36</v>
      </c>
      <c r="BQ90" s="66" t="s">
        <v>16</v>
      </c>
      <c r="BR90" s="36" cm="1">
        <f t="array" aca="1" ref="BR90" ca="1">_FV(ED90,"Média de volume",TRUE)</f>
        <v>2824500</v>
      </c>
      <c r="BS90" s="36">
        <v>2615700</v>
      </c>
      <c r="BT90" s="36" cm="1">
        <f t="array" aca="1" ref="BT90" ca="1">_FV(ED90,"Volume")</f>
        <v>1690100</v>
      </c>
      <c r="BU90" s="24" cm="1">
        <f t="array" aca="1" ref="BU90" ca="1">_FV(ED90,"Beta")</f>
        <v>0.84140000000000004</v>
      </c>
      <c r="BV90" s="71" cm="1">
        <f t="array" aca="1" ref="BV90" ca="1">_FV(ED90,"Variação (%)",TRUE)</f>
        <v>-1.8189E-2</v>
      </c>
      <c r="BX90" s="17" cm="1">
        <f t="array" aca="1" ref="BX90" ca="1">_FV(ED90,"Baixo")</f>
        <v>52.16</v>
      </c>
      <c r="BY90" s="17" cm="1">
        <f t="array" aca="1" ref="BY90" ca="1">_FV(ED90,"Alto")</f>
        <v>53.3</v>
      </c>
      <c r="BZ90" s="24"/>
      <c r="CA90" s="63">
        <f ca="1">SQRT(22.5*(BP90/VLOOKUP(BQ90,Fundamentus!A:U,3,FALSE))*(BP90/VLOOKUP(BQ90,Fundamentus!A:U,4,FALSE)))</f>
        <v>46.14765449523285</v>
      </c>
      <c r="CC90" s="62">
        <f t="shared" ca="1" si="112"/>
        <v>-2.2222222222222181E-2</v>
      </c>
      <c r="CD90" s="8"/>
      <c r="CE90" s="61">
        <f t="shared" si="113"/>
        <v>28.77</v>
      </c>
      <c r="CF90" s="61">
        <f t="shared" si="114"/>
        <v>56.66</v>
      </c>
      <c r="CG90" s="61">
        <f t="shared" si="115"/>
        <v>39.124477611940307</v>
      </c>
      <c r="CH90" s="14"/>
      <c r="CI90" s="35">
        <f t="shared" si="98"/>
        <v>52.284320890029967</v>
      </c>
      <c r="CJ90" s="15">
        <f t="shared" si="116"/>
        <v>53.779999999999745</v>
      </c>
      <c r="CK90" s="35">
        <f t="shared" si="99"/>
        <v>55.275679109969523</v>
      </c>
      <c r="CM90" s="14"/>
      <c r="CN90" s="17">
        <f t="shared" si="100"/>
        <v>8.1033333333333282</v>
      </c>
      <c r="CO90" s="17">
        <f t="shared" si="101"/>
        <v>18.436666666666664</v>
      </c>
      <c r="CP90" s="17">
        <f t="shared" si="102"/>
        <v>35.993333333333325</v>
      </c>
      <c r="CQ90" s="38">
        <f t="shared" si="117"/>
        <v>46.326666666666661</v>
      </c>
      <c r="CR90" s="17">
        <f t="shared" si="103"/>
        <v>63.883333333333326</v>
      </c>
      <c r="CS90" s="17">
        <f t="shared" si="104"/>
        <v>74.216666666666654</v>
      </c>
      <c r="CT90" s="17">
        <f t="shared" si="105"/>
        <v>91.773333333333312</v>
      </c>
      <c r="CU90" s="2" cm="1">
        <f t="array" aca="1" ref="CU90" ca="1">MAX(_xlfn._xlws.FILTER(CN90:CT90,CN90:CT90&lt;BP90))</f>
        <v>46.326666666666661</v>
      </c>
      <c r="CV90" s="2" cm="1">
        <f t="array" aca="1" ref="CV90" ca="1">MIN(_xlfn._xlws.FILTER($CN90:$CT90,$CN90:$CT90&gt;BP90))</f>
        <v>63.883333333333326</v>
      </c>
      <c r="CW90" s="16">
        <f t="shared" ca="1" si="119"/>
        <v>0.37897539214275433</v>
      </c>
      <c r="CX90" s="20">
        <f t="shared" ca="1" si="120"/>
        <v>-0.18948769607137717</v>
      </c>
      <c r="CY90" s="20">
        <f t="shared" ca="1" si="121"/>
        <v>-0.12632513071425144</v>
      </c>
      <c r="CZ90" s="20">
        <f t="shared" ca="1" si="122"/>
        <v>-7.5795078428550863E-2</v>
      </c>
      <c r="DA90" s="20">
        <f t="shared" ca="1" si="123"/>
        <v>-4.2108376904750479E-2</v>
      </c>
      <c r="DB90" s="20">
        <f t="shared" ca="1" si="124"/>
        <v>-2.2292670126044373E-2</v>
      </c>
      <c r="DC90" s="20">
        <f t="shared" ca="1" si="125"/>
        <v>-1.1484102792204676E-2</v>
      </c>
      <c r="DD90" s="20">
        <f t="shared" ca="1" si="126"/>
        <v>-5.8303906483500667E-3</v>
      </c>
      <c r="DE90" s="21">
        <f t="shared" ca="1" si="127"/>
        <v>5.8303906483500667E-3</v>
      </c>
      <c r="DF90" s="21">
        <f t="shared" ca="1" si="128"/>
        <v>1.1484102792204676E-2</v>
      </c>
      <c r="DG90" s="21">
        <f t="shared" ca="1" si="129"/>
        <v>2.2292670126044373E-2</v>
      </c>
      <c r="DH90" s="21">
        <f t="shared" ca="1" si="130"/>
        <v>4.2108376904750479E-2</v>
      </c>
      <c r="DI90" s="21">
        <f t="shared" ca="1" si="131"/>
        <v>7.5795078428550863E-2</v>
      </c>
      <c r="DJ90" s="21">
        <f t="shared" ca="1" si="132"/>
        <v>0.12632513071425144</v>
      </c>
      <c r="DK90" s="21">
        <f t="shared" ca="1" si="133"/>
        <v>0.18948769607137717</v>
      </c>
      <c r="DM90" s="16" cm="1">
        <f t="array" aca="1" ref="DM90" ca="1">MAX(_xlfn._xlws.FILTER(CX90:DK90,CX90:DK90&lt;BV90))</f>
        <v>-2.2292670126044373E-2</v>
      </c>
      <c r="DN90" s="16" cm="1">
        <f t="array" aca="1" ref="DN90" ca="1">MIN(_xlfn._xlws.FILTER(CX90:DK90,CX90:DK90&gt;BV90))</f>
        <v>-1.1484102792204676E-2</v>
      </c>
      <c r="DO90" s="2" cm="1">
        <f t="array" aca="1" ref="DO90" ca="1">_FV(ED90,"Fechamento anterior",TRUE)</f>
        <v>53.33</v>
      </c>
      <c r="DP90" s="28">
        <f t="shared" ca="1" si="106"/>
        <v>0.37970187995184324</v>
      </c>
      <c r="DQ90" s="15">
        <f t="shared" ca="1" si="134"/>
        <v>52.141131902178053</v>
      </c>
      <c r="DR90" s="15">
        <f t="shared" ca="1" si="135"/>
        <v>52.717552798091724</v>
      </c>
      <c r="DS90" s="9"/>
      <c r="DT90" s="9"/>
      <c r="DU90" s="9"/>
      <c r="DV90" s="89">
        <v>1.0808567333839697E-2</v>
      </c>
      <c r="DW90" s="89">
        <f t="shared" ca="1" si="107"/>
        <v>1.0808567333839697E-2</v>
      </c>
      <c r="DX90" s="72">
        <f t="shared" ca="1" si="108"/>
        <v>-0.94940150633543219</v>
      </c>
      <c r="DY90" s="37"/>
      <c r="DZ90" s="35">
        <f t="shared" si="118"/>
        <v>0.74783955498489063</v>
      </c>
      <c r="EA90" s="56"/>
      <c r="EB90" s="56"/>
      <c r="ED90" s="2" t="e" vm="90">
        <v>#VALUE!</v>
      </c>
      <c r="EF90" s="10" cm="1">
        <f t="array" aca="1" ref="EF90" ca="1">_FV(ED90,"Ações em circulação",TRUE)</f>
        <v>646586100</v>
      </c>
      <c r="EG90" s="18">
        <f>VLOOKUP(BQ90,Fundamentus!A:U,5,FALSE)</f>
        <v>0.92900000000000005</v>
      </c>
      <c r="EH90" s="2">
        <f t="shared" ca="1" si="109"/>
        <v>36442678359.526367</v>
      </c>
      <c r="EI90" s="17">
        <v>2951856947.1216364</v>
      </c>
      <c r="EJ90" s="17">
        <f t="shared" ca="1" si="110"/>
        <v>2886260126.0744886</v>
      </c>
      <c r="EL90" s="16">
        <f t="shared" ca="1" si="97"/>
        <v>-2.2222222222222365E-2</v>
      </c>
      <c r="EM90" s="32" t="str">
        <f>IF(VLOOKUP(BQ90,Fundamentus!A:U,3,FALSE)&lt;15,"Bom",IF(VLOOKUP(BQ90,Fundamentus!A:U,3,FALSE)&gt;15,"Ruim","n/a"))</f>
        <v>Bom</v>
      </c>
      <c r="EN90" s="28" t="str">
        <f>IF(VLOOKUP(BQ90,Fundamentus!A:U,4,FALSE)&lt;1,"Baixo",IF(VLOOKUP(BQ90,Fundamentus!A:U,4,FALSE)&lt;1.5,"Moderado",IF(VLOOKUP(BQ90,Fundamentus!A:U,4,FALSE)&gt;1.5,"Alto","n/a")))</f>
        <v>Alto</v>
      </c>
      <c r="EO90" s="17" t="str">
        <f>IF(VLOOKUP(BQ90,Fundamentus!A:U,8,FALSE)&lt;0,"Risco elevado",IF(VLOOKUP(BQ90,Fundamentus!A:U,8,FALSE)&lt;1,"Saudável",IF(VLOOKUP(BQ90,Fundamentus!A:U,8,FALSE)&lt;3,"Estável",IF(VLOOKUP(BQ90,Fundamentus!A:U,8,FALSE)&gt;3,"Alerta","n/a"))))</f>
        <v>Alerta</v>
      </c>
      <c r="EP90" s="28" t="str">
        <f t="shared" si="111"/>
        <v>Ruim</v>
      </c>
      <c r="EQ90" s="17" t="str">
        <f>IF(VLOOKUP(BQ90,Fundamentus!A:U,12,FALSE)&lt;2,"Subvalorizada",IF(VLOOKUP(BQ90,Fundamentus!A:U,12,FALSE)&lt;6,"Muita barata",IF(VLOOKUP(BQ90,Fundamentus!A:U,12,FALSE)&lt;6,"Barata",IF(VLOOKUP(BQ90,Fundamentus!A:U,12,FALSE)&lt;8,"Atrativa",IF(VLOOKUP(BQ90,Fundamentus!A:U,12,FALSE)&gt;8,"Supervalorizada","n/a")))))</f>
        <v>Subvalorizada</v>
      </c>
      <c r="ES90" s="17" t="str">
        <f>IF(VLOOKUP(BQ90,Fundamentus!A:U,17,FALSE)&lt;0.1,"Fraco retorno",IF(VLOOKUP(BQ90,Fundamentus!A:U,17,FALSE)&gt;0.1,"Bom retorno","n/a"))</f>
        <v>Bom retorno</v>
      </c>
      <c r="ET90" s="17" t="str">
        <f>IF(VLOOKUP(BQ90,Fundamentus!A:U,16,FALSE)&lt;0.1,"Ineficiente",IF(VLOOKUP(BQ90,Fundamentus!A:U,16,FALSE)&gt;0.1,"Eficiente","n/a"))</f>
        <v>Eficiente</v>
      </c>
      <c r="EU90" s="33" t="str">
        <f>IF(VLOOKUP(BQ90,Fundamentus!A:U,16,FALSE)&lt;0.1,"Oper. Ineficiente",IF(VLOOKUP(BQ90,Fundamentus!A:U,16,FALSE)&gt;0.1,"Oper.Eficiente","n/a"))</f>
        <v>Oper.Eficiente</v>
      </c>
      <c r="EV90" s="34">
        <f>VLOOKUP(BQ90,Fundamentus!A:U,14,FALSE)</f>
        <v>7.9200000000000007E-2</v>
      </c>
      <c r="EW90" s="17" t="str">
        <f>IF(VLOOKUP(BQ90,Fundamentus!A:U,21,FALSE)&lt;0,"Negativo",IF(VLOOKUP(BQ90,Fundamentus!A:U,21,FALSE)&lt;0.05,"Fraco",IF(VLOOKUP(BQ90,Fundamentus!A:U,21,FALSE)&lt;0.1,"Bom",IF(VLOOKUP(BQ90,Fundamentus!A:U,21,FALSE)&gt;0.1,"Muito bom","n/a"))))</f>
        <v>Muito bom</v>
      </c>
      <c r="EY90" s="29" t="str">
        <f>IF(VLOOKUP(BQ90,Fundamentus!A:U,15,FALSE)&gt;1,"Bom",IF(VLOOKUP(BQ90,Fundamentus!A:U,15,FALSE)&lt;1,"Ruim","n/a"))</f>
        <v>Bom</v>
      </c>
      <c r="EZ90" s="17" t="str">
        <f>IF(VLOOKUP(BQ90,Fundamentus!A:U,20,FALSE)&lt;0.5,"Baixa",IF(VLOOKUP(BQ90,Fundamentus!A:U,20,FALSE)&lt;1,"Moderada",IF(VLOOKUP(BQ90,Fundamentus!A:U,20,FALSE)&lt;2,"Alerta",IF(VLOOKUP(BQ90,Fundamentus!A:U,20,FALSE)&gt;2,"Alta","n/a"))))</f>
        <v>Baixa</v>
      </c>
      <c r="FA90" s="10">
        <v>4</v>
      </c>
    </row>
    <row r="91" spans="1:157" s="2" customFormat="1" ht="11.25" hidden="1" x14ac:dyDescent="0.2">
      <c r="A91" s="4">
        <v>1.1499999999999999</v>
      </c>
      <c r="B91" s="4">
        <v>1.08</v>
      </c>
      <c r="C91" s="4">
        <v>1.05</v>
      </c>
      <c r="D91" s="4">
        <v>0.99</v>
      </c>
      <c r="E91" s="4">
        <v>1.01</v>
      </c>
      <c r="F91" s="4">
        <v>0.99</v>
      </c>
      <c r="G91" s="4">
        <v>0.96</v>
      </c>
      <c r="H91" s="4">
        <v>0.91</v>
      </c>
      <c r="I91" s="4">
        <v>0.91</v>
      </c>
      <c r="J91" s="4">
        <v>0.91</v>
      </c>
      <c r="K91" s="4">
        <v>0.91</v>
      </c>
      <c r="L91" s="4">
        <v>0.87</v>
      </c>
      <c r="M91" s="4">
        <v>0.88</v>
      </c>
      <c r="N91" s="4">
        <v>0.87</v>
      </c>
      <c r="O91" s="4">
        <v>0.82</v>
      </c>
      <c r="P91" s="4">
        <v>0.98</v>
      </c>
      <c r="Q91" s="4">
        <v>1.01</v>
      </c>
      <c r="R91" s="4">
        <v>0.99</v>
      </c>
      <c r="S91" s="4">
        <v>1.07</v>
      </c>
      <c r="T91" s="4">
        <v>1.02</v>
      </c>
      <c r="U91" s="4">
        <v>0.96</v>
      </c>
      <c r="V91" s="4">
        <v>1.1100000000000001</v>
      </c>
      <c r="W91" s="4">
        <v>1.05</v>
      </c>
      <c r="X91" s="4">
        <v>1.1299999999999999</v>
      </c>
      <c r="Y91" s="4">
        <v>1.1599999999999999</v>
      </c>
      <c r="Z91" s="4">
        <v>1.1499999999999999</v>
      </c>
      <c r="AA91" s="4">
        <v>1.05</v>
      </c>
      <c r="AB91" s="4">
        <v>1.1000000000000001</v>
      </c>
      <c r="AC91" s="4">
        <v>0.99</v>
      </c>
      <c r="AD91" s="4">
        <v>0.99</v>
      </c>
      <c r="AE91" s="4">
        <v>0.98</v>
      </c>
      <c r="AF91" s="4">
        <v>0.93</v>
      </c>
      <c r="AG91" s="4">
        <v>0.91</v>
      </c>
      <c r="AH91" s="4">
        <v>0.97</v>
      </c>
      <c r="AI91" s="4">
        <v>0.93</v>
      </c>
      <c r="AJ91" s="4">
        <v>0.93</v>
      </c>
      <c r="AK91" s="4">
        <v>0.94</v>
      </c>
      <c r="AL91" s="4">
        <v>0.91</v>
      </c>
      <c r="AM91" s="4">
        <v>0.88</v>
      </c>
      <c r="AN91" s="4">
        <v>0.93</v>
      </c>
      <c r="AO91" s="4">
        <v>1.02</v>
      </c>
      <c r="AP91" s="4">
        <v>0.96</v>
      </c>
      <c r="AQ91" s="4">
        <v>0.84</v>
      </c>
      <c r="AR91" s="4">
        <v>0.83</v>
      </c>
      <c r="AS91" s="4">
        <v>0.88</v>
      </c>
      <c r="AT91" s="4">
        <v>0.87</v>
      </c>
      <c r="AU91" s="4">
        <v>0.96</v>
      </c>
      <c r="AV91" s="4">
        <v>1.01</v>
      </c>
      <c r="AW91" s="4">
        <v>0.93</v>
      </c>
      <c r="AX91" s="4">
        <v>0.86</v>
      </c>
      <c r="AY91" s="12">
        <v>0.87</v>
      </c>
      <c r="AZ91" s="12">
        <v>0.83</v>
      </c>
      <c r="BA91" s="12">
        <v>0.82</v>
      </c>
      <c r="BB91" s="15">
        <v>0.83</v>
      </c>
      <c r="BC91" s="52">
        <v>0.86</v>
      </c>
      <c r="BD91" s="52">
        <v>0.84</v>
      </c>
      <c r="BE91" s="52">
        <v>0.84</v>
      </c>
      <c r="BF91" s="52">
        <v>1.26</v>
      </c>
      <c r="BG91" s="67">
        <v>1.1200000000000001</v>
      </c>
      <c r="BH91" s="52">
        <v>1.1100000000000001</v>
      </c>
      <c r="BI91" s="52">
        <v>0.88</v>
      </c>
      <c r="BJ91" s="52">
        <v>0.95</v>
      </c>
      <c r="BK91" s="52">
        <v>0.99</v>
      </c>
      <c r="BL91" s="52">
        <v>1.31</v>
      </c>
      <c r="BM91" s="52">
        <v>1.1499999999999999</v>
      </c>
      <c r="BN91" s="52">
        <v>1.1499999999999999</v>
      </c>
      <c r="BO91" s="52">
        <v>0.99</v>
      </c>
      <c r="BP91" s="52" cm="1">
        <f t="array" aca="1" ref="BP91" ca="1">_FV(ED91,"Preço")</f>
        <v>1.01</v>
      </c>
      <c r="BQ91" s="69" t="s">
        <v>88</v>
      </c>
      <c r="BR91" s="36" cm="1">
        <f t="array" aca="1" ref="BR91" ca="1">_FV(ED91,"Média de volume",TRUE)</f>
        <v>36900</v>
      </c>
      <c r="BS91" s="36">
        <v>47100</v>
      </c>
      <c r="BT91" s="36" cm="1">
        <f t="array" aca="1" ref="BT91" ca="1">_FV(ED91,"Volume")</f>
        <v>13600</v>
      </c>
      <c r="BU91" s="24" cm="1">
        <f t="array" aca="1" ref="BU91" ca="1">_FV(ED91,"Beta")</f>
        <v>1.2154</v>
      </c>
      <c r="BV91" s="71" cm="1">
        <f t="array" aca="1" ref="BV91" ca="1">_FV(ED91,"Variação (%)",TRUE)</f>
        <v>0</v>
      </c>
      <c r="BX91" s="17" cm="1">
        <f t="array" aca="1" ref="BX91" ca="1">_FV(ED91,"Baixo")</f>
        <v>1</v>
      </c>
      <c r="BY91" s="17" cm="1">
        <f t="array" aca="1" ref="BY91" ca="1">_FV(ED91,"Alto")</f>
        <v>1.03</v>
      </c>
      <c r="BZ91" s="24"/>
      <c r="CA91" s="63" t="e">
        <f ca="1">SQRT(22.5*(BP91/VLOOKUP(BQ91,Fundamentus!A:U,3,FALSE))*(BP91/VLOOKUP(BQ91,Fundamentus!A:U,4,FALSE)))</f>
        <v>#NUM!</v>
      </c>
      <c r="CC91" s="62">
        <f t="shared" ca="1" si="112"/>
        <v>2.0202020202020221E-2</v>
      </c>
      <c r="CD91" s="8"/>
      <c r="CE91" s="61">
        <f t="shared" si="113"/>
        <v>0.82</v>
      </c>
      <c r="CF91" s="61">
        <f t="shared" si="114"/>
        <v>1.31</v>
      </c>
      <c r="CG91" s="61">
        <f t="shared" si="115"/>
        <v>0.97522388059701481</v>
      </c>
      <c r="CH91" s="14"/>
      <c r="CI91" s="35">
        <f t="shared" si="98"/>
        <v>0.6705339272464349</v>
      </c>
      <c r="CJ91" s="15">
        <f t="shared" si="116"/>
        <v>0.90999999999996817</v>
      </c>
      <c r="CK91" s="35">
        <f t="shared" si="99"/>
        <v>1.1494660727535015</v>
      </c>
      <c r="CM91" s="14"/>
      <c r="CN91" s="17">
        <f t="shared" si="100"/>
        <v>0.27999999999999992</v>
      </c>
      <c r="CO91" s="17">
        <f t="shared" si="101"/>
        <v>0.54999999999999993</v>
      </c>
      <c r="CP91" s="17">
        <f t="shared" si="102"/>
        <v>0.77</v>
      </c>
      <c r="CQ91" s="38">
        <f t="shared" si="117"/>
        <v>1.04</v>
      </c>
      <c r="CR91" s="17">
        <f t="shared" si="103"/>
        <v>1.2600000000000002</v>
      </c>
      <c r="CS91" s="17">
        <f t="shared" si="104"/>
        <v>1.5300000000000002</v>
      </c>
      <c r="CT91" s="17">
        <f t="shared" si="105"/>
        <v>1.7500000000000002</v>
      </c>
      <c r="CU91" s="2" cm="1">
        <f t="array" aca="1" ref="CU91" ca="1">MAX(_xlfn._xlws.FILTER(CN91:CT91,CN91:CT91&lt;BP91))</f>
        <v>0.77</v>
      </c>
      <c r="CV91" s="2" cm="1">
        <f t="array" aca="1" ref="CV91" ca="1">MIN(_xlfn._xlws.FILTER($CN91:$CT91,$CN91:$CT91&gt;BP91))</f>
        <v>1.04</v>
      </c>
      <c r="CW91" s="16">
        <f t="shared" ca="1" si="119"/>
        <v>0.35064935064935066</v>
      </c>
      <c r="CX91" s="20">
        <f t="shared" ca="1" si="120"/>
        <v>-0.17532467532467533</v>
      </c>
      <c r="CY91" s="20">
        <f t="shared" ca="1" si="121"/>
        <v>-0.11688311688311688</v>
      </c>
      <c r="CZ91" s="20">
        <f t="shared" ca="1" si="122"/>
        <v>-7.0129870129870125E-2</v>
      </c>
      <c r="DA91" s="20">
        <f t="shared" ca="1" si="123"/>
        <v>-3.896103896103896E-2</v>
      </c>
      <c r="DB91" s="20">
        <f t="shared" ca="1" si="124"/>
        <v>-2.0626432391138275E-2</v>
      </c>
      <c r="DC91" s="20">
        <f t="shared" ca="1" si="125"/>
        <v>-1.0625737898465172E-2</v>
      </c>
      <c r="DD91" s="20">
        <f t="shared" ca="1" si="126"/>
        <v>-5.3946053946053946E-3</v>
      </c>
      <c r="DE91" s="21">
        <f t="shared" ca="1" si="127"/>
        <v>5.3946053946053946E-3</v>
      </c>
      <c r="DF91" s="21">
        <f t="shared" ca="1" si="128"/>
        <v>1.0625737898465172E-2</v>
      </c>
      <c r="DG91" s="21">
        <f t="shared" ca="1" si="129"/>
        <v>2.0626432391138275E-2</v>
      </c>
      <c r="DH91" s="21">
        <f t="shared" ca="1" si="130"/>
        <v>3.896103896103896E-2</v>
      </c>
      <c r="DI91" s="21">
        <f t="shared" ca="1" si="131"/>
        <v>7.0129870129870125E-2</v>
      </c>
      <c r="DJ91" s="21">
        <f t="shared" ca="1" si="132"/>
        <v>0.11688311688311688</v>
      </c>
      <c r="DK91" s="21">
        <f t="shared" ca="1" si="133"/>
        <v>0.17532467532467533</v>
      </c>
      <c r="DM91" s="16" cm="1">
        <f t="array" aca="1" ref="DM91" ca="1">MAX(_xlfn._xlws.FILTER(CX91:DK91,CX91:DK91&lt;BV91))</f>
        <v>-5.3946053946053946E-3</v>
      </c>
      <c r="DN91" s="16" cm="1">
        <f t="array" aca="1" ref="DN91" ca="1">MIN(_xlfn._xlws.FILTER(CX91:DK91,CX91:DK91&gt;BV91))</f>
        <v>5.3946053946053946E-3</v>
      </c>
      <c r="DO91" s="2" cm="1">
        <f t="array" aca="1" ref="DO91" ca="1">_FV(ED91,"Fechamento anterior",TRUE)</f>
        <v>1.01</v>
      </c>
      <c r="DP91" s="28">
        <f t="shared" ca="1" si="106"/>
        <v>0.5</v>
      </c>
      <c r="DQ91" s="15">
        <f t="shared" ca="1" si="134"/>
        <v>1.0045514485514486</v>
      </c>
      <c r="DR91" s="15">
        <f t="shared" ca="1" si="135"/>
        <v>1.0154485514485514</v>
      </c>
      <c r="DS91" s="9"/>
      <c r="DT91" s="9"/>
      <c r="DU91" s="9"/>
      <c r="DV91" s="89">
        <v>5.2311325038597771E-3</v>
      </c>
      <c r="DW91" s="89">
        <f t="shared" ca="1" si="107"/>
        <v>1.0789210789210789E-2</v>
      </c>
      <c r="DX91" s="72">
        <f t="shared" ca="1" si="108"/>
        <v>0.41759569048829431</v>
      </c>
      <c r="DY91" s="37"/>
      <c r="DZ91" s="35">
        <f t="shared" si="118"/>
        <v>0.11973303637676665</v>
      </c>
      <c r="EA91" s="56"/>
      <c r="EB91" s="56"/>
      <c r="ED91" s="2" t="e" vm="91">
        <v>#VALUE!</v>
      </c>
      <c r="EF91" s="10" cm="1">
        <f t="array" aca="1" ref="EF91" ca="1">_FV(ED91,"Ações em circulação",TRUE)</f>
        <v>124398500</v>
      </c>
      <c r="EG91" s="18">
        <f>VLOOKUP(BQ91,Fundamentus!A:U,5,FALSE)</f>
        <v>1.609</v>
      </c>
      <c r="EH91" s="2">
        <f t="shared" ca="1" si="109"/>
        <v>78087311.995027974</v>
      </c>
      <c r="EI91" s="17">
        <v>-28679923.412367929</v>
      </c>
      <c r="EJ91" s="17">
        <f t="shared" ca="1" si="110"/>
        <v>-29259315.80453698</v>
      </c>
      <c r="EL91" s="16">
        <f t="shared" ca="1" si="97"/>
        <v>2.0202020202020332E-2</v>
      </c>
      <c r="EM91" s="32" t="str">
        <f>IF(VLOOKUP(BQ91,Fundamentus!A:U,3,FALSE)&lt;15,"Bom",IF(VLOOKUP(BQ91,Fundamentus!A:U,3,FALSE)&gt;15,"Ruim","n/a"))</f>
        <v>Bom</v>
      </c>
      <c r="EN91" s="28" t="str">
        <f>IF(VLOOKUP(BQ91,Fundamentus!A:U,4,FALSE)&lt;1,"Baixo",IF(VLOOKUP(BQ91,Fundamentus!A:U,4,FALSE)&lt;1.5,"Moderado",IF(VLOOKUP(BQ91,Fundamentus!A:U,4,FALSE)&gt;1.5,"Alto","n/a")))</f>
        <v>Baixo</v>
      </c>
      <c r="EO91" s="17" t="str">
        <f>IF(VLOOKUP(BQ91,Fundamentus!A:U,8,FALSE)&lt;0,"Risco elevado",IF(VLOOKUP(BQ91,Fundamentus!A:U,8,FALSE)&lt;1,"Saudável",IF(VLOOKUP(BQ91,Fundamentus!A:U,8,FALSE)&lt;3,"Estável",IF(VLOOKUP(BQ91,Fundamentus!A:U,8,FALSE)&gt;3,"Alerta","n/a"))))</f>
        <v>Risco elevado</v>
      </c>
      <c r="EP91" s="28" t="str">
        <f t="shared" si="111"/>
        <v>Bom</v>
      </c>
      <c r="EQ91" s="17" t="str">
        <f>IF(VLOOKUP(BQ91,Fundamentus!A:U,12,FALSE)&lt;2,"Subvalorizada",IF(VLOOKUP(BQ91,Fundamentus!A:U,12,FALSE)&lt;6,"Muita barata",IF(VLOOKUP(BQ91,Fundamentus!A:U,12,FALSE)&lt;6,"Barata",IF(VLOOKUP(BQ91,Fundamentus!A:U,12,FALSE)&lt;8,"Atrativa",IF(VLOOKUP(BQ91,Fundamentus!A:U,12,FALSE)&gt;8,"Supervalorizada","n/a")))))</f>
        <v>Supervalorizada</v>
      </c>
      <c r="ES91" s="17" t="str">
        <f>IF(VLOOKUP(BQ91,Fundamentus!A:U,17,FALSE)&lt;0.1,"Fraco retorno",IF(VLOOKUP(BQ91,Fundamentus!A:U,17,FALSE)&gt;0.1,"Bom retorno","n/a"))</f>
        <v>Fraco retorno</v>
      </c>
      <c r="ET91" s="17" t="str">
        <f>IF(VLOOKUP(BQ91,Fundamentus!A:U,16,FALSE)&lt;0.1,"Ineficiente",IF(VLOOKUP(BQ91,Fundamentus!A:U,16,FALSE)&gt;0.1,"Eficiente","n/a"))</f>
        <v>Ineficiente</v>
      </c>
      <c r="EU91" s="33" t="str">
        <f>IF(VLOOKUP(BQ91,Fundamentus!A:U,16,FALSE)&lt;0.1,"Oper. Ineficiente",IF(VLOOKUP(BQ91,Fundamentus!A:U,16,FALSE)&gt;0.1,"Oper.Eficiente","n/a"))</f>
        <v>Oper. Ineficiente</v>
      </c>
      <c r="EV91" s="34">
        <f>VLOOKUP(BQ91,Fundamentus!A:U,14,FALSE)</f>
        <v>-0.37469999999999998</v>
      </c>
      <c r="EW91" s="17" t="str">
        <f>IF(VLOOKUP(BQ91,Fundamentus!A:U,21,FALSE)&lt;0,"Negativo",IF(VLOOKUP(BQ91,Fundamentus!A:U,21,FALSE)&lt;0.05,"Fraco",IF(VLOOKUP(BQ91,Fundamentus!A:U,21,FALSE)&lt;0.1,"Bom",IF(VLOOKUP(BQ91,Fundamentus!A:U,21,FALSE)&gt;0.1,"Muito bom","n/a"))))</f>
        <v>Muito bom</v>
      </c>
      <c r="EY91" s="29" t="str">
        <f>IF(VLOOKUP(BQ91,Fundamentus!A:U,15,FALSE)&gt;1,"Bom",IF(VLOOKUP(BQ91,Fundamentus!A:U,15,FALSE)&lt;1,"Ruim","n/a"))</f>
        <v>Ruim</v>
      </c>
      <c r="EZ91" s="17" t="str">
        <f>IF(VLOOKUP(BQ91,Fundamentus!A:U,20,FALSE)&lt;0.5,"Baixa",IF(VLOOKUP(BQ91,Fundamentus!A:U,20,FALSE)&lt;1,"Moderada",IF(VLOOKUP(BQ91,Fundamentus!A:U,20,FALSE)&lt;2,"Alerta",IF(VLOOKUP(BQ91,Fundamentus!A:U,20,FALSE)&gt;2,"Alta","n/a"))))</f>
        <v>Alerta</v>
      </c>
      <c r="FA91" s="10"/>
    </row>
    <row r="92" spans="1:157" s="2" customFormat="1" ht="11.25" hidden="1" x14ac:dyDescent="0.2">
      <c r="A92" s="4">
        <v>53.98</v>
      </c>
      <c r="B92" s="4">
        <v>54</v>
      </c>
      <c r="C92" s="4">
        <v>50.88</v>
      </c>
      <c r="D92" s="4">
        <v>50.5</v>
      </c>
      <c r="E92" s="4">
        <v>49.95</v>
      </c>
      <c r="F92" s="4">
        <v>47.68</v>
      </c>
      <c r="G92" s="4">
        <v>48.63</v>
      </c>
      <c r="H92" s="4">
        <v>48.3</v>
      </c>
      <c r="I92" s="4">
        <v>48.82</v>
      </c>
      <c r="J92" s="4">
        <v>52.29</v>
      </c>
      <c r="K92" s="4">
        <v>51.89</v>
      </c>
      <c r="L92" s="4">
        <v>51.06</v>
      </c>
      <c r="M92" s="4">
        <v>50.25</v>
      </c>
      <c r="N92" s="4">
        <v>51.22</v>
      </c>
      <c r="O92" s="4">
        <v>50</v>
      </c>
      <c r="P92" s="4">
        <v>48.68</v>
      </c>
      <c r="Q92" s="4">
        <v>49.26</v>
      </c>
      <c r="R92" s="4">
        <v>47.28</v>
      </c>
      <c r="S92" s="4">
        <v>47.91</v>
      </c>
      <c r="T92" s="4">
        <v>48.21</v>
      </c>
      <c r="U92" s="4">
        <v>47.86</v>
      </c>
      <c r="V92" s="4">
        <v>47.5</v>
      </c>
      <c r="W92" s="4">
        <v>46.56</v>
      </c>
      <c r="X92" s="4">
        <v>46.58</v>
      </c>
      <c r="Y92" s="4">
        <v>45.84</v>
      </c>
      <c r="Z92" s="4">
        <v>46.02</v>
      </c>
      <c r="AA92" s="4">
        <v>44.14</v>
      </c>
      <c r="AB92" s="4">
        <v>44.5</v>
      </c>
      <c r="AC92" s="4">
        <v>48.71</v>
      </c>
      <c r="AD92" s="4">
        <v>51.13</v>
      </c>
      <c r="AE92" s="4">
        <v>52</v>
      </c>
      <c r="AF92" s="4">
        <v>49.62</v>
      </c>
      <c r="AG92" s="4">
        <v>49.24</v>
      </c>
      <c r="AH92" s="4">
        <v>47.18</v>
      </c>
      <c r="AI92" s="4">
        <v>47.38</v>
      </c>
      <c r="AJ92" s="4">
        <v>44.99</v>
      </c>
      <c r="AK92" s="4">
        <v>44.8</v>
      </c>
      <c r="AL92" s="4">
        <v>45.52</v>
      </c>
      <c r="AM92" s="4">
        <v>47.6</v>
      </c>
      <c r="AN92" s="4">
        <v>49.04</v>
      </c>
      <c r="AO92" s="4">
        <v>47.59</v>
      </c>
      <c r="AP92" s="4">
        <v>47.99</v>
      </c>
      <c r="AQ92" s="4">
        <v>48.39</v>
      </c>
      <c r="AR92" s="4">
        <v>45.47</v>
      </c>
      <c r="AS92" s="4">
        <v>47.18</v>
      </c>
      <c r="AT92" s="4">
        <v>53.5</v>
      </c>
      <c r="AU92" s="4">
        <v>53.244999999999997</v>
      </c>
      <c r="AV92" s="4">
        <v>54.93</v>
      </c>
      <c r="AW92" s="4">
        <v>56.11</v>
      </c>
      <c r="AX92" s="4">
        <v>54.69</v>
      </c>
      <c r="AY92" s="12">
        <v>53</v>
      </c>
      <c r="AZ92" s="12">
        <v>54.36</v>
      </c>
      <c r="BA92" s="12">
        <v>54.57</v>
      </c>
      <c r="BB92" s="15">
        <v>55.14</v>
      </c>
      <c r="BC92" s="52">
        <v>57.54</v>
      </c>
      <c r="BD92" s="52">
        <v>61</v>
      </c>
      <c r="BE92" s="52">
        <v>60.1</v>
      </c>
      <c r="BF92" s="52">
        <v>60.17</v>
      </c>
      <c r="BG92" s="67">
        <v>59.11</v>
      </c>
      <c r="BH92" s="52">
        <v>58.1</v>
      </c>
      <c r="BI92" s="52">
        <v>57.84</v>
      </c>
      <c r="BJ92" s="52">
        <v>59.74</v>
      </c>
      <c r="BK92" s="52">
        <v>58.9</v>
      </c>
      <c r="BL92" s="52">
        <v>56.17</v>
      </c>
      <c r="BM92" s="52">
        <v>55.17</v>
      </c>
      <c r="BN92" s="52">
        <v>55.13</v>
      </c>
      <c r="BO92" s="52">
        <v>59.74</v>
      </c>
      <c r="BP92" s="52" cm="1">
        <f t="array" aca="1" ref="BP92" ca="1">_FV(ED92,"Preço")</f>
        <v>57.47</v>
      </c>
      <c r="BQ92" s="69" t="s">
        <v>151</v>
      </c>
      <c r="BR92" s="36" cm="1">
        <f t="array" aca="1" ref="BR92" ca="1">_FV(ED92,"Média de volume",TRUE)</f>
        <v>214070</v>
      </c>
      <c r="BS92" s="36">
        <v>431300</v>
      </c>
      <c r="BT92" s="36" cm="1">
        <f t="array" aca="1" ref="BT92" ca="1">_FV(ED92,"Volume")</f>
        <v>107400</v>
      </c>
      <c r="BU92" s="24" cm="1">
        <f t="array" aca="1" ref="BU92" ca="1">_FV(ED92,"Beta")</f>
        <v>1.2870999999999999</v>
      </c>
      <c r="BV92" s="71" cm="1">
        <f t="array" aca="1" ref="BV92" ca="1">_FV(ED92,"Variação (%)",TRUE)</f>
        <v>-6.3970000000000008E-3</v>
      </c>
      <c r="BX92" s="17" cm="1">
        <f t="array" aca="1" ref="BX92" ca="1">_FV(ED92,"Baixo")</f>
        <v>56.67</v>
      </c>
      <c r="BY92" s="17" cm="1">
        <f t="array" aca="1" ref="BY92" ca="1">_FV(ED92,"Alto")</f>
        <v>57.96</v>
      </c>
      <c r="BZ92" s="24"/>
      <c r="CA92" s="63">
        <f ca="1">SQRT(22.5*(BP92/VLOOKUP(BQ92,Fundamentus!A:U,3,FALSE))*(BP92/VLOOKUP(BQ92,Fundamentus!A:U,4,FALSE)))</f>
        <v>57.061756953574516</v>
      </c>
      <c r="CC92" s="62">
        <f t="shared" ca="1" si="112"/>
        <v>-3.7997991295614382E-2</v>
      </c>
      <c r="CD92" s="8"/>
      <c r="CE92" s="61">
        <f t="shared" si="113"/>
        <v>44.14</v>
      </c>
      <c r="CF92" s="61">
        <f t="shared" si="114"/>
        <v>61</v>
      </c>
      <c r="CG92" s="61">
        <f t="shared" si="115"/>
        <v>51.222014925373131</v>
      </c>
      <c r="CH92" s="14"/>
      <c r="CI92" s="35">
        <f t="shared" si="98"/>
        <v>55.3573708435827</v>
      </c>
      <c r="CJ92" s="15">
        <f t="shared" si="116"/>
        <v>59.219999999999345</v>
      </c>
      <c r="CK92" s="35">
        <f t="shared" si="99"/>
        <v>63.08262915641599</v>
      </c>
      <c r="CM92" s="14"/>
      <c r="CN92" s="17">
        <f t="shared" si="100"/>
        <v>32.06</v>
      </c>
      <c r="CO92" s="17">
        <f t="shared" si="101"/>
        <v>38.1</v>
      </c>
      <c r="CP92" s="17">
        <f t="shared" si="102"/>
        <v>48.92</v>
      </c>
      <c r="CQ92" s="38">
        <f t="shared" si="117"/>
        <v>54.96</v>
      </c>
      <c r="CR92" s="17">
        <f t="shared" si="103"/>
        <v>65.78</v>
      </c>
      <c r="CS92" s="17">
        <f t="shared" si="104"/>
        <v>71.819999999999993</v>
      </c>
      <c r="CT92" s="17">
        <f t="shared" si="105"/>
        <v>82.64</v>
      </c>
      <c r="CU92" s="2" cm="1">
        <f t="array" aca="1" ref="CU92" ca="1">MAX(_xlfn._xlws.FILTER(CN92:CT92,CN92:CT92&lt;BP92))</f>
        <v>54.96</v>
      </c>
      <c r="CV92" s="2" cm="1">
        <f t="array" aca="1" ref="CV92" ca="1">MIN(_xlfn._xlws.FILTER($CN92:$CT92,$CN92:$CT92&gt;BP92))</f>
        <v>65.78</v>
      </c>
      <c r="CW92" s="16">
        <f t="shared" ca="1" si="119"/>
        <v>0.19687045123726343</v>
      </c>
      <c r="CX92" s="20">
        <f t="shared" ca="1" si="120"/>
        <v>-9.8435225618631716E-2</v>
      </c>
      <c r="CY92" s="20">
        <f t="shared" ca="1" si="121"/>
        <v>-6.5623483745754482E-2</v>
      </c>
      <c r="CZ92" s="20">
        <f t="shared" ca="1" si="122"/>
        <v>-3.9374090247452684E-2</v>
      </c>
      <c r="DA92" s="20">
        <f t="shared" ca="1" si="123"/>
        <v>-2.1874494581918161E-2</v>
      </c>
      <c r="DB92" s="20">
        <f t="shared" ca="1" si="124"/>
        <v>-1.1580614778662554E-2</v>
      </c>
      <c r="DC92" s="20">
        <f t="shared" ca="1" si="125"/>
        <v>-5.9657712496140438E-3</v>
      </c>
      <c r="DD92" s="20">
        <f t="shared" ca="1" si="126"/>
        <v>-3.028776172880976E-3</v>
      </c>
      <c r="DE92" s="21">
        <f t="shared" ca="1" si="127"/>
        <v>3.028776172880976E-3</v>
      </c>
      <c r="DF92" s="21">
        <f t="shared" ca="1" si="128"/>
        <v>5.9657712496140438E-3</v>
      </c>
      <c r="DG92" s="21">
        <f t="shared" ca="1" si="129"/>
        <v>1.1580614778662554E-2</v>
      </c>
      <c r="DH92" s="21">
        <f t="shared" ca="1" si="130"/>
        <v>2.1874494581918161E-2</v>
      </c>
      <c r="DI92" s="21">
        <f t="shared" ca="1" si="131"/>
        <v>3.9374090247452684E-2</v>
      </c>
      <c r="DJ92" s="21">
        <f t="shared" ca="1" si="132"/>
        <v>6.5623483745754482E-2</v>
      </c>
      <c r="DK92" s="21">
        <f t="shared" ca="1" si="133"/>
        <v>9.8435225618631716E-2</v>
      </c>
      <c r="DM92" s="16" cm="1">
        <f t="array" aca="1" ref="DM92" ca="1">MAX(_xlfn._xlws.FILTER(CX92:DK92,CX92:DK92&lt;BV92))</f>
        <v>-1.1580614778662554E-2</v>
      </c>
      <c r="DN92" s="16" cm="1">
        <f t="array" aca="1" ref="DN92" ca="1">MIN(_xlfn._xlws.FILTER(CX92:DK92,CX92:DK92&gt;BV92))</f>
        <v>-5.9657712496140438E-3</v>
      </c>
      <c r="DO92" s="2" cm="1">
        <f t="array" aca="1" ref="DO92" ca="1">_FV(ED92,"Fechamento anterior",TRUE)</f>
        <v>57.84</v>
      </c>
      <c r="DP92" s="28">
        <f t="shared" ca="1" si="106"/>
        <v>0.92320607488820794</v>
      </c>
      <c r="DQ92" s="15">
        <f t="shared" ca="1" si="134"/>
        <v>57.170177241202161</v>
      </c>
      <c r="DR92" s="15">
        <f t="shared" ca="1" si="135"/>
        <v>57.494939790922324</v>
      </c>
      <c r="DS92" s="9"/>
      <c r="DT92" s="9"/>
      <c r="DU92" s="9"/>
      <c r="DV92" s="89">
        <v>3.2811741872877234E-2</v>
      </c>
      <c r="DW92" s="89">
        <f t="shared" ca="1" si="107"/>
        <v>5.6148435290485103E-3</v>
      </c>
      <c r="DX92" s="72">
        <f t="shared" ca="1" si="108"/>
        <v>-0.45305928400924167</v>
      </c>
      <c r="DY92" s="37"/>
      <c r="DZ92" s="35">
        <f t="shared" si="118"/>
        <v>1.9313145782083241</v>
      </c>
      <c r="EA92" s="56"/>
      <c r="EB92" s="56"/>
      <c r="ED92" s="2" t="e" vm="92">
        <v>#VALUE!</v>
      </c>
      <c r="EF92" s="10" cm="1">
        <f t="array" aca="1" ref="EF92" ca="1">_FV(ED92,"Ações em circulação",TRUE)</f>
        <v>113173300</v>
      </c>
      <c r="EG92" s="18">
        <f>VLOOKUP(BQ92,Fundamentus!A:U,5,FALSE)</f>
        <v>1.1120000000000001</v>
      </c>
      <c r="EH92" s="2">
        <f t="shared" ca="1" si="109"/>
        <v>5848983409.1726618</v>
      </c>
      <c r="EI92" s="17">
        <v>702849345.40935242</v>
      </c>
      <c r="EJ92" s="17">
        <f t="shared" ca="1" si="110"/>
        <v>676142482.10035968</v>
      </c>
      <c r="EL92" s="16">
        <f t="shared" ca="1" si="97"/>
        <v>-3.7997991295614209E-2</v>
      </c>
      <c r="EM92" s="32" t="str">
        <f>IF(VLOOKUP(BQ92,Fundamentus!A:U,3,FALSE)&lt;15,"Bom",IF(VLOOKUP(BQ92,Fundamentus!A:U,3,FALSE)&gt;15,"Ruim","n/a"))</f>
        <v>Bom</v>
      </c>
      <c r="EN92" s="28" t="str">
        <f>IF(VLOOKUP(BQ92,Fundamentus!A:U,4,FALSE)&lt;1,"Baixo",IF(VLOOKUP(BQ92,Fundamentus!A:U,4,FALSE)&lt;1.5,"Moderado",IF(VLOOKUP(BQ92,Fundamentus!A:U,4,FALSE)&gt;1.5,"Alto","n/a")))</f>
        <v>Alto</v>
      </c>
      <c r="EO92" s="17" t="str">
        <f>IF(VLOOKUP(BQ92,Fundamentus!A:U,8,FALSE)&lt;0,"Risco elevado",IF(VLOOKUP(BQ92,Fundamentus!A:U,8,FALSE)&lt;1,"Saudável",IF(VLOOKUP(BQ92,Fundamentus!A:U,8,FALSE)&lt;3,"Estável",IF(VLOOKUP(BQ92,Fundamentus!A:U,8,FALSE)&gt;3,"Alerta","n/a"))))</f>
        <v>Alerta</v>
      </c>
      <c r="EP92" s="28" t="str">
        <f t="shared" si="111"/>
        <v>Bom</v>
      </c>
      <c r="EQ92" s="17" t="str">
        <f>IF(VLOOKUP(BQ92,Fundamentus!A:U,12,FALSE)&lt;2,"Subvalorizada",IF(VLOOKUP(BQ92,Fundamentus!A:U,12,FALSE)&lt;6,"Muita barata",IF(VLOOKUP(BQ92,Fundamentus!A:U,12,FALSE)&lt;6,"Barata",IF(VLOOKUP(BQ92,Fundamentus!A:U,12,FALSE)&lt;8,"Atrativa",IF(VLOOKUP(BQ92,Fundamentus!A:U,12,FALSE)&gt;8,"Supervalorizada","n/a")))))</f>
        <v>Atrativa</v>
      </c>
      <c r="ES92" s="17" t="str">
        <f>IF(VLOOKUP(BQ92,Fundamentus!A:U,17,FALSE)&lt;0.1,"Fraco retorno",IF(VLOOKUP(BQ92,Fundamentus!A:U,17,FALSE)&gt;0.1,"Bom retorno","n/a"))</f>
        <v>Bom retorno</v>
      </c>
      <c r="ET92" s="17" t="str">
        <f>IF(VLOOKUP(BQ92,Fundamentus!A:U,16,FALSE)&lt;0.1,"Ineficiente",IF(VLOOKUP(BQ92,Fundamentus!A:U,16,FALSE)&gt;0.1,"Eficiente","n/a"))</f>
        <v>Eficiente</v>
      </c>
      <c r="EU92" s="33" t="str">
        <f>IF(VLOOKUP(BQ92,Fundamentus!A:U,16,FALSE)&lt;0.1,"Oper. Ineficiente",IF(VLOOKUP(BQ92,Fundamentus!A:U,16,FALSE)&gt;0.1,"Oper.Eficiente","n/a"))</f>
        <v>Oper.Eficiente</v>
      </c>
      <c r="EV92" s="34">
        <f>VLOOKUP(BQ92,Fundamentus!A:U,14,FALSE)</f>
        <v>0.11559999999999999</v>
      </c>
      <c r="EW92" s="17" t="str">
        <f>IF(VLOOKUP(BQ92,Fundamentus!A:U,21,FALSE)&lt;0,"Negativo",IF(VLOOKUP(BQ92,Fundamentus!A:U,21,FALSE)&lt;0.05,"Fraco",IF(VLOOKUP(BQ92,Fundamentus!A:U,21,FALSE)&lt;0.1,"Bom",IF(VLOOKUP(BQ92,Fundamentus!A:U,21,FALSE)&gt;0.1,"Muito bom","n/a"))))</f>
        <v>Fraco</v>
      </c>
      <c r="EY92" s="29" t="str">
        <f>IF(VLOOKUP(BQ92,Fundamentus!A:U,15,FALSE)&gt;1,"Bom",IF(VLOOKUP(BQ92,Fundamentus!A:U,15,FALSE)&lt;1,"Ruim","n/a"))</f>
        <v>Bom</v>
      </c>
      <c r="EZ92" s="17" t="str">
        <f>IF(VLOOKUP(BQ92,Fundamentus!A:U,20,FALSE)&lt;0.5,"Baixa",IF(VLOOKUP(BQ92,Fundamentus!A:U,20,FALSE)&lt;1,"Moderada",IF(VLOOKUP(BQ92,Fundamentus!A:U,20,FALSE)&lt;2,"Alerta",IF(VLOOKUP(BQ92,Fundamentus!A:U,20,FALSE)&gt;2,"Alta","n/a"))))</f>
        <v>Moderada</v>
      </c>
      <c r="FA92" s="10"/>
    </row>
    <row r="93" spans="1:157" s="2" customFormat="1" ht="11.25" hidden="1" x14ac:dyDescent="0.2">
      <c r="A93" s="4">
        <v>14.64</v>
      </c>
      <c r="B93" s="4">
        <v>13.99</v>
      </c>
      <c r="C93" s="4">
        <v>13.65</v>
      </c>
      <c r="D93" s="4">
        <v>13.01</v>
      </c>
      <c r="E93" s="4">
        <v>12.96</v>
      </c>
      <c r="F93" s="4">
        <v>13.48</v>
      </c>
      <c r="G93" s="4">
        <v>13.3</v>
      </c>
      <c r="H93" s="4">
        <v>12.9</v>
      </c>
      <c r="I93" s="4">
        <v>12.91</v>
      </c>
      <c r="J93" s="4">
        <v>13.64</v>
      </c>
      <c r="K93" s="4">
        <v>14.31</v>
      </c>
      <c r="L93" s="4">
        <v>14.23</v>
      </c>
      <c r="M93" s="4">
        <v>13.49</v>
      </c>
      <c r="N93" s="4">
        <v>13.9</v>
      </c>
      <c r="O93" s="4">
        <v>14.18</v>
      </c>
      <c r="P93" s="4">
        <v>14.04</v>
      </c>
      <c r="Q93" s="4">
        <v>14.81</v>
      </c>
      <c r="R93" s="4">
        <v>14.09</v>
      </c>
      <c r="S93" s="4">
        <v>13.76</v>
      </c>
      <c r="T93" s="4">
        <v>14.74</v>
      </c>
      <c r="U93" s="4">
        <v>13.46</v>
      </c>
      <c r="V93" s="4">
        <v>13.47</v>
      </c>
      <c r="W93" s="4">
        <v>13.92</v>
      </c>
      <c r="X93" s="4">
        <v>14.12</v>
      </c>
      <c r="Y93" s="4">
        <v>13.57</v>
      </c>
      <c r="Z93" s="4">
        <v>13.42</v>
      </c>
      <c r="AA93" s="4">
        <v>14.88</v>
      </c>
      <c r="AB93" s="4">
        <v>14.23</v>
      </c>
      <c r="AC93" s="4">
        <v>14.38</v>
      </c>
      <c r="AD93" s="4">
        <v>14.09</v>
      </c>
      <c r="AE93" s="4">
        <v>12.66</v>
      </c>
      <c r="AF93" s="4">
        <v>12.1</v>
      </c>
      <c r="AG93" s="4">
        <v>11.34</v>
      </c>
      <c r="AH93" s="4">
        <v>11.19</v>
      </c>
      <c r="AI93" s="4">
        <v>10.91</v>
      </c>
      <c r="AJ93" s="4">
        <v>10.59</v>
      </c>
      <c r="AK93" s="4">
        <v>10.69</v>
      </c>
      <c r="AL93" s="4">
        <v>11.28</v>
      </c>
      <c r="AM93" s="4">
        <v>11.42</v>
      </c>
      <c r="AN93" s="4">
        <v>12.7</v>
      </c>
      <c r="AO93" s="4">
        <v>12.64</v>
      </c>
      <c r="AP93" s="4">
        <v>13.35</v>
      </c>
      <c r="AQ93" s="4">
        <v>13.77</v>
      </c>
      <c r="AR93" s="4">
        <v>12.25</v>
      </c>
      <c r="AS93" s="4">
        <v>13.02</v>
      </c>
      <c r="AT93" s="4">
        <v>15.64</v>
      </c>
      <c r="AU93" s="4">
        <v>15.234999999999999</v>
      </c>
      <c r="AV93" s="4">
        <v>15.4</v>
      </c>
      <c r="AW93" s="4">
        <v>15.1</v>
      </c>
      <c r="AX93" s="4">
        <v>15.5</v>
      </c>
      <c r="AY93" s="12">
        <v>14.64</v>
      </c>
      <c r="AZ93" s="12">
        <v>14.11</v>
      </c>
      <c r="BA93" s="12">
        <v>13.28</v>
      </c>
      <c r="BB93" s="15">
        <v>13.75</v>
      </c>
      <c r="BC93" s="52">
        <v>13.7</v>
      </c>
      <c r="BD93" s="52">
        <v>13.17</v>
      </c>
      <c r="BE93" s="52">
        <v>13.33</v>
      </c>
      <c r="BF93" s="52">
        <v>13.57</v>
      </c>
      <c r="BG93" s="67">
        <v>13.29</v>
      </c>
      <c r="BH93" s="52">
        <v>13.04</v>
      </c>
      <c r="BI93" s="52">
        <v>13.46</v>
      </c>
      <c r="BJ93" s="52">
        <v>14.02</v>
      </c>
      <c r="BK93" s="52">
        <v>13.26</v>
      </c>
      <c r="BL93" s="52">
        <v>13.09</v>
      </c>
      <c r="BM93" s="52">
        <v>13.36</v>
      </c>
      <c r="BN93" s="52">
        <v>14.13</v>
      </c>
      <c r="BO93" s="52">
        <v>14.63</v>
      </c>
      <c r="BP93" s="52" cm="1">
        <f t="array" aca="1" ref="BP93" ca="1">_FV(ED93,"Preço")</f>
        <v>14.34</v>
      </c>
      <c r="BQ93" s="69" t="s">
        <v>90</v>
      </c>
      <c r="BR93" s="36" cm="1">
        <f t="array" aca="1" ref="BR93" ca="1">_FV(ED93,"Média de volume",TRUE)</f>
        <v>1570200</v>
      </c>
      <c r="BS93" s="36">
        <v>2493900</v>
      </c>
      <c r="BT93" s="36" cm="1">
        <f t="array" aca="1" ref="BT93" ca="1">_FV(ED93,"Volume")</f>
        <v>2493400</v>
      </c>
      <c r="BU93" s="24" cm="1">
        <f t="array" aca="1" ref="BU93" ca="1">_FV(ED93,"Beta")</f>
        <v>1.6409</v>
      </c>
      <c r="BV93" s="71" cm="1">
        <f t="array" aca="1" ref="BV93" ca="1">_FV(ED93,"Variação (%)",TRUE)</f>
        <v>-6.9249999999999997E-3</v>
      </c>
      <c r="BX93" s="17" cm="1">
        <f t="array" aca="1" ref="BX93" ca="1">_FV(ED93,"Baixo")</f>
        <v>14.2</v>
      </c>
      <c r="BY93" s="17" cm="1">
        <f t="array" aca="1" ref="BY93" ca="1">_FV(ED93,"Alto")</f>
        <v>14.63</v>
      </c>
      <c r="BZ93" s="24"/>
      <c r="CA93" s="63">
        <f ca="1">SQRT(22.5*(BP93/VLOOKUP(BQ93,Fundamentus!A:U,3,FALSE))*(BP93/VLOOKUP(BQ93,Fundamentus!A:U,4,FALSE)))</f>
        <v>34.104212130877229</v>
      </c>
      <c r="CC93" s="62">
        <f t="shared" ca="1" si="112"/>
        <v>-1.9822282980177779E-2</v>
      </c>
      <c r="CD93" s="8"/>
      <c r="CE93" s="61">
        <f t="shared" si="113"/>
        <v>10.59</v>
      </c>
      <c r="CF93" s="61">
        <f t="shared" si="114"/>
        <v>15.64</v>
      </c>
      <c r="CG93" s="61">
        <f t="shared" si="115"/>
        <v>13.495298507462687</v>
      </c>
      <c r="CH93" s="14"/>
      <c r="CI93" s="35">
        <f t="shared" si="98"/>
        <v>13.973251938603314</v>
      </c>
      <c r="CJ93" s="15">
        <f t="shared" si="116"/>
        <v>15.149999999999636</v>
      </c>
      <c r="CK93" s="35">
        <f t="shared" si="99"/>
        <v>16.326748061395957</v>
      </c>
      <c r="CM93" s="14"/>
      <c r="CN93" s="17">
        <f t="shared" si="100"/>
        <v>6.5499999999999972</v>
      </c>
      <c r="CO93" s="17">
        <f t="shared" si="101"/>
        <v>8.5699999999999985</v>
      </c>
      <c r="CP93" s="17">
        <f t="shared" si="102"/>
        <v>11.599999999999998</v>
      </c>
      <c r="CQ93" s="38">
        <f t="shared" si="117"/>
        <v>13.62</v>
      </c>
      <c r="CR93" s="17">
        <f t="shared" si="103"/>
        <v>16.649999999999999</v>
      </c>
      <c r="CS93" s="17">
        <f t="shared" si="104"/>
        <v>18.670000000000002</v>
      </c>
      <c r="CT93" s="17">
        <f t="shared" si="105"/>
        <v>21.7</v>
      </c>
      <c r="CU93" s="2" cm="1">
        <f t="array" aca="1" ref="CU93" ca="1">MAX(_xlfn._xlws.FILTER(CN93:CT93,CN93:CT93&lt;BP93))</f>
        <v>13.62</v>
      </c>
      <c r="CV93" s="2" cm="1">
        <f t="array" aca="1" ref="CV93" ca="1">MIN(_xlfn._xlws.FILTER($CN93:$CT93,$CN93:$CT93&gt;BP93))</f>
        <v>16.649999999999999</v>
      </c>
      <c r="CW93" s="16">
        <f t="shared" ca="1" si="119"/>
        <v>0.22246696035242297</v>
      </c>
      <c r="CX93" s="20">
        <f t="shared" ca="1" si="120"/>
        <v>-0.11123348017621149</v>
      </c>
      <c r="CY93" s="20">
        <f t="shared" ca="1" si="121"/>
        <v>-7.4155653450807657E-2</v>
      </c>
      <c r="CZ93" s="20">
        <f t="shared" ca="1" si="122"/>
        <v>-4.4493392070484597E-2</v>
      </c>
      <c r="DA93" s="20">
        <f t="shared" ca="1" si="123"/>
        <v>-2.4718551150269219E-2</v>
      </c>
      <c r="DB93" s="20">
        <f t="shared" ca="1" si="124"/>
        <v>-1.3086291785436646E-2</v>
      </c>
      <c r="DC93" s="20">
        <f t="shared" ca="1" si="125"/>
        <v>-6.7414230409825141E-3</v>
      </c>
      <c r="DD93" s="20">
        <f t="shared" ca="1" si="126"/>
        <v>-3.4225686208065073E-3</v>
      </c>
      <c r="DE93" s="21">
        <f t="shared" ca="1" si="127"/>
        <v>3.4225686208065073E-3</v>
      </c>
      <c r="DF93" s="21">
        <f t="shared" ca="1" si="128"/>
        <v>6.7414230409825141E-3</v>
      </c>
      <c r="DG93" s="21">
        <f t="shared" ca="1" si="129"/>
        <v>1.3086291785436646E-2</v>
      </c>
      <c r="DH93" s="21">
        <f t="shared" ca="1" si="130"/>
        <v>2.4718551150269219E-2</v>
      </c>
      <c r="DI93" s="21">
        <f t="shared" ca="1" si="131"/>
        <v>4.4493392070484597E-2</v>
      </c>
      <c r="DJ93" s="21">
        <f t="shared" ca="1" si="132"/>
        <v>7.4155653450807657E-2</v>
      </c>
      <c r="DK93" s="21">
        <f t="shared" ca="1" si="133"/>
        <v>0.11123348017621149</v>
      </c>
      <c r="DM93" s="16" cm="1">
        <f t="array" aca="1" ref="DM93" ca="1">MAX(_xlfn._xlws.FILTER(CX93:DK93,CX93:DK93&lt;BV93))</f>
        <v>-1.3086291785436646E-2</v>
      </c>
      <c r="DN93" s="16" cm="1">
        <f t="array" aca="1" ref="DN93" ca="1">MIN(_xlfn._xlws.FILTER(CX93:DK93,CX93:DK93&gt;BV93))</f>
        <v>-6.7414230409825141E-3</v>
      </c>
      <c r="DO93" s="2" cm="1">
        <f t="array" aca="1" ref="DO93" ca="1">_FV(ED93,"Fechamento anterior",TRUE)</f>
        <v>14.44</v>
      </c>
      <c r="DP93" s="28">
        <f t="shared" ca="1" si="106"/>
        <v>0.97103411864732803</v>
      </c>
      <c r="DQ93" s="15">
        <f t="shared" ca="1" si="134"/>
        <v>14.251033946618294</v>
      </c>
      <c r="DR93" s="15">
        <f t="shared" ca="1" si="135"/>
        <v>14.342653851288212</v>
      </c>
      <c r="DS93" s="9"/>
      <c r="DT93" s="9"/>
      <c r="DU93" s="9"/>
      <c r="DV93" s="89">
        <v>3.3188544201760068E-3</v>
      </c>
      <c r="DW93" s="89">
        <f t="shared" ca="1" si="107"/>
        <v>6.3448687444541321E-3</v>
      </c>
      <c r="DX93" s="72">
        <f t="shared" ca="1" si="108"/>
        <v>-0.68833765405867331</v>
      </c>
      <c r="DY93" s="37"/>
      <c r="DZ93" s="35">
        <f t="shared" si="118"/>
        <v>0.58837403069816108</v>
      </c>
      <c r="EA93" s="56"/>
      <c r="EB93" s="56"/>
      <c r="ED93" s="2" t="e" vm="93">
        <v>#VALUE!</v>
      </c>
      <c r="EF93" s="10" cm="1">
        <f t="array" aca="1" ref="EF93" ca="1">_FV(ED93,"Ações em circulação",TRUE)</f>
        <v>220989100</v>
      </c>
      <c r="EG93" s="18">
        <f>VLOOKUP(BQ93,Fundamentus!A:U,5,FALSE)</f>
        <v>1.796</v>
      </c>
      <c r="EH93" s="2">
        <f t="shared" ca="1" si="109"/>
        <v>1764467535.6347439</v>
      </c>
      <c r="EI93" s="17">
        <v>517543306.36831844</v>
      </c>
      <c r="EJ93" s="17">
        <f t="shared" ca="1" si="110"/>
        <v>507284416.49498886</v>
      </c>
      <c r="EL93" s="16">
        <f t="shared" ca="1" si="97"/>
        <v>-1.982228298017763E-2</v>
      </c>
      <c r="EM93" s="32" t="str">
        <f>IF(VLOOKUP(BQ93,Fundamentus!A:U,3,FALSE)&lt;15,"Bom",IF(VLOOKUP(BQ93,Fundamentus!A:U,3,FALSE)&gt;15,"Ruim","n/a"))</f>
        <v>Bom</v>
      </c>
      <c r="EN93" s="28" t="str">
        <f>IF(VLOOKUP(BQ93,Fundamentus!A:U,4,FALSE)&lt;1,"Baixo",IF(VLOOKUP(BQ93,Fundamentus!A:U,4,FALSE)&lt;1.5,"Moderado",IF(VLOOKUP(BQ93,Fundamentus!A:U,4,FALSE)&gt;1.5,"Alto","n/a")))</f>
        <v>Baixo</v>
      </c>
      <c r="EO93" s="17" t="str">
        <f>IF(VLOOKUP(BQ93,Fundamentus!A:U,8,FALSE)&lt;0,"Risco elevado",IF(VLOOKUP(BQ93,Fundamentus!A:U,8,FALSE)&lt;1,"Saudável",IF(VLOOKUP(BQ93,Fundamentus!A:U,8,FALSE)&lt;3,"Estável",IF(VLOOKUP(BQ93,Fundamentus!A:U,8,FALSE)&gt;3,"Alerta","n/a"))))</f>
        <v>Estável</v>
      </c>
      <c r="EP93" s="28" t="str">
        <f t="shared" si="111"/>
        <v>Bom</v>
      </c>
      <c r="EQ93" s="17" t="str">
        <f>IF(VLOOKUP(BQ93,Fundamentus!A:U,12,FALSE)&lt;2,"Subvalorizada",IF(VLOOKUP(BQ93,Fundamentus!A:U,12,FALSE)&lt;6,"Muita barata",IF(VLOOKUP(BQ93,Fundamentus!A:U,12,FALSE)&lt;6,"Barata",IF(VLOOKUP(BQ93,Fundamentus!A:U,12,FALSE)&lt;8,"Atrativa",IF(VLOOKUP(BQ93,Fundamentus!A:U,12,FALSE)&gt;8,"Supervalorizada","n/a")))))</f>
        <v>Supervalorizada</v>
      </c>
      <c r="ES93" s="17" t="str">
        <f>IF(VLOOKUP(BQ93,Fundamentus!A:U,17,FALSE)&lt;0.1,"Fraco retorno",IF(VLOOKUP(BQ93,Fundamentus!A:U,17,FALSE)&gt;0.1,"Bom retorno","n/a"))</f>
        <v>Fraco retorno</v>
      </c>
      <c r="ET93" s="17" t="str">
        <f>IF(VLOOKUP(BQ93,Fundamentus!A:U,16,FALSE)&lt;0.1,"Ineficiente",IF(VLOOKUP(BQ93,Fundamentus!A:U,16,FALSE)&gt;0.1,"Eficiente","n/a"))</f>
        <v>Ineficiente</v>
      </c>
      <c r="EU93" s="33" t="str">
        <f>IF(VLOOKUP(BQ93,Fundamentus!A:U,16,FALSE)&lt;0.1,"Oper. Ineficiente",IF(VLOOKUP(BQ93,Fundamentus!A:U,16,FALSE)&gt;0.1,"Oper.Eficiente","n/a"))</f>
        <v>Oper. Ineficiente</v>
      </c>
      <c r="EV93" s="34">
        <f>VLOOKUP(BQ93,Fundamentus!A:U,14,FALSE)</f>
        <v>0.28749999999999998</v>
      </c>
      <c r="EW93" s="17" t="str">
        <f>IF(VLOOKUP(BQ93,Fundamentus!A:U,21,FALSE)&lt;0,"Negativo",IF(VLOOKUP(BQ93,Fundamentus!A:U,21,FALSE)&lt;0.05,"Fraco",IF(VLOOKUP(BQ93,Fundamentus!A:U,21,FALSE)&lt;0.1,"Bom",IF(VLOOKUP(BQ93,Fundamentus!A:U,21,FALSE)&gt;0.1,"Muito bom","n/a"))))</f>
        <v>Muito bom</v>
      </c>
      <c r="EY93" s="29" t="str">
        <f>IF(VLOOKUP(BQ93,Fundamentus!A:U,15,FALSE)&gt;1,"Bom",IF(VLOOKUP(BQ93,Fundamentus!A:U,15,FALSE)&lt;1,"Ruim","n/a"))</f>
        <v>Bom</v>
      </c>
      <c r="EZ93" s="17" t="str">
        <f>IF(VLOOKUP(BQ93,Fundamentus!A:U,20,FALSE)&lt;0.5,"Baixa",IF(VLOOKUP(BQ93,Fundamentus!A:U,20,FALSE)&lt;1,"Moderada",IF(VLOOKUP(BQ93,Fundamentus!A:U,20,FALSE)&lt;2,"Alerta",IF(VLOOKUP(BQ93,Fundamentus!A:U,20,FALSE)&gt;2,"Alta","n/a"))))</f>
        <v>Baixa</v>
      </c>
      <c r="FA93" s="10"/>
    </row>
    <row r="94" spans="1:157" s="2" customFormat="1" ht="11.25" hidden="1" x14ac:dyDescent="0.2">
      <c r="A94" s="4">
        <v>59.17</v>
      </c>
      <c r="B94" s="4">
        <v>52.7</v>
      </c>
      <c r="C94" s="4">
        <v>51.45</v>
      </c>
      <c r="D94" s="4">
        <v>48.94</v>
      </c>
      <c r="E94" s="4">
        <v>48.66</v>
      </c>
      <c r="F94" s="4">
        <v>48.65</v>
      </c>
      <c r="G94" s="4">
        <v>48.97</v>
      </c>
      <c r="H94" s="4">
        <v>48.85</v>
      </c>
      <c r="I94" s="4">
        <v>56.98</v>
      </c>
      <c r="J94" s="4">
        <v>54.75</v>
      </c>
      <c r="K94" s="4">
        <v>52.3</v>
      </c>
      <c r="L94" s="4">
        <v>53.6</v>
      </c>
      <c r="M94" s="4">
        <v>51.79</v>
      </c>
      <c r="N94" s="4">
        <v>53</v>
      </c>
      <c r="O94" s="4">
        <v>54.5</v>
      </c>
      <c r="P94" s="4">
        <v>54.38</v>
      </c>
      <c r="Q94" s="4">
        <v>56.08</v>
      </c>
      <c r="R94" s="4">
        <v>55</v>
      </c>
      <c r="S94" s="4">
        <v>54.37</v>
      </c>
      <c r="T94" s="4">
        <v>54.29</v>
      </c>
      <c r="U94" s="4">
        <v>52.34</v>
      </c>
      <c r="V94" s="4">
        <v>54.38</v>
      </c>
      <c r="W94" s="4">
        <v>55.75</v>
      </c>
      <c r="X94" s="4">
        <v>54.2</v>
      </c>
      <c r="Y94" s="4">
        <v>57.42</v>
      </c>
      <c r="Z94" s="4">
        <v>59</v>
      </c>
      <c r="AA94" s="4">
        <v>59.99</v>
      </c>
      <c r="AB94" s="4">
        <v>58.4</v>
      </c>
      <c r="AC94" s="4">
        <v>60.55</v>
      </c>
      <c r="AD94" s="4">
        <v>60.7</v>
      </c>
      <c r="AE94" s="4">
        <v>62.4</v>
      </c>
      <c r="AF94" s="4">
        <v>65.430000000000007</v>
      </c>
      <c r="AG94" s="4">
        <v>62.42</v>
      </c>
      <c r="AH94" s="4">
        <v>61.24</v>
      </c>
      <c r="AI94" s="4">
        <v>61.59</v>
      </c>
      <c r="AJ94" s="4">
        <v>62.68</v>
      </c>
      <c r="AK94" s="4">
        <v>61.44</v>
      </c>
      <c r="AL94" s="4">
        <v>62.28</v>
      </c>
      <c r="AM94" s="4">
        <v>62.76</v>
      </c>
      <c r="AN94" s="4">
        <v>62.37</v>
      </c>
      <c r="AO94" s="4">
        <v>59.52</v>
      </c>
      <c r="AP94" s="4">
        <v>58.85</v>
      </c>
      <c r="AQ94" s="4">
        <v>57.5</v>
      </c>
      <c r="AR94" s="4">
        <v>56.31</v>
      </c>
      <c r="AS94" s="4">
        <v>55.34</v>
      </c>
      <c r="AT94" s="4">
        <v>54.14</v>
      </c>
      <c r="AU94" s="4">
        <v>55.209999999999987</v>
      </c>
      <c r="AV94" s="4">
        <v>53.2</v>
      </c>
      <c r="AW94" s="4">
        <v>50.9</v>
      </c>
      <c r="AX94" s="4">
        <v>51.64</v>
      </c>
      <c r="AY94" s="12">
        <v>51.84</v>
      </c>
      <c r="AZ94" s="12">
        <v>51.28</v>
      </c>
      <c r="BA94" s="12">
        <v>50.08</v>
      </c>
      <c r="BB94" s="15">
        <v>51.47</v>
      </c>
      <c r="BC94" s="52">
        <v>53.82</v>
      </c>
      <c r="BD94" s="52">
        <v>52.96</v>
      </c>
      <c r="BE94" s="52">
        <v>49.65</v>
      </c>
      <c r="BF94" s="52">
        <v>53.42</v>
      </c>
      <c r="BG94" s="67">
        <v>54.11</v>
      </c>
      <c r="BH94" s="52">
        <v>51.87</v>
      </c>
      <c r="BI94" s="52">
        <v>51.15</v>
      </c>
      <c r="BJ94" s="52">
        <v>51.95</v>
      </c>
      <c r="BK94" s="52">
        <v>49.74</v>
      </c>
      <c r="BL94" s="52">
        <v>50.61</v>
      </c>
      <c r="BM94" s="52">
        <v>52.57</v>
      </c>
      <c r="BN94" s="52">
        <v>51.74</v>
      </c>
      <c r="BO94" s="52">
        <v>54.52</v>
      </c>
      <c r="BP94" s="52" cm="1">
        <f t="array" aca="1" ref="BP94" ca="1">_FV(ED94,"Preço")</f>
        <v>53.33</v>
      </c>
      <c r="BQ94" s="69" t="s">
        <v>91</v>
      </c>
      <c r="BR94" s="36" cm="1">
        <f t="array" aca="1" ref="BR94" ca="1">_FV(ED94,"Média de volume",TRUE)</f>
        <v>4663700</v>
      </c>
      <c r="BS94" s="36">
        <v>5482500</v>
      </c>
      <c r="BT94" s="36" cm="1">
        <f t="array" aca="1" ref="BT94" ca="1">_FV(ED94,"Volume")</f>
        <v>5945100</v>
      </c>
      <c r="BU94" s="24" cm="1">
        <f t="array" aca="1" ref="BU94" ca="1">_FV(ED94,"Beta")</f>
        <v>0.39190000000000003</v>
      </c>
      <c r="BV94" s="71" cm="1">
        <f t="array" aca="1" ref="BV94" ca="1">_FV(ED94,"Variação (%)",TRUE)</f>
        <v>-1.0759000000000001E-2</v>
      </c>
      <c r="BX94" s="17" cm="1">
        <f t="array" aca="1" ref="BX94" ca="1">_FV(ED94,"Baixo")</f>
        <v>53.23</v>
      </c>
      <c r="BY94" s="17" cm="1">
        <f t="array" aca="1" ref="BY94" ca="1">_FV(ED94,"Alto")</f>
        <v>54.67</v>
      </c>
      <c r="BZ94" s="24"/>
      <c r="CA94" s="63" t="e">
        <f ca="1">SQRT(22.5*(BP94/VLOOKUP(BQ94,Fundamentus!A:U,3,FALSE))*(BP94/VLOOKUP(BQ94,Fundamentus!A:U,4,FALSE)))</f>
        <v>#NUM!</v>
      </c>
      <c r="CC94" s="62">
        <f t="shared" ca="1" si="112"/>
        <v>-2.1826852531181305E-2</v>
      </c>
      <c r="CD94" s="8"/>
      <c r="CE94" s="61">
        <f t="shared" si="113"/>
        <v>48.65</v>
      </c>
      <c r="CF94" s="61">
        <f t="shared" si="114"/>
        <v>65.430000000000007</v>
      </c>
      <c r="CG94" s="61">
        <f t="shared" si="115"/>
        <v>55.091940298507474</v>
      </c>
      <c r="CH94" s="14"/>
      <c r="CI94" s="35">
        <f t="shared" si="98"/>
        <v>51.780685245016784</v>
      </c>
      <c r="CJ94" s="15">
        <f t="shared" si="116"/>
        <v>55.085000000000036</v>
      </c>
      <c r="CK94" s="35">
        <f t="shared" si="99"/>
        <v>58.389314754983289</v>
      </c>
      <c r="CM94" s="14"/>
      <c r="CN94" s="17">
        <f t="shared" si="100"/>
        <v>30.190000000000005</v>
      </c>
      <c r="CO94" s="17">
        <f t="shared" si="101"/>
        <v>39.42</v>
      </c>
      <c r="CP94" s="17">
        <f t="shared" si="102"/>
        <v>46.970000000000013</v>
      </c>
      <c r="CQ94" s="38">
        <f t="shared" si="117"/>
        <v>56.20000000000001</v>
      </c>
      <c r="CR94" s="17">
        <f t="shared" si="103"/>
        <v>63.750000000000021</v>
      </c>
      <c r="CS94" s="17">
        <f t="shared" si="104"/>
        <v>72.980000000000018</v>
      </c>
      <c r="CT94" s="17">
        <f t="shared" si="105"/>
        <v>80.53000000000003</v>
      </c>
      <c r="CU94" s="2" cm="1">
        <f t="array" aca="1" ref="CU94" ca="1">MAX(_xlfn._xlws.FILTER(CN94:CT94,CN94:CT94&lt;BP94))</f>
        <v>46.970000000000013</v>
      </c>
      <c r="CV94" s="2" cm="1">
        <f t="array" aca="1" ref="CV94" ca="1">MIN(_xlfn._xlws.FILTER($CN94:$CT94,$CN94:$CT94&gt;BP94))</f>
        <v>56.20000000000001</v>
      </c>
      <c r="CW94" s="16">
        <f t="shared" ca="1" si="119"/>
        <v>0.19650840962316352</v>
      </c>
      <c r="CX94" s="20">
        <f t="shared" ca="1" si="120"/>
        <v>-9.8254204811581758E-2</v>
      </c>
      <c r="CY94" s="20">
        <f t="shared" ca="1" si="121"/>
        <v>-6.5502803207721172E-2</v>
      </c>
      <c r="CZ94" s="20">
        <f t="shared" ca="1" si="122"/>
        <v>-3.9301681924632702E-2</v>
      </c>
      <c r="DA94" s="20">
        <f t="shared" ca="1" si="123"/>
        <v>-2.1834267735907058E-2</v>
      </c>
      <c r="DB94" s="20">
        <f t="shared" ca="1" si="124"/>
        <v>-1.1559318213127265E-2</v>
      </c>
      <c r="DC94" s="20">
        <f t="shared" ca="1" si="125"/>
        <v>-5.9548002916110154E-3</v>
      </c>
      <c r="DD94" s="20">
        <f t="shared" ca="1" si="126"/>
        <v>-3.0232063018948234E-3</v>
      </c>
      <c r="DE94" s="21">
        <f t="shared" ca="1" si="127"/>
        <v>3.0232063018948234E-3</v>
      </c>
      <c r="DF94" s="21">
        <f t="shared" ca="1" si="128"/>
        <v>5.9548002916110154E-3</v>
      </c>
      <c r="DG94" s="21">
        <f t="shared" ca="1" si="129"/>
        <v>1.1559318213127265E-2</v>
      </c>
      <c r="DH94" s="21">
        <f t="shared" ca="1" si="130"/>
        <v>2.1834267735907058E-2</v>
      </c>
      <c r="DI94" s="21">
        <f t="shared" ca="1" si="131"/>
        <v>3.9301681924632702E-2</v>
      </c>
      <c r="DJ94" s="21">
        <f t="shared" ca="1" si="132"/>
        <v>6.5502803207721172E-2</v>
      </c>
      <c r="DK94" s="21">
        <f t="shared" ca="1" si="133"/>
        <v>9.8254204811581758E-2</v>
      </c>
      <c r="DM94" s="16" cm="1">
        <f t="array" aca="1" ref="DM94" ca="1">MAX(_xlfn._xlws.FILTER(CX94:DK94,CX94:DK94&lt;BV94))</f>
        <v>-1.1559318213127265E-2</v>
      </c>
      <c r="DN94" s="16" cm="1">
        <f t="array" aca="1" ref="DN94" ca="1">MIN(_xlfn._xlws.FILTER(CX94:DK94,CX94:DK94&gt;BV94))</f>
        <v>-5.9548002916110154E-3</v>
      </c>
      <c r="DO94" s="2" cm="1">
        <f t="array" aca="1" ref="DO94" ca="1">_FV(ED94,"Fechamento anterior",TRUE)</f>
        <v>53.91</v>
      </c>
      <c r="DP94" s="28">
        <f t="shared" ca="1" si="106"/>
        <v>0.14285730973314656</v>
      </c>
      <c r="DQ94" s="15">
        <f t="shared" ca="1" si="134"/>
        <v>53.286837155130307</v>
      </c>
      <c r="DR94" s="15">
        <f t="shared" ca="1" si="135"/>
        <v>53.588976716279248</v>
      </c>
      <c r="DS94" s="9"/>
      <c r="DT94" s="9"/>
      <c r="DU94" s="9"/>
      <c r="DV94" s="89">
        <v>5.6045179215162494E-3</v>
      </c>
      <c r="DW94" s="89">
        <f t="shared" ca="1" si="107"/>
        <v>5.6045179215162494E-3</v>
      </c>
      <c r="DX94" s="72">
        <f t="shared" ca="1" si="108"/>
        <v>-0.53112373673038094</v>
      </c>
      <c r="DY94" s="37"/>
      <c r="DZ94" s="35">
        <f t="shared" si="118"/>
        <v>1.6521573774916245</v>
      </c>
      <c r="EA94" s="56"/>
      <c r="EB94" s="56"/>
      <c r="ED94" s="2" t="e" vm="94">
        <v>#VALUE!</v>
      </c>
      <c r="EF94" s="10" cm="1">
        <f t="array" aca="1" ref="EF94" ca="1">_FV(ED94,"Ações em circulação",TRUE)</f>
        <v>1264118000</v>
      </c>
      <c r="EG94" s="18">
        <f>VLOOKUP(BQ94,Fundamentus!A:U,5,FALSE)</f>
        <v>1.3220000000000001</v>
      </c>
      <c r="EH94" s="2">
        <f t="shared" ca="1" si="109"/>
        <v>50995017352.496216</v>
      </c>
      <c r="EI94" s="17">
        <v>-964458923.72163379</v>
      </c>
      <c r="EJ94" s="17">
        <f t="shared" ca="1" si="110"/>
        <v>-943407821.02117991</v>
      </c>
      <c r="EL94" s="16">
        <f t="shared" ca="1" si="97"/>
        <v>-2.1826852531181218E-2</v>
      </c>
      <c r="EM94" s="32" t="str">
        <f>IF(VLOOKUP(BQ94,Fundamentus!A:U,3,FALSE)&lt;15,"Bom",IF(VLOOKUP(BQ94,Fundamentus!A:U,3,FALSE)&gt;15,"Ruim","n/a"))</f>
        <v>Bom</v>
      </c>
      <c r="EN94" s="28" t="str">
        <f>IF(VLOOKUP(BQ94,Fundamentus!A:U,4,FALSE)&lt;1,"Baixo",IF(VLOOKUP(BQ94,Fundamentus!A:U,4,FALSE)&lt;1.5,"Moderado",IF(VLOOKUP(BQ94,Fundamentus!A:U,4,FALSE)&gt;1.5,"Alto","n/a")))</f>
        <v>Alto</v>
      </c>
      <c r="EO94" s="17" t="str">
        <f>IF(VLOOKUP(BQ94,Fundamentus!A:U,8,FALSE)&lt;0,"Risco elevado",IF(VLOOKUP(BQ94,Fundamentus!A:U,8,FALSE)&lt;1,"Saudável",IF(VLOOKUP(BQ94,Fundamentus!A:U,8,FALSE)&lt;3,"Estável",IF(VLOOKUP(BQ94,Fundamentus!A:U,8,FALSE)&gt;3,"Alerta","n/a"))))</f>
        <v>Alerta</v>
      </c>
      <c r="EP94" s="28" t="str">
        <f t="shared" si="111"/>
        <v>Bom</v>
      </c>
      <c r="EQ94" s="17" t="str">
        <f>IF(VLOOKUP(BQ94,Fundamentus!A:U,12,FALSE)&lt;2,"Subvalorizada",IF(VLOOKUP(BQ94,Fundamentus!A:U,12,FALSE)&lt;6,"Muita barata",IF(VLOOKUP(BQ94,Fundamentus!A:U,12,FALSE)&lt;6,"Barata",IF(VLOOKUP(BQ94,Fundamentus!A:U,12,FALSE)&lt;8,"Atrativa",IF(VLOOKUP(BQ94,Fundamentus!A:U,12,FALSE)&gt;8,"Supervalorizada","n/a")))))</f>
        <v>Muita barata</v>
      </c>
      <c r="ES94" s="17" t="str">
        <f>IF(VLOOKUP(BQ94,Fundamentus!A:U,17,FALSE)&lt;0.1,"Fraco retorno",IF(VLOOKUP(BQ94,Fundamentus!A:U,17,FALSE)&gt;0.1,"Bom retorno","n/a"))</f>
        <v>Fraco retorno</v>
      </c>
      <c r="ET94" s="17" t="str">
        <f>IF(VLOOKUP(BQ94,Fundamentus!A:U,16,FALSE)&lt;0.1,"Ineficiente",IF(VLOOKUP(BQ94,Fundamentus!A:U,16,FALSE)&gt;0.1,"Eficiente","n/a"))</f>
        <v>Eficiente</v>
      </c>
      <c r="EU94" s="33" t="str">
        <f>IF(VLOOKUP(BQ94,Fundamentus!A:U,16,FALSE)&lt;0.1,"Oper. Ineficiente",IF(VLOOKUP(BQ94,Fundamentus!A:U,16,FALSE)&gt;0.1,"Oper.Eficiente","n/a"))</f>
        <v>Oper.Eficiente</v>
      </c>
      <c r="EV94" s="34">
        <f>VLOOKUP(BQ94,Fundamentus!A:U,14,FALSE)</f>
        <v>-1.8499999999999999E-2</v>
      </c>
      <c r="EW94" s="17" t="str">
        <f>IF(VLOOKUP(BQ94,Fundamentus!A:U,21,FALSE)&lt;0,"Negativo",IF(VLOOKUP(BQ94,Fundamentus!A:U,21,FALSE)&lt;0.05,"Fraco",IF(VLOOKUP(BQ94,Fundamentus!A:U,21,FALSE)&lt;0.1,"Bom",IF(VLOOKUP(BQ94,Fundamentus!A:U,21,FALSE)&gt;0.1,"Muito bom","n/a"))))</f>
        <v>Bom</v>
      </c>
      <c r="EY94" s="29" t="str">
        <f>IF(VLOOKUP(BQ94,Fundamentus!A:U,15,FALSE)&gt;1,"Bom",IF(VLOOKUP(BQ94,Fundamentus!A:U,15,FALSE)&lt;1,"Ruim","n/a"))</f>
        <v>Bom</v>
      </c>
      <c r="EZ94" s="17" t="str">
        <f>IF(VLOOKUP(BQ94,Fundamentus!A:U,20,FALSE)&lt;0.5,"Baixa",IF(VLOOKUP(BQ94,Fundamentus!A:U,20,FALSE)&lt;1,"Moderada",IF(VLOOKUP(BQ94,Fundamentus!A:U,20,FALSE)&lt;2,"Alerta",IF(VLOOKUP(BQ94,Fundamentus!A:U,20,FALSE)&gt;2,"Alta","n/a"))))</f>
        <v>Alta</v>
      </c>
      <c r="FA94" s="10"/>
    </row>
    <row r="95" spans="1:157" s="2" customFormat="1" ht="11.25" hidden="1" x14ac:dyDescent="0.2">
      <c r="A95" s="4">
        <v>26</v>
      </c>
      <c r="B95" s="4">
        <v>28.65</v>
      </c>
      <c r="C95" s="4">
        <v>26.34</v>
      </c>
      <c r="D95" s="4">
        <v>26.69</v>
      </c>
      <c r="E95" s="4">
        <v>26.89</v>
      </c>
      <c r="F95" s="4">
        <v>27.6</v>
      </c>
      <c r="G95" s="4">
        <v>26.4</v>
      </c>
      <c r="H95" s="4">
        <v>26.2</v>
      </c>
      <c r="I95" s="4">
        <v>27.65</v>
      </c>
      <c r="J95" s="4">
        <v>28.31</v>
      </c>
      <c r="K95" s="4">
        <v>29.65</v>
      </c>
      <c r="L95" s="4">
        <v>31</v>
      </c>
      <c r="M95" s="4">
        <v>33.75</v>
      </c>
      <c r="N95" s="4">
        <v>34.1</v>
      </c>
      <c r="O95" s="4">
        <v>36.6</v>
      </c>
      <c r="P95" s="4">
        <v>36.71</v>
      </c>
      <c r="Q95" s="4">
        <v>38.86</v>
      </c>
      <c r="R95" s="4">
        <v>39</v>
      </c>
      <c r="S95" s="4">
        <v>39.18</v>
      </c>
      <c r="T95" s="4">
        <v>41.9</v>
      </c>
      <c r="U95" s="4">
        <v>41.56</v>
      </c>
      <c r="V95" s="4">
        <v>40.200000000000003</v>
      </c>
      <c r="W95" s="4">
        <v>38.909999999999997</v>
      </c>
      <c r="X95" s="4">
        <v>39.58</v>
      </c>
      <c r="Y95" s="4">
        <v>38.39</v>
      </c>
      <c r="Z95" s="4">
        <v>41.07</v>
      </c>
      <c r="AA95" s="4">
        <v>43.87</v>
      </c>
      <c r="AB95" s="4">
        <v>38.69</v>
      </c>
      <c r="AC95" s="4">
        <v>37.369999999999997</v>
      </c>
      <c r="AD95" s="4">
        <v>40.75</v>
      </c>
      <c r="AE95" s="4">
        <v>39.700000000000003</v>
      </c>
      <c r="AF95" s="4">
        <v>39.56</v>
      </c>
      <c r="AG95" s="4">
        <v>37.14</v>
      </c>
      <c r="AH95" s="4">
        <v>36.6</v>
      </c>
      <c r="AI95" s="4">
        <v>37.53</v>
      </c>
      <c r="AJ95" s="4">
        <v>38.78</v>
      </c>
      <c r="AK95" s="4">
        <v>37.21</v>
      </c>
      <c r="AL95" s="4">
        <v>37.22</v>
      </c>
      <c r="AM95" s="4">
        <v>38.090000000000003</v>
      </c>
      <c r="AN95" s="4">
        <v>38.15</v>
      </c>
      <c r="AO95" s="4">
        <v>37.86</v>
      </c>
      <c r="AP95" s="4">
        <v>38.58</v>
      </c>
      <c r="AQ95" s="4">
        <v>38.49</v>
      </c>
      <c r="AR95" s="4">
        <v>37.51</v>
      </c>
      <c r="AS95" s="4">
        <v>37.78</v>
      </c>
      <c r="AT95" s="4">
        <v>37.200000000000003</v>
      </c>
      <c r="AU95" s="4">
        <v>37.744999999999997</v>
      </c>
      <c r="AV95" s="4">
        <v>37.21</v>
      </c>
      <c r="AW95" s="4">
        <v>34.479999999999997</v>
      </c>
      <c r="AX95" s="4">
        <v>32.33</v>
      </c>
      <c r="AY95" s="12">
        <v>33.32</v>
      </c>
      <c r="AZ95" s="12">
        <v>34.68</v>
      </c>
      <c r="BA95" s="12">
        <v>35.28</v>
      </c>
      <c r="BB95" s="15">
        <v>33.08</v>
      </c>
      <c r="BC95" s="52">
        <v>37.44</v>
      </c>
      <c r="BD95" s="52">
        <v>39.47</v>
      </c>
      <c r="BE95" s="52">
        <v>39.590000000000003</v>
      </c>
      <c r="BF95" s="52">
        <v>39.68</v>
      </c>
      <c r="BG95" s="67">
        <v>40.6</v>
      </c>
      <c r="BH95" s="52">
        <v>40</v>
      </c>
      <c r="BI95" s="52">
        <v>40.01</v>
      </c>
      <c r="BJ95" s="52">
        <v>39.5</v>
      </c>
      <c r="BK95" s="52">
        <v>39.159999999999997</v>
      </c>
      <c r="BL95" s="52">
        <v>38.61</v>
      </c>
      <c r="BM95" s="52">
        <v>39.130000000000003</v>
      </c>
      <c r="BN95" s="52">
        <v>41.5</v>
      </c>
      <c r="BO95" s="52">
        <v>41.65</v>
      </c>
      <c r="BP95" s="52" cm="1">
        <f t="array" aca="1" ref="BP95" ca="1">_FV(ED95,"Preço")</f>
        <v>42.95</v>
      </c>
      <c r="BQ95" s="70" t="s">
        <v>92</v>
      </c>
      <c r="BR95" s="36" cm="1">
        <f t="array" aca="1" ref="BR95" ca="1">_FV(ED95,"Média de volume",TRUE)</f>
        <v>15690</v>
      </c>
      <c r="BS95" s="36">
        <v>14100</v>
      </c>
      <c r="BT95" s="36" cm="1">
        <f t="array" aca="1" ref="BT95" ca="1">_FV(ED95,"Volume")</f>
        <v>17900</v>
      </c>
      <c r="BU95" s="24" cm="1">
        <f t="array" aca="1" ref="BU95" ca="1">_FV(ED95,"Beta")</f>
        <v>0.15290000000000001</v>
      </c>
      <c r="BV95" s="71" cm="1">
        <f t="array" aca="1" ref="BV95" ca="1">_FV(ED95,"Variação (%)",TRUE)</f>
        <v>2.9975999999999999E-2</v>
      </c>
      <c r="BX95" s="17" cm="1">
        <f t="array" aca="1" ref="BX95" ca="1">_FV(ED95,"Baixo")</f>
        <v>41.43</v>
      </c>
      <c r="BY95" s="17" cm="1">
        <f t="array" aca="1" ref="BY95" ca="1">_FV(ED95,"Alto")</f>
        <v>43.48</v>
      </c>
      <c r="BZ95" s="24"/>
      <c r="CA95" s="63">
        <f ca="1">SQRT(22.5*(BP95/VLOOKUP(BQ95,Fundamentus!A:U,3,FALSE))*(BP95/VLOOKUP(BQ95,Fundamentus!A:U,4,FALSE)))</f>
        <v>61.566911478821936</v>
      </c>
      <c r="CC95" s="62">
        <f t="shared" ca="1" si="112"/>
        <v>3.1212484993997702E-2</v>
      </c>
      <c r="CD95" s="8"/>
      <c r="CE95" s="61">
        <f t="shared" si="113"/>
        <v>26</v>
      </c>
      <c r="CF95" s="61">
        <f t="shared" si="114"/>
        <v>43.87</v>
      </c>
      <c r="CG95" s="61">
        <f t="shared" si="115"/>
        <v>36.32440298507462</v>
      </c>
      <c r="CH95" s="14"/>
      <c r="CI95" s="35">
        <f t="shared" si="98"/>
        <v>40.507862585790349</v>
      </c>
      <c r="CJ95" s="15">
        <f t="shared" si="116"/>
        <v>43.094999999999345</v>
      </c>
      <c r="CK95" s="35">
        <f t="shared" si="99"/>
        <v>45.682137414208341</v>
      </c>
      <c r="CM95" s="14"/>
      <c r="CN95" s="17">
        <f t="shared" si="100"/>
        <v>12.606666666666683</v>
      </c>
      <c r="CO95" s="17">
        <f t="shared" si="101"/>
        <v>19.303333333333342</v>
      </c>
      <c r="CP95" s="17">
        <f t="shared" si="102"/>
        <v>30.476666666666681</v>
      </c>
      <c r="CQ95" s="38">
        <f t="shared" si="117"/>
        <v>37.173333333333339</v>
      </c>
      <c r="CR95" s="17">
        <f t="shared" si="103"/>
        <v>48.346666666666678</v>
      </c>
      <c r="CS95" s="17">
        <f t="shared" si="104"/>
        <v>55.043333333333337</v>
      </c>
      <c r="CT95" s="17">
        <f t="shared" si="105"/>
        <v>66.216666666666669</v>
      </c>
      <c r="CU95" s="2" cm="1">
        <f t="array" aca="1" ref="CU95" ca="1">MAX(_xlfn._xlws.FILTER(CN95:CT95,CN95:CT95&lt;BP95))</f>
        <v>37.173333333333339</v>
      </c>
      <c r="CV95" s="2" cm="1">
        <f t="array" aca="1" ref="CV95" ca="1">MIN(_xlfn._xlws.FILTER($CN95:$CT95,$CN95:$CT95&gt;BP95))</f>
        <v>48.346666666666678</v>
      </c>
      <c r="CW95" s="16">
        <f t="shared" ca="1" si="119"/>
        <v>0.30057388809182228</v>
      </c>
      <c r="CX95" s="20">
        <f t="shared" ca="1" si="120"/>
        <v>-0.15028694404591114</v>
      </c>
      <c r="CY95" s="20">
        <f t="shared" ca="1" si="121"/>
        <v>-0.10019129603060743</v>
      </c>
      <c r="CZ95" s="20">
        <f t="shared" ca="1" si="122"/>
        <v>-6.0114777618364458E-2</v>
      </c>
      <c r="DA95" s="20">
        <f t="shared" ca="1" si="123"/>
        <v>-3.3397098676869144E-2</v>
      </c>
      <c r="DB95" s="20">
        <f t="shared" ca="1" si="124"/>
        <v>-1.768081694657778E-2</v>
      </c>
      <c r="DC95" s="20">
        <f t="shared" ca="1" si="125"/>
        <v>-9.1082996391461304E-3</v>
      </c>
      <c r="DD95" s="20">
        <f t="shared" ca="1" si="126"/>
        <v>-4.6242136629511118E-3</v>
      </c>
      <c r="DE95" s="21">
        <f t="shared" ca="1" si="127"/>
        <v>4.6242136629511118E-3</v>
      </c>
      <c r="DF95" s="21">
        <f t="shared" ca="1" si="128"/>
        <v>9.1082996391461304E-3</v>
      </c>
      <c r="DG95" s="21">
        <f t="shared" ca="1" si="129"/>
        <v>1.768081694657778E-2</v>
      </c>
      <c r="DH95" s="21">
        <f t="shared" ca="1" si="130"/>
        <v>3.3397098676869144E-2</v>
      </c>
      <c r="DI95" s="21">
        <f t="shared" ca="1" si="131"/>
        <v>6.0114777618364458E-2</v>
      </c>
      <c r="DJ95" s="21">
        <f t="shared" ca="1" si="132"/>
        <v>0.10019129603060743</v>
      </c>
      <c r="DK95" s="21">
        <f t="shared" ca="1" si="133"/>
        <v>0.15028694404591114</v>
      </c>
      <c r="DM95" s="16" cm="1">
        <f t="array" aca="1" ref="DM95" ca="1">MAX(_xlfn._xlws.FILTER(CX95:DK95,CX95:DK95&lt;BV95))</f>
        <v>1.768081694657778E-2</v>
      </c>
      <c r="DN95" s="16" cm="1">
        <f t="array" aca="1" ref="DN95" ca="1">MIN(_xlfn._xlws.FILTER(CX95:DK95,CX95:DK95&gt;BV95))</f>
        <v>3.3397098676869144E-2</v>
      </c>
      <c r="DO95" s="2" cm="1">
        <f t="array" aca="1" ref="DO95" ca="1">_FV(ED95,"Fechamento anterior",TRUE)</f>
        <v>41.7</v>
      </c>
      <c r="DP95" s="28">
        <f t="shared" ca="1" si="106"/>
        <v>0.78232259061486076</v>
      </c>
      <c r="DQ95" s="15">
        <f t="shared" ca="1" si="134"/>
        <v>42.437290066672297</v>
      </c>
      <c r="DR95" s="15">
        <f t="shared" ca="1" si="135"/>
        <v>43.092659014825443</v>
      </c>
      <c r="DS95" s="9"/>
      <c r="DT95" s="9"/>
      <c r="DU95" s="9"/>
      <c r="DV95" s="89">
        <v>2.6717678941495314E-2</v>
      </c>
      <c r="DW95" s="89">
        <f t="shared" ca="1" si="107"/>
        <v>1.5716281730291364E-2</v>
      </c>
      <c r="DX95" s="72">
        <f t="shared" ca="1" si="108"/>
        <v>-5.6046501126294182E-2</v>
      </c>
      <c r="DY95" s="37"/>
      <c r="DZ95" s="35">
        <f t="shared" si="118"/>
        <v>1.293568707104497</v>
      </c>
      <c r="EA95" s="56"/>
      <c r="EB95" s="56"/>
      <c r="ED95" s="2" t="e" vm="95">
        <v>#VALUE!</v>
      </c>
      <c r="EF95" s="10" cm="1">
        <f t="array" aca="1" ref="EF95" ca="1">_FV(ED95,"Ações em circulação",TRUE)</f>
        <v>104831600</v>
      </c>
      <c r="EG95" s="18">
        <f>VLOOKUP(BQ95,Fundamentus!A:U,5,FALSE)</f>
        <v>0</v>
      </c>
      <c r="EH95" s="2" t="e">
        <f t="shared" ca="1" si="109"/>
        <v>#DIV/0!</v>
      </c>
      <c r="EI95" s="17" t="e">
        <v>#DIV/0!</v>
      </c>
      <c r="EJ95" s="17" t="e">
        <f t="shared" ca="1" si="110"/>
        <v>#DIV/0!</v>
      </c>
      <c r="EL95" s="16" t="e">
        <f t="shared" ca="1" si="97"/>
        <v>#DIV/0!</v>
      </c>
      <c r="EM95" s="32" t="str">
        <f>IF(VLOOKUP(BQ95,Fundamentus!A:U,3,FALSE)&lt;15,"Bom",IF(VLOOKUP(BQ95,Fundamentus!A:U,3,FALSE)&gt;15,"Ruim","n/a"))</f>
        <v>Bom</v>
      </c>
      <c r="EN95" s="28" t="str">
        <f>IF(VLOOKUP(BQ95,Fundamentus!A:U,4,FALSE)&lt;1,"Baixo",IF(VLOOKUP(BQ95,Fundamentus!A:U,4,FALSE)&lt;1.5,"Moderado",IF(VLOOKUP(BQ95,Fundamentus!A:U,4,FALSE)&gt;1.5,"Alto","n/a")))</f>
        <v>Alto</v>
      </c>
      <c r="EO95" s="17" t="str">
        <f>IF(VLOOKUP(BQ95,Fundamentus!A:U,8,FALSE)&lt;0,"Risco elevado",IF(VLOOKUP(BQ95,Fundamentus!A:U,8,FALSE)&lt;1,"Saudável",IF(VLOOKUP(BQ95,Fundamentus!A:U,8,FALSE)&lt;3,"Estável",IF(VLOOKUP(BQ95,Fundamentus!A:U,8,FALSE)&gt;3,"Alerta","n/a"))))</f>
        <v>Saudável</v>
      </c>
      <c r="EP95" s="28" t="str">
        <f t="shared" si="111"/>
        <v>Ruim</v>
      </c>
      <c r="EQ95" s="17" t="str">
        <f>IF(VLOOKUP(BQ95,Fundamentus!A:U,12,FALSE)&lt;2,"Subvalorizada",IF(VLOOKUP(BQ95,Fundamentus!A:U,12,FALSE)&lt;6,"Muita barata",IF(VLOOKUP(BQ95,Fundamentus!A:U,12,FALSE)&lt;6,"Barata",IF(VLOOKUP(BQ95,Fundamentus!A:U,12,FALSE)&lt;8,"Atrativa",IF(VLOOKUP(BQ95,Fundamentus!A:U,12,FALSE)&gt;8,"Supervalorizada","n/a")))))</f>
        <v>Subvalorizada</v>
      </c>
      <c r="ES95" s="17" t="str">
        <f>IF(VLOOKUP(BQ95,Fundamentus!A:U,17,FALSE)&lt;0.1,"Fraco retorno",IF(VLOOKUP(BQ95,Fundamentus!A:U,17,FALSE)&gt;0.1,"Bom retorno","n/a"))</f>
        <v>Bom retorno</v>
      </c>
      <c r="ET95" s="17" t="str">
        <f>IF(VLOOKUP(BQ95,Fundamentus!A:U,16,FALSE)&lt;0.1,"Ineficiente",IF(VLOOKUP(BQ95,Fundamentus!A:U,16,FALSE)&gt;0.1,"Eficiente","n/a"))</f>
        <v>Ineficiente</v>
      </c>
      <c r="EU95" s="33" t="str">
        <f>IF(VLOOKUP(BQ95,Fundamentus!A:U,16,FALSE)&lt;0.1,"Oper. Ineficiente",IF(VLOOKUP(BQ95,Fundamentus!A:U,16,FALSE)&gt;0.1,"Oper.Eficiente","n/a"))</f>
        <v>Oper. Ineficiente</v>
      </c>
      <c r="EV95" s="34">
        <f>VLOOKUP(BQ95,Fundamentus!A:U,14,FALSE)</f>
        <v>0</v>
      </c>
      <c r="EW95" s="17" t="str">
        <f>IF(VLOOKUP(BQ95,Fundamentus!A:U,21,FALSE)&lt;0,"Negativo",IF(VLOOKUP(BQ95,Fundamentus!A:U,21,FALSE)&lt;0.05,"Fraco",IF(VLOOKUP(BQ95,Fundamentus!A:U,21,FALSE)&lt;0.1,"Bom",IF(VLOOKUP(BQ95,Fundamentus!A:U,21,FALSE)&gt;0.1,"Muito bom","n/a"))))</f>
        <v>Muito bom</v>
      </c>
      <c r="EY95" s="29" t="str">
        <f>IF(VLOOKUP(BQ95,Fundamentus!A:U,15,FALSE)&gt;1,"Bom",IF(VLOOKUP(BQ95,Fundamentus!A:U,15,FALSE)&lt;1,"Ruim","n/a"))</f>
        <v>Ruim</v>
      </c>
      <c r="EZ95" s="17" t="str">
        <f>IF(VLOOKUP(BQ95,Fundamentus!A:U,20,FALSE)&lt;0.5,"Baixa",IF(VLOOKUP(BQ95,Fundamentus!A:U,20,FALSE)&lt;1,"Moderada",IF(VLOOKUP(BQ95,Fundamentus!A:U,20,FALSE)&lt;2,"Alerta",IF(VLOOKUP(BQ95,Fundamentus!A:U,20,FALSE)&gt;2,"Alta","n/a"))))</f>
        <v>Baixa</v>
      </c>
      <c r="FA95" s="10"/>
    </row>
    <row r="96" spans="1:157" s="2" customFormat="1" ht="11.25" hidden="1" x14ac:dyDescent="0.2">
      <c r="A96" s="4">
        <v>8.9</v>
      </c>
      <c r="B96" s="4">
        <v>8.26</v>
      </c>
      <c r="C96" s="4">
        <v>8.67</v>
      </c>
      <c r="D96" s="4">
        <v>8.35</v>
      </c>
      <c r="E96" s="4">
        <v>8.1300000000000008</v>
      </c>
      <c r="F96" s="4">
        <v>8.26</v>
      </c>
      <c r="G96" s="4">
        <v>8.33</v>
      </c>
      <c r="H96" s="4">
        <v>8.1999999999999993</v>
      </c>
      <c r="I96" s="4">
        <v>8.32</v>
      </c>
      <c r="J96" s="4">
        <v>8.65</v>
      </c>
      <c r="K96" s="4">
        <v>9.1</v>
      </c>
      <c r="L96" s="4">
        <v>8.94</v>
      </c>
      <c r="M96" s="4">
        <v>9.0500000000000007</v>
      </c>
      <c r="N96" s="4">
        <v>9.0399999999999991</v>
      </c>
      <c r="O96" s="4">
        <v>9.2899999999999991</v>
      </c>
      <c r="P96" s="4">
        <v>9.36</v>
      </c>
      <c r="Q96" s="4">
        <v>9.66</v>
      </c>
      <c r="R96" s="4">
        <v>9.3800000000000008</v>
      </c>
      <c r="S96" s="4">
        <v>9.65</v>
      </c>
      <c r="T96" s="4">
        <v>9.7899999999999991</v>
      </c>
      <c r="U96" s="4">
        <v>9.4</v>
      </c>
      <c r="V96" s="4">
        <v>9.09</v>
      </c>
      <c r="W96" s="4">
        <v>9</v>
      </c>
      <c r="X96" s="4">
        <v>9</v>
      </c>
      <c r="Y96" s="4">
        <v>8.7899999999999991</v>
      </c>
      <c r="Z96" s="4">
        <v>8.6999999999999993</v>
      </c>
      <c r="AA96" s="4">
        <v>8.52</v>
      </c>
      <c r="AB96" s="4">
        <v>8.3800000000000008</v>
      </c>
      <c r="AC96" s="4">
        <v>8.5399999999999991</v>
      </c>
      <c r="AD96" s="4">
        <v>8.36</v>
      </c>
      <c r="AE96" s="4">
        <v>8.66</v>
      </c>
      <c r="AF96" s="4">
        <v>8.6</v>
      </c>
      <c r="AG96" s="4">
        <v>8.26</v>
      </c>
      <c r="AH96" s="4">
        <v>8.14</v>
      </c>
      <c r="AI96" s="4">
        <v>8.26</v>
      </c>
      <c r="AJ96" s="4">
        <v>8.1</v>
      </c>
      <c r="AK96" s="4">
        <v>7.93</v>
      </c>
      <c r="AL96" s="4">
        <v>8.32</v>
      </c>
      <c r="AM96" s="4">
        <v>8.32</v>
      </c>
      <c r="AN96" s="4">
        <v>8.67</v>
      </c>
      <c r="AO96" s="4">
        <v>8.77</v>
      </c>
      <c r="AP96" s="4">
        <v>9.2899999999999991</v>
      </c>
      <c r="AQ96" s="4">
        <v>9.18</v>
      </c>
      <c r="AR96" s="4">
        <v>8.91</v>
      </c>
      <c r="AS96" s="4">
        <v>8.9</v>
      </c>
      <c r="AT96" s="4">
        <v>9.42</v>
      </c>
      <c r="AU96" s="4">
        <v>9.4699999999999989</v>
      </c>
      <c r="AV96" s="4">
        <v>9.44</v>
      </c>
      <c r="AW96" s="4">
        <v>9.56</v>
      </c>
      <c r="AX96" s="4">
        <v>9.6300000000000008</v>
      </c>
      <c r="AY96" s="12">
        <v>9.9600000000000009</v>
      </c>
      <c r="AZ96" s="12">
        <v>10.25</v>
      </c>
      <c r="BA96" s="12">
        <v>10.44</v>
      </c>
      <c r="BB96" s="15">
        <v>10.99</v>
      </c>
      <c r="BC96" s="52">
        <v>11.48</v>
      </c>
      <c r="BD96" s="52">
        <v>11.44</v>
      </c>
      <c r="BE96" s="52">
        <v>11.66</v>
      </c>
      <c r="BF96" s="52">
        <v>11.51</v>
      </c>
      <c r="BG96" s="67">
        <v>11.56</v>
      </c>
      <c r="BH96" s="52">
        <v>11.66</v>
      </c>
      <c r="BI96" s="52">
        <v>11.43</v>
      </c>
      <c r="BJ96" s="52">
        <v>11.55</v>
      </c>
      <c r="BK96" s="52">
        <v>11.21</v>
      </c>
      <c r="BL96" s="52">
        <v>11.11</v>
      </c>
      <c r="BM96" s="52">
        <v>10.89</v>
      </c>
      <c r="BN96" s="52">
        <v>11.18</v>
      </c>
      <c r="BO96" s="52">
        <v>11.47</v>
      </c>
      <c r="BP96" s="52" cm="1">
        <f t="array" aca="1" ref="BP96" ca="1">_FV(ED96,"Preço")</f>
        <v>11.29</v>
      </c>
      <c r="BQ96" s="69" t="s">
        <v>93</v>
      </c>
      <c r="BR96" s="36" cm="1">
        <f t="array" aca="1" ref="BR96" ca="1">_FV(ED96,"Média de volume",TRUE)</f>
        <v>15887970</v>
      </c>
      <c r="BS96" s="36">
        <v>6554100</v>
      </c>
      <c r="BT96" s="36" cm="1">
        <f t="array" aca="1" ref="BT96" ca="1">_FV(ED96,"Volume")</f>
        <v>3703800</v>
      </c>
      <c r="BU96" s="24" cm="1">
        <f t="array" aca="1" ref="BU96" ca="1">_FV(ED96,"Beta")</f>
        <v>0.84309999999999996</v>
      </c>
      <c r="BV96" s="71" cm="1">
        <f t="array" aca="1" ref="BV96" ca="1">_FV(ED96,"Variação (%)",TRUE)</f>
        <v>-4.4089999999999997E-3</v>
      </c>
      <c r="BX96" s="17" cm="1">
        <f t="array" aca="1" ref="BX96" ca="1">_FV(ED96,"Baixo")</f>
        <v>11.19</v>
      </c>
      <c r="BY96" s="17" cm="1">
        <f t="array" aca="1" ref="BY96" ca="1">_FV(ED96,"Alto")</f>
        <v>11.38</v>
      </c>
      <c r="BZ96" s="24"/>
      <c r="CA96" s="63">
        <f ca="1">SQRT(22.5*(BP96/VLOOKUP(BQ96,Fundamentus!A:U,3,FALSE))*(BP96/VLOOKUP(BQ96,Fundamentus!A:U,4,FALSE)))</f>
        <v>14.224063000913917</v>
      </c>
      <c r="CC96" s="62">
        <f t="shared" ca="1" si="112"/>
        <v>-1.5693112467306144E-2</v>
      </c>
      <c r="CD96" s="8"/>
      <c r="CE96" s="61">
        <f t="shared" si="113"/>
        <v>7.93</v>
      </c>
      <c r="CF96" s="61">
        <f t="shared" si="114"/>
        <v>11.66</v>
      </c>
      <c r="CG96" s="61">
        <f t="shared" si="115"/>
        <v>9.4138805970149235</v>
      </c>
      <c r="CH96" s="14"/>
      <c r="CI96" s="35">
        <f t="shared" si="98"/>
        <v>11.132248071769013</v>
      </c>
      <c r="CJ96" s="15">
        <f t="shared" si="116"/>
        <v>11.505000000000109</v>
      </c>
      <c r="CK96" s="35">
        <f t="shared" si="99"/>
        <v>11.877751928231206</v>
      </c>
      <c r="CM96" s="14"/>
      <c r="CN96" s="17">
        <f t="shared" si="100"/>
        <v>5.3166666666666664</v>
      </c>
      <c r="CO96" s="17">
        <f t="shared" si="101"/>
        <v>6.6233333333333331</v>
      </c>
      <c r="CP96" s="17">
        <f t="shared" si="102"/>
        <v>9.0466666666666669</v>
      </c>
      <c r="CQ96" s="38">
        <f t="shared" si="117"/>
        <v>10.353333333333333</v>
      </c>
      <c r="CR96" s="17">
        <f t="shared" si="103"/>
        <v>12.776666666666667</v>
      </c>
      <c r="CS96" s="17">
        <f t="shared" si="104"/>
        <v>14.083333333333334</v>
      </c>
      <c r="CT96" s="17">
        <f t="shared" si="105"/>
        <v>16.506666666666668</v>
      </c>
      <c r="CU96" s="2" cm="1">
        <f t="array" aca="1" ref="CU96" ca="1">MAX(_xlfn._xlws.FILTER(CN96:CT96,CN96:CT96&lt;BP96))</f>
        <v>10.353333333333333</v>
      </c>
      <c r="CV96" s="2" cm="1">
        <f t="array" aca="1" ref="CV96" ca="1">MIN(_xlfn._xlws.FILTER($CN96:$CT96,$CN96:$CT96&gt;BP96))</f>
        <v>12.776666666666667</v>
      </c>
      <c r="CW96" s="16">
        <f t="shared" ca="1" si="119"/>
        <v>0.23406310367031558</v>
      </c>
      <c r="CX96" s="20">
        <f t="shared" ca="1" si="120"/>
        <v>-0.11703155183515779</v>
      </c>
      <c r="CY96" s="20">
        <f t="shared" ca="1" si="121"/>
        <v>-7.8021034556771854E-2</v>
      </c>
      <c r="CZ96" s="20">
        <f t="shared" ca="1" si="122"/>
        <v>-4.6812620734063115E-2</v>
      </c>
      <c r="DA96" s="20">
        <f t="shared" ca="1" si="123"/>
        <v>-2.6007011518923952E-2</v>
      </c>
      <c r="DB96" s="20">
        <f t="shared" ca="1" si="124"/>
        <v>-1.376841786295974E-2</v>
      </c>
      <c r="DC96" s="20">
        <f t="shared" ca="1" si="125"/>
        <v>-7.0928213233428959E-3</v>
      </c>
      <c r="DD96" s="20">
        <f t="shared" ca="1" si="126"/>
        <v>-3.6009708256971628E-3</v>
      </c>
      <c r="DE96" s="21">
        <f t="shared" ca="1" si="127"/>
        <v>3.6009708256971628E-3</v>
      </c>
      <c r="DF96" s="21">
        <f t="shared" ca="1" si="128"/>
        <v>7.0928213233428959E-3</v>
      </c>
      <c r="DG96" s="21">
        <f t="shared" ca="1" si="129"/>
        <v>1.376841786295974E-2</v>
      </c>
      <c r="DH96" s="21">
        <f t="shared" ca="1" si="130"/>
        <v>2.6007011518923952E-2</v>
      </c>
      <c r="DI96" s="21">
        <f t="shared" ca="1" si="131"/>
        <v>4.6812620734063115E-2</v>
      </c>
      <c r="DJ96" s="21">
        <f t="shared" ca="1" si="132"/>
        <v>7.8021034556771854E-2</v>
      </c>
      <c r="DK96" s="21">
        <f t="shared" ca="1" si="133"/>
        <v>0.11703155183515779</v>
      </c>
      <c r="DM96" s="16" cm="1">
        <f t="array" aca="1" ref="DM96" ca="1">MAX(_xlfn._xlws.FILTER(CX96:DK96,CX96:DK96&lt;BV96))</f>
        <v>-7.0928213233428959E-3</v>
      </c>
      <c r="DN96" s="16" cm="1">
        <f t="array" aca="1" ref="DN96" ca="1">MIN(_xlfn._xlws.FILTER(CX96:DK96,CX96:DK96&gt;BV96))</f>
        <v>-3.6009708256971628E-3</v>
      </c>
      <c r="DO96" s="2" cm="1">
        <f t="array" aca="1" ref="DO96" ca="1">_FV(ED96,"Fechamento anterior",TRUE)</f>
        <v>11.34</v>
      </c>
      <c r="DP96" s="28">
        <f t="shared" ca="1" si="106"/>
        <v>0.76854672023170578</v>
      </c>
      <c r="DQ96" s="15">
        <f t="shared" ca="1" si="134"/>
        <v>11.259567406193291</v>
      </c>
      <c r="DR96" s="15">
        <f t="shared" ca="1" si="135"/>
        <v>11.299164990836594</v>
      </c>
      <c r="DS96" s="9"/>
      <c r="DT96" s="9"/>
      <c r="DU96" s="9"/>
      <c r="DV96" s="89">
        <v>3.4918504976457331E-3</v>
      </c>
      <c r="DW96" s="89">
        <f t="shared" ca="1" si="107"/>
        <v>3.4918504976457331E-3</v>
      </c>
      <c r="DX96" s="72">
        <f t="shared" ca="1" si="108"/>
        <v>-0.57679111418792073</v>
      </c>
      <c r="DY96" s="37"/>
      <c r="DZ96" s="35">
        <f t="shared" si="118"/>
        <v>0.18637596411554799</v>
      </c>
      <c r="EA96" s="56"/>
      <c r="EB96" s="56"/>
      <c r="ED96" s="2" t="e" vm="96">
        <v>#VALUE!</v>
      </c>
      <c r="EF96" s="10" cm="1">
        <f t="array" aca="1" ref="EF96" ca="1">_FV(ED96,"Ações em circulação",TRUE)</f>
        <v>2982811000</v>
      </c>
      <c r="EG96" s="18">
        <f>VLOOKUP(BQ96,Fundamentus!A:U,5,FALSE)</f>
        <v>1.4319999999999999</v>
      </c>
      <c r="EH96" s="2">
        <f t="shared" ca="1" si="109"/>
        <v>23516715216.480446</v>
      </c>
      <c r="EI96" s="17">
        <v>3027071999.2590785</v>
      </c>
      <c r="EJ96" s="17">
        <f t="shared" ca="1" si="110"/>
        <v>2979567817.9280725</v>
      </c>
      <c r="EL96" s="16">
        <f t="shared" ca="1" si="97"/>
        <v>-1.5693112467306203E-2</v>
      </c>
      <c r="EM96" s="32" t="str">
        <f>IF(VLOOKUP(BQ96,Fundamentus!A:U,3,FALSE)&lt;15,"Bom",IF(VLOOKUP(BQ96,Fundamentus!A:U,3,FALSE)&gt;15,"Ruim","n/a"))</f>
        <v>Bom</v>
      </c>
      <c r="EN96" s="28" t="str">
        <f>IF(VLOOKUP(BQ96,Fundamentus!A:U,4,FALSE)&lt;1,"Baixo",IF(VLOOKUP(BQ96,Fundamentus!A:U,4,FALSE)&lt;1.5,"Moderado",IF(VLOOKUP(BQ96,Fundamentus!A:U,4,FALSE)&gt;1.5,"Alto","n/a")))</f>
        <v>Moderado</v>
      </c>
      <c r="EO96" s="17" t="str">
        <f>IF(VLOOKUP(BQ96,Fundamentus!A:U,8,FALSE)&lt;0,"Risco elevado",IF(VLOOKUP(BQ96,Fundamentus!A:U,8,FALSE)&lt;1,"Saudável",IF(VLOOKUP(BQ96,Fundamentus!A:U,8,FALSE)&lt;3,"Estável",IF(VLOOKUP(BQ96,Fundamentus!A:U,8,FALSE)&gt;3,"Alerta","n/a"))))</f>
        <v>Alerta</v>
      </c>
      <c r="EP96" s="28" t="str">
        <f t="shared" si="111"/>
        <v>Bom</v>
      </c>
      <c r="EQ96" s="17" t="str">
        <f>IF(VLOOKUP(BQ96,Fundamentus!A:U,12,FALSE)&lt;2,"Subvalorizada",IF(VLOOKUP(BQ96,Fundamentus!A:U,12,FALSE)&lt;6,"Muita barata",IF(VLOOKUP(BQ96,Fundamentus!A:U,12,FALSE)&lt;6,"Barata",IF(VLOOKUP(BQ96,Fundamentus!A:U,12,FALSE)&lt;8,"Atrativa",IF(VLOOKUP(BQ96,Fundamentus!A:U,12,FALSE)&gt;8,"Supervalorizada","n/a")))))</f>
        <v>Supervalorizada</v>
      </c>
      <c r="ES96" s="17" t="str">
        <f>IF(VLOOKUP(BQ96,Fundamentus!A:U,17,FALSE)&lt;0.1,"Fraco retorno",IF(VLOOKUP(BQ96,Fundamentus!A:U,17,FALSE)&gt;0.1,"Bom retorno","n/a"))</f>
        <v>Bom retorno</v>
      </c>
      <c r="ET96" s="17" t="str">
        <f>IF(VLOOKUP(BQ96,Fundamentus!A:U,16,FALSE)&lt;0.1,"Ineficiente",IF(VLOOKUP(BQ96,Fundamentus!A:U,16,FALSE)&gt;0.1,"Eficiente","n/a"))</f>
        <v>Ineficiente</v>
      </c>
      <c r="EU96" s="33" t="str">
        <f>IF(VLOOKUP(BQ96,Fundamentus!A:U,16,FALSE)&lt;0.1,"Oper. Ineficiente",IF(VLOOKUP(BQ96,Fundamentus!A:U,16,FALSE)&gt;0.1,"Oper.Eficiente","n/a"))</f>
        <v>Oper. Ineficiente</v>
      </c>
      <c r="EV96" s="34">
        <f>VLOOKUP(BQ96,Fundamentus!A:U,14,FALSE)</f>
        <v>0.12670000000000001</v>
      </c>
      <c r="EW96" s="17" t="str">
        <f>IF(VLOOKUP(BQ96,Fundamentus!A:U,21,FALSE)&lt;0,"Negativo",IF(VLOOKUP(BQ96,Fundamentus!A:U,21,FALSE)&lt;0.05,"Fraco",IF(VLOOKUP(BQ96,Fundamentus!A:U,21,FALSE)&lt;0.1,"Bom",IF(VLOOKUP(BQ96,Fundamentus!A:U,21,FALSE)&gt;0.1,"Muito bom","n/a"))))</f>
        <v>Fraco</v>
      </c>
      <c r="EY96" s="29" t="str">
        <f>IF(VLOOKUP(BQ96,Fundamentus!A:U,15,FALSE)&gt;1,"Bom",IF(VLOOKUP(BQ96,Fundamentus!A:U,15,FALSE)&lt;1,"Ruim","n/a"))</f>
        <v>Bom</v>
      </c>
      <c r="EZ96" s="17" t="str">
        <f>IF(VLOOKUP(BQ96,Fundamentus!A:U,20,FALSE)&lt;0.5,"Baixa",IF(VLOOKUP(BQ96,Fundamentus!A:U,20,FALSE)&lt;1,"Moderada",IF(VLOOKUP(BQ96,Fundamentus!A:U,20,FALSE)&lt;2,"Alerta",IF(VLOOKUP(BQ96,Fundamentus!A:U,20,FALSE)&gt;2,"Alta","n/a"))))</f>
        <v>Moderada</v>
      </c>
      <c r="FA96" s="10"/>
    </row>
    <row r="97" spans="1:157" s="2" customFormat="1" ht="11.25" hidden="1" x14ac:dyDescent="0.2">
      <c r="A97" s="4">
        <v>42.01</v>
      </c>
      <c r="B97" s="4">
        <v>44.47</v>
      </c>
      <c r="C97" s="4">
        <v>38.57</v>
      </c>
      <c r="D97" s="4">
        <v>38.380000000000003</v>
      </c>
      <c r="E97" s="4">
        <v>40.700000000000003</v>
      </c>
      <c r="F97" s="4">
        <v>38.590000000000003</v>
      </c>
      <c r="G97" s="4">
        <v>36.630000000000003</v>
      </c>
      <c r="H97" s="4">
        <v>38.31</v>
      </c>
      <c r="I97" s="4">
        <v>40.28</v>
      </c>
      <c r="J97" s="4">
        <v>40.28</v>
      </c>
      <c r="K97" s="4">
        <v>40.880000000000003</v>
      </c>
      <c r="L97" s="4">
        <v>41.71</v>
      </c>
      <c r="M97" s="4">
        <v>40.85</v>
      </c>
      <c r="N97" s="4">
        <v>38.64</v>
      </c>
      <c r="O97" s="4">
        <v>39.36</v>
      </c>
      <c r="P97" s="4">
        <v>41.58</v>
      </c>
      <c r="Q97" s="4">
        <v>39.39</v>
      </c>
      <c r="R97" s="4">
        <v>42.94</v>
      </c>
      <c r="S97" s="4">
        <v>41.13</v>
      </c>
      <c r="T97" s="4">
        <v>40.369999999999997</v>
      </c>
      <c r="U97" s="4">
        <v>39.700000000000003</v>
      </c>
      <c r="V97" s="4">
        <v>39.520000000000003</v>
      </c>
      <c r="W97" s="4">
        <v>41.36</v>
      </c>
      <c r="X97" s="4">
        <v>41.44</v>
      </c>
      <c r="Y97" s="4">
        <v>39.450000000000003</v>
      </c>
      <c r="Z97" s="4">
        <v>39.4</v>
      </c>
      <c r="AA97" s="4">
        <v>38.299999999999997</v>
      </c>
      <c r="AB97" s="4">
        <v>38.92</v>
      </c>
      <c r="AC97" s="4">
        <v>40.51</v>
      </c>
      <c r="AD97" s="4">
        <v>43.24</v>
      </c>
      <c r="AE97" s="4">
        <v>42.51</v>
      </c>
      <c r="AF97" s="4">
        <v>42.11</v>
      </c>
      <c r="AG97" s="4">
        <v>41.07</v>
      </c>
      <c r="AH97" s="4">
        <v>40.020000000000003</v>
      </c>
      <c r="AI97" s="4">
        <v>38.840000000000003</v>
      </c>
      <c r="AJ97" s="4">
        <v>40.380000000000003</v>
      </c>
      <c r="AK97" s="4">
        <v>40.92</v>
      </c>
      <c r="AL97" s="4">
        <v>41.6</v>
      </c>
      <c r="AM97" s="4">
        <v>40.630000000000003</v>
      </c>
      <c r="AN97" s="4">
        <v>41.65</v>
      </c>
      <c r="AO97" s="4">
        <v>39.700000000000003</v>
      </c>
      <c r="AP97" s="4">
        <v>40.85</v>
      </c>
      <c r="AQ97" s="4">
        <v>42.26</v>
      </c>
      <c r="AR97" s="4">
        <v>39.049999999999997</v>
      </c>
      <c r="AS97" s="4">
        <v>37.42</v>
      </c>
      <c r="AT97" s="4">
        <v>38.409999999999997</v>
      </c>
      <c r="AU97" s="4">
        <v>40.22</v>
      </c>
      <c r="AV97" s="4">
        <v>41.07</v>
      </c>
      <c r="AW97" s="4">
        <v>37.729999999999997</v>
      </c>
      <c r="AX97" s="4">
        <v>33.92</v>
      </c>
      <c r="AY97" s="12">
        <v>33.17</v>
      </c>
      <c r="AZ97" s="12">
        <v>32.67</v>
      </c>
      <c r="BA97" s="12">
        <v>32.049999999999997</v>
      </c>
      <c r="BB97" s="15">
        <v>33.03</v>
      </c>
      <c r="BC97" s="52">
        <v>34.19</v>
      </c>
      <c r="BD97" s="52">
        <v>33.479999999999997</v>
      </c>
      <c r="BE97" s="52">
        <v>32.909999999999997</v>
      </c>
      <c r="BF97" s="52">
        <v>31.57</v>
      </c>
      <c r="BG97" s="67">
        <v>34.979999999999997</v>
      </c>
      <c r="BH97" s="52">
        <v>35.909999999999997</v>
      </c>
      <c r="BI97" s="52">
        <v>33.799999999999997</v>
      </c>
      <c r="BJ97" s="52">
        <v>35.15</v>
      </c>
      <c r="BK97" s="52">
        <v>35.54</v>
      </c>
      <c r="BL97" s="52">
        <v>33.64</v>
      </c>
      <c r="BM97" s="52">
        <v>35.04</v>
      </c>
      <c r="BN97" s="52">
        <v>35.28</v>
      </c>
      <c r="BO97" s="52">
        <v>32.840000000000003</v>
      </c>
      <c r="BP97" s="52" cm="1">
        <f t="array" aca="1" ref="BP97" ca="1">_FV(ED97,"Preço")</f>
        <v>32.6</v>
      </c>
      <c r="BQ97" s="69" t="s">
        <v>94</v>
      </c>
      <c r="BR97" s="36" cm="1">
        <f t="array" aca="1" ref="BR97" ca="1">_FV(ED97,"Média de volume",TRUE)</f>
        <v>36759460</v>
      </c>
      <c r="BS97" s="36">
        <v>34670100</v>
      </c>
      <c r="BT97" s="36" cm="1">
        <f t="array" aca="1" ref="BT97" ca="1">_FV(ED97,"Volume")</f>
        <v>8741300</v>
      </c>
      <c r="BU97" s="24" cm="1">
        <f t="array" aca="1" ref="BU97" ca="1">_FV(ED97,"Beta")</f>
        <v>1.004</v>
      </c>
      <c r="BV97" s="71" cm="1">
        <f t="array" aca="1" ref="BV97" ca="1">_FV(ED97,"Variação (%)",TRUE)</f>
        <v>-9.193999999999999E-4</v>
      </c>
      <c r="BX97" s="17" cm="1">
        <f t="array" aca="1" ref="BX97" ca="1">_FV(ED97,"Baixo")</f>
        <v>32.200000000000003</v>
      </c>
      <c r="BY97" s="17" cm="1">
        <f t="array" aca="1" ref="BY97" ca="1">_FV(ED97,"Alto")</f>
        <v>32.619999999999997</v>
      </c>
      <c r="BZ97" s="24"/>
      <c r="CA97" s="63">
        <f ca="1">SQRT(22.5*(BP97/VLOOKUP(BQ97,Fundamentus!A:U,3,FALSE))*(BP97/VLOOKUP(BQ97,Fundamentus!A:U,4,FALSE)))</f>
        <v>47.624323050642168</v>
      </c>
      <c r="CC97" s="62">
        <f t="shared" ca="1" si="112"/>
        <v>-7.3081607795372093E-3</v>
      </c>
      <c r="CD97" s="8"/>
      <c r="CE97" s="61">
        <f t="shared" si="113"/>
        <v>31.57</v>
      </c>
      <c r="CF97" s="61">
        <f t="shared" si="114"/>
        <v>44.47</v>
      </c>
      <c r="CG97" s="61">
        <f t="shared" si="115"/>
        <v>38.545074626865684</v>
      </c>
      <c r="CH97" s="14"/>
      <c r="CI97" s="35">
        <f t="shared" si="98"/>
        <v>31.567789685524026</v>
      </c>
      <c r="CJ97" s="15">
        <f t="shared" si="116"/>
        <v>33.660000000000082</v>
      </c>
      <c r="CK97" s="35">
        <f t="shared" si="99"/>
        <v>35.752210314476137</v>
      </c>
      <c r="CM97" s="14"/>
      <c r="CN97" s="17">
        <f t="shared" si="100"/>
        <v>15.216666666666661</v>
      </c>
      <c r="CO97" s="17">
        <f t="shared" si="101"/>
        <v>23.393333333333331</v>
      </c>
      <c r="CP97" s="17">
        <f t="shared" si="102"/>
        <v>28.11666666666666</v>
      </c>
      <c r="CQ97" s="38">
        <f t="shared" si="117"/>
        <v>36.293333333333329</v>
      </c>
      <c r="CR97" s="17">
        <f t="shared" si="103"/>
        <v>41.016666666666659</v>
      </c>
      <c r="CS97" s="17">
        <f t="shared" si="104"/>
        <v>49.193333333333328</v>
      </c>
      <c r="CT97" s="17">
        <f t="shared" si="105"/>
        <v>53.916666666666657</v>
      </c>
      <c r="CU97" s="2" cm="1">
        <f t="array" aca="1" ref="CU97" ca="1">MAX(_xlfn._xlws.FILTER(CN97:CT97,CN97:CT97&lt;BP97))</f>
        <v>28.11666666666666</v>
      </c>
      <c r="CV97" s="2" cm="1">
        <f t="array" aca="1" ref="CV97" ca="1">MIN(_xlfn._xlws.FILTER($CN97:$CT97,$CN97:$CT97&gt;BP97))</f>
        <v>36.293333333333329</v>
      </c>
      <c r="CW97" s="16">
        <f t="shared" ca="1" si="119"/>
        <v>0.29081209247184359</v>
      </c>
      <c r="CX97" s="20">
        <f t="shared" ca="1" si="120"/>
        <v>-0.14540604623592179</v>
      </c>
      <c r="CY97" s="20">
        <f t="shared" ca="1" si="121"/>
        <v>-9.69373641572812E-2</v>
      </c>
      <c r="CZ97" s="20">
        <f t="shared" ca="1" si="122"/>
        <v>-5.816241849436872E-2</v>
      </c>
      <c r="DA97" s="20">
        <f t="shared" ca="1" si="123"/>
        <v>-3.2312454719093733E-2</v>
      </c>
      <c r="DB97" s="20">
        <f t="shared" ca="1" si="124"/>
        <v>-1.7106593674814329E-2</v>
      </c>
      <c r="DC97" s="20">
        <f t="shared" ca="1" si="125"/>
        <v>-8.8124876506619262E-3</v>
      </c>
      <c r="DD97" s="20">
        <f t="shared" ca="1" si="126"/>
        <v>-4.4740321918745165E-3</v>
      </c>
      <c r="DE97" s="21">
        <f t="shared" ca="1" si="127"/>
        <v>4.4740321918745165E-3</v>
      </c>
      <c r="DF97" s="21">
        <f t="shared" ca="1" si="128"/>
        <v>8.8124876506619262E-3</v>
      </c>
      <c r="DG97" s="21">
        <f t="shared" ca="1" si="129"/>
        <v>1.7106593674814329E-2</v>
      </c>
      <c r="DH97" s="21">
        <f t="shared" ca="1" si="130"/>
        <v>3.2312454719093733E-2</v>
      </c>
      <c r="DI97" s="21">
        <f t="shared" ca="1" si="131"/>
        <v>5.816241849436872E-2</v>
      </c>
      <c r="DJ97" s="21">
        <f t="shared" ca="1" si="132"/>
        <v>9.69373641572812E-2</v>
      </c>
      <c r="DK97" s="21">
        <f t="shared" ca="1" si="133"/>
        <v>0.14540604623592179</v>
      </c>
      <c r="DM97" s="16" cm="1">
        <f t="array" aca="1" ref="DM97" ca="1">MAX(_xlfn._xlws.FILTER(CX97:DK97,CX97:DK97&lt;BV97))</f>
        <v>-4.4740321918745165E-3</v>
      </c>
      <c r="DN97" s="16" cm="1">
        <f t="array" aca="1" ref="DN97" ca="1">MIN(_xlfn._xlws.FILTER(CX97:DK97,CX97:DK97&gt;BV97))</f>
        <v>4.4740321918745165E-3</v>
      </c>
      <c r="DO97" s="2" cm="1">
        <f t="array" aca="1" ref="DO97" ca="1">_FV(ED97,"Fechamento anterior",TRUE)</f>
        <v>32.630000000000003</v>
      </c>
      <c r="DP97" s="28">
        <f t="shared" ca="1" si="106"/>
        <v>0.39725159695502144</v>
      </c>
      <c r="DQ97" s="15">
        <f t="shared" ca="1" si="134"/>
        <v>32.484012329579137</v>
      </c>
      <c r="DR97" s="15">
        <f t="shared" ca="1" si="135"/>
        <v>32.775987670420868</v>
      </c>
      <c r="DS97" s="9"/>
      <c r="DT97" s="9"/>
      <c r="DU97" s="9"/>
      <c r="DV97" s="89">
        <v>3.877494566291248E-2</v>
      </c>
      <c r="DW97" s="89">
        <f t="shared" ca="1" si="107"/>
        <v>8.9480643837490329E-3</v>
      </c>
      <c r="DX97" s="72">
        <f t="shared" ca="1" si="108"/>
        <v>-0.50664122658506838</v>
      </c>
      <c r="DY97" s="37"/>
      <c r="DZ97" s="35">
        <f t="shared" si="118"/>
        <v>1.0461051572380271</v>
      </c>
      <c r="EA97" s="56"/>
      <c r="EB97" s="56"/>
      <c r="ED97" s="2" t="e" vm="97">
        <v>#VALUE!</v>
      </c>
      <c r="EF97" s="10" cm="1">
        <f t="array" aca="1" ref="EF97" ca="1">_FV(ED97,"Ações em circulação",TRUE)</f>
        <v>12888730000</v>
      </c>
      <c r="EG97" s="18">
        <f>VLOOKUP(BQ97,Fundamentus!A:U,5,FALSE)</f>
        <v>0.90500000000000003</v>
      </c>
      <c r="EH97" s="2">
        <f t="shared" ca="1" si="109"/>
        <v>464279113812.15466</v>
      </c>
      <c r="EI97" s="17">
        <v>45740778292.773483</v>
      </c>
      <c r="EJ97" s="17">
        <f t="shared" ca="1" si="110"/>
        <v>45406497330.828728</v>
      </c>
      <c r="EL97" s="16">
        <f t="shared" ca="1" si="97"/>
        <v>-7.3081607795372205E-3</v>
      </c>
      <c r="EM97" s="32" t="str">
        <f>IF(VLOOKUP(BQ97,Fundamentus!A:U,3,FALSE)&lt;15,"Bom",IF(VLOOKUP(BQ97,Fundamentus!A:U,3,FALSE)&gt;15,"Ruim","n/a"))</f>
        <v>Bom</v>
      </c>
      <c r="EN97" s="28" t="str">
        <f>IF(VLOOKUP(BQ97,Fundamentus!A:U,4,FALSE)&lt;1,"Baixo",IF(VLOOKUP(BQ97,Fundamentus!A:U,4,FALSE)&lt;1.5,"Moderado",IF(VLOOKUP(BQ97,Fundamentus!A:U,4,FALSE)&gt;1.5,"Alto","n/a")))</f>
        <v>Moderado</v>
      </c>
      <c r="EO97" s="17" t="str">
        <f>IF(VLOOKUP(BQ97,Fundamentus!A:U,8,FALSE)&lt;0,"Risco elevado",IF(VLOOKUP(BQ97,Fundamentus!A:U,8,FALSE)&lt;1,"Saudável",IF(VLOOKUP(BQ97,Fundamentus!A:U,8,FALSE)&lt;3,"Estável",IF(VLOOKUP(BQ97,Fundamentus!A:U,8,FALSE)&gt;3,"Alerta","n/a"))))</f>
        <v>Risco elevado</v>
      </c>
      <c r="EP97" s="28" t="str">
        <f t="shared" si="111"/>
        <v>Ruim</v>
      </c>
      <c r="EQ97" s="17" t="str">
        <f>IF(VLOOKUP(BQ97,Fundamentus!A:U,12,FALSE)&lt;2,"Subvalorizada",IF(VLOOKUP(BQ97,Fundamentus!A:U,12,FALSE)&lt;6,"Muita barata",IF(VLOOKUP(BQ97,Fundamentus!A:U,12,FALSE)&lt;6,"Barata",IF(VLOOKUP(BQ97,Fundamentus!A:U,12,FALSE)&lt;8,"Atrativa",IF(VLOOKUP(BQ97,Fundamentus!A:U,12,FALSE)&gt;8,"Supervalorizada","n/a")))))</f>
        <v>Muita barata</v>
      </c>
      <c r="ES97" s="17" t="str">
        <f>IF(VLOOKUP(BQ97,Fundamentus!A:U,17,FALSE)&lt;0.1,"Fraco retorno",IF(VLOOKUP(BQ97,Fundamentus!A:U,17,FALSE)&gt;0.1,"Bom retorno","n/a"))</f>
        <v>Bom retorno</v>
      </c>
      <c r="ET97" s="17" t="str">
        <f>IF(VLOOKUP(BQ97,Fundamentus!A:U,16,FALSE)&lt;0.1,"Ineficiente",IF(VLOOKUP(BQ97,Fundamentus!A:U,16,FALSE)&gt;0.1,"Eficiente","n/a"))</f>
        <v>Eficiente</v>
      </c>
      <c r="EU97" s="33" t="str">
        <f>IF(VLOOKUP(BQ97,Fundamentus!A:U,16,FALSE)&lt;0.1,"Oper. Ineficiente",IF(VLOOKUP(BQ97,Fundamentus!A:U,16,FALSE)&gt;0.1,"Oper.Eficiente","n/a"))</f>
        <v>Oper.Eficiente</v>
      </c>
      <c r="EV97" s="34">
        <f>VLOOKUP(BQ97,Fundamentus!A:U,14,FALSE)</f>
        <v>9.7799999999999998E-2</v>
      </c>
      <c r="EW97" s="17" t="str">
        <f>IF(VLOOKUP(BQ97,Fundamentus!A:U,21,FALSE)&lt;0,"Negativo",IF(VLOOKUP(BQ97,Fundamentus!A:U,21,FALSE)&lt;0.05,"Fraco",IF(VLOOKUP(BQ97,Fundamentus!A:U,21,FALSE)&lt;0.1,"Bom",IF(VLOOKUP(BQ97,Fundamentus!A:U,21,FALSE)&gt;0.1,"Muito bom","n/a"))))</f>
        <v>Muito bom</v>
      </c>
      <c r="EY97" s="29" t="str">
        <f>IF(VLOOKUP(BQ97,Fundamentus!A:U,15,FALSE)&gt;1,"Bom",IF(VLOOKUP(BQ97,Fundamentus!A:U,15,FALSE)&lt;1,"Ruim","n/a"))</f>
        <v>Ruim</v>
      </c>
      <c r="EZ97" s="17" t="str">
        <f>IF(VLOOKUP(BQ97,Fundamentus!A:U,20,FALSE)&lt;0.5,"Baixa",IF(VLOOKUP(BQ97,Fundamentus!A:U,20,FALSE)&lt;1,"Moderada",IF(VLOOKUP(BQ97,Fundamentus!A:U,20,FALSE)&lt;2,"Alerta",IF(VLOOKUP(BQ97,Fundamentus!A:U,20,FALSE)&gt;2,"Alta","n/a"))))</f>
        <v>Moderada</v>
      </c>
      <c r="FA97" s="10"/>
    </row>
    <row r="98" spans="1:157" s="2" customFormat="1" ht="11.25" hidden="1" x14ac:dyDescent="0.2">
      <c r="A98" s="4">
        <v>12.49</v>
      </c>
      <c r="B98" s="4">
        <v>11.96</v>
      </c>
      <c r="C98" s="4">
        <v>12.02</v>
      </c>
      <c r="D98" s="4">
        <v>11.65</v>
      </c>
      <c r="E98" s="4">
        <v>11.45</v>
      </c>
      <c r="F98" s="4">
        <v>11.48</v>
      </c>
      <c r="G98" s="4">
        <v>11.38</v>
      </c>
      <c r="H98" s="4">
        <v>11.14</v>
      </c>
      <c r="I98" s="4">
        <v>11.19</v>
      </c>
      <c r="J98" s="4">
        <v>11.32</v>
      </c>
      <c r="K98" s="4">
        <v>11.56</v>
      </c>
      <c r="L98" s="4">
        <v>11.46</v>
      </c>
      <c r="M98" s="4">
        <v>11.33</v>
      </c>
      <c r="N98" s="4">
        <v>11.33</v>
      </c>
      <c r="O98" s="4">
        <v>13.03</v>
      </c>
      <c r="P98" s="4">
        <v>13.32</v>
      </c>
      <c r="Q98" s="4">
        <v>14.2</v>
      </c>
      <c r="R98" s="4">
        <v>14.14</v>
      </c>
      <c r="S98" s="4">
        <v>14.17</v>
      </c>
      <c r="T98" s="4">
        <v>13.95</v>
      </c>
      <c r="U98" s="4">
        <v>13.25</v>
      </c>
      <c r="V98" s="4">
        <v>13.24</v>
      </c>
      <c r="W98" s="4">
        <v>13.29</v>
      </c>
      <c r="X98" s="4">
        <v>12.99</v>
      </c>
      <c r="Y98" s="4">
        <v>13.18</v>
      </c>
      <c r="Z98" s="4">
        <v>13.11</v>
      </c>
      <c r="AA98" s="4">
        <v>12.52</v>
      </c>
      <c r="AB98" s="4">
        <v>12.05</v>
      </c>
      <c r="AC98" s="4">
        <v>12.02</v>
      </c>
      <c r="AD98" s="4">
        <v>12.14</v>
      </c>
      <c r="AE98" s="4">
        <v>11.13</v>
      </c>
      <c r="AF98" s="4">
        <v>11.12</v>
      </c>
      <c r="AG98" s="4">
        <v>11.06</v>
      </c>
      <c r="AH98" s="4">
        <v>10.61</v>
      </c>
      <c r="AI98" s="4">
        <v>10.65</v>
      </c>
      <c r="AJ98" s="4">
        <v>10.32</v>
      </c>
      <c r="AK98" s="4">
        <v>10.31</v>
      </c>
      <c r="AL98" s="4">
        <v>10.65</v>
      </c>
      <c r="AM98" s="4">
        <v>10.42</v>
      </c>
      <c r="AN98" s="4">
        <v>11.02</v>
      </c>
      <c r="AO98" s="4">
        <v>10.88</v>
      </c>
      <c r="AP98" s="4">
        <v>11.11</v>
      </c>
      <c r="AQ98" s="4">
        <v>10.88</v>
      </c>
      <c r="AR98" s="4">
        <v>10.36</v>
      </c>
      <c r="AS98" s="4">
        <v>10.74</v>
      </c>
      <c r="AT98" s="4">
        <v>11.09</v>
      </c>
      <c r="AU98" s="4">
        <v>11.3</v>
      </c>
      <c r="AV98" s="4">
        <v>11.62</v>
      </c>
      <c r="AW98" s="4">
        <v>11.17</v>
      </c>
      <c r="AX98" s="4">
        <v>11.18</v>
      </c>
      <c r="AY98" s="12">
        <v>11.42</v>
      </c>
      <c r="AZ98" s="12">
        <v>11.97</v>
      </c>
      <c r="BA98" s="12">
        <v>12.23</v>
      </c>
      <c r="BB98" s="15">
        <v>13.4</v>
      </c>
      <c r="BC98" s="52">
        <v>13.4</v>
      </c>
      <c r="BD98" s="52">
        <v>13.53</v>
      </c>
      <c r="BE98" s="52">
        <v>13.98</v>
      </c>
      <c r="BF98" s="52">
        <v>13.78</v>
      </c>
      <c r="BG98" s="67">
        <v>14.11</v>
      </c>
      <c r="BH98" s="52">
        <v>14.29</v>
      </c>
      <c r="BI98" s="52">
        <v>14.28</v>
      </c>
      <c r="BJ98" s="52">
        <v>14.41</v>
      </c>
      <c r="BK98" s="52">
        <v>13.83</v>
      </c>
      <c r="BL98" s="52">
        <v>13.45</v>
      </c>
      <c r="BM98" s="52">
        <v>13.38</v>
      </c>
      <c r="BN98" s="52">
        <v>13.38</v>
      </c>
      <c r="BO98" s="52">
        <v>13.73</v>
      </c>
      <c r="BP98" s="52" cm="1">
        <f t="array" aca="1" ref="BP98" ca="1">_FV(ED98,"Preço")</f>
        <v>13.79</v>
      </c>
      <c r="BQ98" s="69" t="s">
        <v>95</v>
      </c>
      <c r="BR98" s="36" cm="1">
        <f t="array" aca="1" ref="BR98" ca="1">_FV(ED98,"Média de volume",TRUE)</f>
        <v>26874860</v>
      </c>
      <c r="BS98" s="36">
        <v>5638200</v>
      </c>
      <c r="BT98" s="36" cm="1">
        <f t="array" aca="1" ref="BT98" ca="1">_FV(ED98,"Volume")</f>
        <v>6868000</v>
      </c>
      <c r="BU98" s="24" cm="1">
        <f t="array" aca="1" ref="BU98" ca="1">_FV(ED98,"Beta")</f>
        <v>1.4984</v>
      </c>
      <c r="BV98" s="71" cm="1">
        <f t="array" aca="1" ref="BV98" ca="1">_FV(ED98,"Variação (%)",TRUE)</f>
        <v>-7.2459999999999994E-4</v>
      </c>
      <c r="BX98" s="17" cm="1">
        <f t="array" aca="1" ref="BX98" ca="1">_FV(ED98,"Baixo")</f>
        <v>13.66</v>
      </c>
      <c r="BY98" s="17" cm="1">
        <f t="array" aca="1" ref="BY98" ca="1">_FV(ED98,"Alto")</f>
        <v>13.82</v>
      </c>
      <c r="BZ98" s="24"/>
      <c r="CA98" s="63">
        <f ca="1">SQRT(22.5*(BP98/VLOOKUP(BQ98,Fundamentus!A:U,3,FALSE))*(BP98/VLOOKUP(BQ98,Fundamentus!A:U,4,FALSE)))</f>
        <v>26.392861445030494</v>
      </c>
      <c r="CC98" s="62">
        <f t="shared" ca="1" si="112"/>
        <v>4.3699927166787125E-3</v>
      </c>
      <c r="CD98" s="8"/>
      <c r="CE98" s="61">
        <f t="shared" si="113"/>
        <v>10.31</v>
      </c>
      <c r="CF98" s="61">
        <f t="shared" si="114"/>
        <v>14.41</v>
      </c>
      <c r="CG98" s="61">
        <f t="shared" si="115"/>
        <v>12.217164179104476</v>
      </c>
      <c r="CH98" s="14"/>
      <c r="CI98" s="35">
        <f t="shared" si="98"/>
        <v>13.317089957794236</v>
      </c>
      <c r="CJ98" s="15">
        <f t="shared" si="116"/>
        <v>13.69500000000005</v>
      </c>
      <c r="CK98" s="35">
        <f t="shared" si="99"/>
        <v>14.072910042205864</v>
      </c>
      <c r="CM98" s="14"/>
      <c r="CN98" s="17">
        <f t="shared" si="100"/>
        <v>7.1233333333333366</v>
      </c>
      <c r="CO98" s="17">
        <f t="shared" si="101"/>
        <v>8.7166666666666686</v>
      </c>
      <c r="CP98" s="17">
        <f t="shared" si="102"/>
        <v>11.223333333333336</v>
      </c>
      <c r="CQ98" s="38">
        <f t="shared" si="117"/>
        <v>12.816666666666668</v>
      </c>
      <c r="CR98" s="17">
        <f t="shared" si="103"/>
        <v>15.323333333333336</v>
      </c>
      <c r="CS98" s="17">
        <f t="shared" si="104"/>
        <v>16.916666666666668</v>
      </c>
      <c r="CT98" s="17">
        <f t="shared" si="105"/>
        <v>19.423333333333336</v>
      </c>
      <c r="CU98" s="2" cm="1">
        <f t="array" aca="1" ref="CU98" ca="1">MAX(_xlfn._xlws.FILTER(CN98:CT98,CN98:CT98&lt;BP98))</f>
        <v>12.816666666666668</v>
      </c>
      <c r="CV98" s="2" cm="1">
        <f t="array" aca="1" ref="CV98" ca="1">MIN(_xlfn._xlws.FILTER($CN98:$CT98,$CN98:$CT98&gt;BP98))</f>
        <v>15.323333333333336</v>
      </c>
      <c r="CW98" s="16">
        <f t="shared" ca="1" si="119"/>
        <v>0.19557867360208059</v>
      </c>
      <c r="CX98" s="20">
        <f t="shared" ca="1" si="120"/>
        <v>-9.7789336801040294E-2</v>
      </c>
      <c r="CY98" s="20">
        <f t="shared" ca="1" si="121"/>
        <v>-6.5192891200693534E-2</v>
      </c>
      <c r="CZ98" s="20">
        <f t="shared" ca="1" si="122"/>
        <v>-3.9115734720416115E-2</v>
      </c>
      <c r="DA98" s="20">
        <f t="shared" ca="1" si="123"/>
        <v>-2.173096373356451E-2</v>
      </c>
      <c r="DB98" s="20">
        <f t="shared" ca="1" si="124"/>
        <v>-1.1504627858945918E-2</v>
      </c>
      <c r="DC98" s="20">
        <f t="shared" ca="1" si="125"/>
        <v>-5.9266264727903207E-3</v>
      </c>
      <c r="DD98" s="20">
        <f t="shared" ca="1" si="126"/>
        <v>-3.00890267080124E-3</v>
      </c>
      <c r="DE98" s="21">
        <f t="shared" ca="1" si="127"/>
        <v>3.00890267080124E-3</v>
      </c>
      <c r="DF98" s="21">
        <f t="shared" ca="1" si="128"/>
        <v>5.9266264727903207E-3</v>
      </c>
      <c r="DG98" s="21">
        <f t="shared" ca="1" si="129"/>
        <v>1.1504627858945918E-2</v>
      </c>
      <c r="DH98" s="21">
        <f t="shared" ca="1" si="130"/>
        <v>2.173096373356451E-2</v>
      </c>
      <c r="DI98" s="21">
        <f t="shared" ca="1" si="131"/>
        <v>3.9115734720416115E-2</v>
      </c>
      <c r="DJ98" s="21">
        <f t="shared" ca="1" si="132"/>
        <v>6.5192891200693534E-2</v>
      </c>
      <c r="DK98" s="21">
        <f t="shared" ca="1" si="133"/>
        <v>9.7789336801040294E-2</v>
      </c>
      <c r="DM98" s="16" cm="1">
        <f t="array" aca="1" ref="DM98" ca="1">MAX(_xlfn._xlws.FILTER(CX98:DK98,CX98:DK98&lt;BV98))</f>
        <v>-3.00890267080124E-3</v>
      </c>
      <c r="DN98" s="16" cm="1">
        <f t="array" aca="1" ref="DN98" ca="1">MIN(_xlfn._xlws.FILTER(CX98:DK98,CX98:DK98&gt;BV98))</f>
        <v>3.00890267080124E-3</v>
      </c>
      <c r="DO98" s="2" cm="1">
        <f t="array" aca="1" ref="DO98" ca="1">_FV(ED98,"Fechamento anterior",TRUE)</f>
        <v>13.8</v>
      </c>
      <c r="DP98" s="28">
        <f t="shared" ca="1" si="106"/>
        <v>0.37958439330864541</v>
      </c>
      <c r="DQ98" s="15">
        <f t="shared" ca="1" si="134"/>
        <v>13.758477143142944</v>
      </c>
      <c r="DR98" s="15">
        <f t="shared" ca="1" si="135"/>
        <v>13.841522856857058</v>
      </c>
      <c r="DS98" s="9"/>
      <c r="DT98" s="9"/>
      <c r="DU98" s="9"/>
      <c r="DV98" s="89">
        <v>5.578001386155597E-3</v>
      </c>
      <c r="DW98" s="89">
        <f t="shared" ca="1" si="107"/>
        <v>6.01780534160248E-3</v>
      </c>
      <c r="DX98" s="72">
        <f t="shared" ca="1" si="108"/>
        <v>0.2513825762486912</v>
      </c>
      <c r="DY98" s="37"/>
      <c r="DZ98" s="35">
        <f t="shared" si="118"/>
        <v>0.18895502110290682</v>
      </c>
      <c r="EA98" s="56"/>
      <c r="EB98" s="56"/>
      <c r="ED98" s="2" t="e" vm="98">
        <v>#VALUE!</v>
      </c>
      <c r="EF98" s="10" cm="1">
        <f t="array" aca="1" ref="EF98" ca="1">_FV(ED98,"Ações em circulação",TRUE)</f>
        <v>10592010000</v>
      </c>
      <c r="EG98" s="18">
        <f>VLOOKUP(BQ98,Fundamentus!A:U,5,FALSE)</f>
        <v>0</v>
      </c>
      <c r="EH98" s="2" t="e">
        <f t="shared" ca="1" si="109"/>
        <v>#DIV/0!</v>
      </c>
      <c r="EI98" s="17" t="e">
        <v>#DIV/0!</v>
      </c>
      <c r="EJ98" s="17" t="e">
        <f t="shared" ca="1" si="110"/>
        <v>#DIV/0!</v>
      </c>
      <c r="EL98" s="16" t="e">
        <f t="shared" ca="1" si="97"/>
        <v>#DIV/0!</v>
      </c>
      <c r="EM98" s="32" t="str">
        <f>IF(VLOOKUP(BQ98,Fundamentus!A:U,3,FALSE)&lt;15,"Bom",IF(VLOOKUP(BQ98,Fundamentus!A:U,3,FALSE)&gt;15,"Ruim","n/a"))</f>
        <v>Bom</v>
      </c>
      <c r="EN98" s="28" t="str">
        <f>IF(VLOOKUP(BQ98,Fundamentus!A:U,4,FALSE)&lt;1,"Baixo",IF(VLOOKUP(BQ98,Fundamentus!A:U,4,FALSE)&lt;1.5,"Moderado",IF(VLOOKUP(BQ98,Fundamentus!A:U,4,FALSE)&gt;1.5,"Alto","n/a")))</f>
        <v>Baixo</v>
      </c>
      <c r="EO98" s="17" t="str">
        <f>IF(VLOOKUP(BQ98,Fundamentus!A:U,8,FALSE)&lt;0,"Risco elevado",IF(VLOOKUP(BQ98,Fundamentus!A:U,8,FALSE)&lt;1,"Saudável",IF(VLOOKUP(BQ98,Fundamentus!A:U,8,FALSE)&lt;3,"Estável",IF(VLOOKUP(BQ98,Fundamentus!A:U,8,FALSE)&gt;3,"Alerta","n/a"))))</f>
        <v>Saudável</v>
      </c>
      <c r="EP98" s="28" t="str">
        <f t="shared" si="111"/>
        <v>Ruim</v>
      </c>
      <c r="EQ98" s="17" t="str">
        <f>IF(VLOOKUP(BQ98,Fundamentus!A:U,12,FALSE)&lt;2,"Subvalorizada",IF(VLOOKUP(BQ98,Fundamentus!A:U,12,FALSE)&lt;6,"Muita barata",IF(VLOOKUP(BQ98,Fundamentus!A:U,12,FALSE)&lt;6,"Barata",IF(VLOOKUP(BQ98,Fundamentus!A:U,12,FALSE)&lt;8,"Atrativa",IF(VLOOKUP(BQ98,Fundamentus!A:U,12,FALSE)&gt;8,"Supervalorizada","n/a")))))</f>
        <v>Subvalorizada</v>
      </c>
      <c r="ES98" s="17" t="str">
        <f>IF(VLOOKUP(BQ98,Fundamentus!A:U,17,FALSE)&lt;0.1,"Fraco retorno",IF(VLOOKUP(BQ98,Fundamentus!A:U,17,FALSE)&gt;0.1,"Bom retorno","n/a"))</f>
        <v>Bom retorno</v>
      </c>
      <c r="ET98" s="17" t="str">
        <f>IF(VLOOKUP(BQ98,Fundamentus!A:U,16,FALSE)&lt;0.1,"Ineficiente",IF(VLOOKUP(BQ98,Fundamentus!A:U,16,FALSE)&gt;0.1,"Eficiente","n/a"))</f>
        <v>Ineficiente</v>
      </c>
      <c r="EU98" s="33" t="str">
        <f>IF(VLOOKUP(BQ98,Fundamentus!A:U,16,FALSE)&lt;0.1,"Oper. Ineficiente",IF(VLOOKUP(BQ98,Fundamentus!A:U,16,FALSE)&gt;0.1,"Oper.Eficiente","n/a"))</f>
        <v>Oper. Ineficiente</v>
      </c>
      <c r="EV98" s="34">
        <f>VLOOKUP(BQ98,Fundamentus!A:U,14,FALSE)</f>
        <v>0</v>
      </c>
      <c r="EW98" s="17" t="str">
        <f>IF(VLOOKUP(BQ98,Fundamentus!A:U,21,FALSE)&lt;0,"Negativo",IF(VLOOKUP(BQ98,Fundamentus!A:U,21,FALSE)&lt;0.05,"Fraco",IF(VLOOKUP(BQ98,Fundamentus!A:U,21,FALSE)&lt;0.1,"Bom",IF(VLOOKUP(BQ98,Fundamentus!A:U,21,FALSE)&gt;0.1,"Muito bom","n/a"))))</f>
        <v>Negativo</v>
      </c>
      <c r="EY98" s="29" t="str">
        <f>IF(VLOOKUP(BQ98,Fundamentus!A:U,15,FALSE)&gt;1,"Bom",IF(VLOOKUP(BQ98,Fundamentus!A:U,15,FALSE)&lt;1,"Ruim","n/a"))</f>
        <v>Ruim</v>
      </c>
      <c r="EZ98" s="17" t="str">
        <f>IF(VLOOKUP(BQ98,Fundamentus!A:U,20,FALSE)&lt;0.5,"Baixa",IF(VLOOKUP(BQ98,Fundamentus!A:U,20,FALSE)&lt;1,"Moderada",IF(VLOOKUP(BQ98,Fundamentus!A:U,20,FALSE)&lt;2,"Alerta",IF(VLOOKUP(BQ98,Fundamentus!A:U,20,FALSE)&gt;2,"Alta","n/a"))))</f>
        <v>Baixa</v>
      </c>
      <c r="FA98" s="10"/>
    </row>
    <row r="99" spans="1:157" s="2" customFormat="1" ht="11.25" hidden="1" x14ac:dyDescent="0.2">
      <c r="A99" s="4">
        <v>7.03</v>
      </c>
      <c r="B99" s="4">
        <v>6.7</v>
      </c>
      <c r="C99" s="4">
        <v>6.9</v>
      </c>
      <c r="D99" s="4">
        <v>7.01</v>
      </c>
      <c r="E99" s="4">
        <v>6.52</v>
      </c>
      <c r="F99" s="4">
        <v>6.3</v>
      </c>
      <c r="G99" s="4">
        <v>6.13</v>
      </c>
      <c r="H99" s="4">
        <v>6.26</v>
      </c>
      <c r="I99" s="4">
        <v>6.34</v>
      </c>
      <c r="J99" s="4">
        <v>6.52</v>
      </c>
      <c r="K99" s="4">
        <v>6.54</v>
      </c>
      <c r="L99" s="4">
        <v>6.59</v>
      </c>
      <c r="M99" s="4">
        <v>6.32</v>
      </c>
      <c r="N99" s="4">
        <v>6.78</v>
      </c>
      <c r="O99" s="4">
        <v>7.1</v>
      </c>
      <c r="P99" s="4">
        <v>6.73</v>
      </c>
      <c r="Q99" s="4">
        <v>6.95</v>
      </c>
      <c r="R99" s="4">
        <v>7.35</v>
      </c>
      <c r="S99" s="4">
        <v>7.9</v>
      </c>
      <c r="T99" s="4">
        <v>8</v>
      </c>
      <c r="U99" s="4">
        <v>7.83</v>
      </c>
      <c r="V99" s="4">
        <v>8.0500000000000007</v>
      </c>
      <c r="W99" s="4">
        <v>8.0299999999999994</v>
      </c>
      <c r="X99" s="4">
        <v>8.11</v>
      </c>
      <c r="Y99" s="4">
        <v>8.75</v>
      </c>
      <c r="Z99" s="4">
        <v>8.5500000000000007</v>
      </c>
      <c r="AA99" s="4">
        <v>8.32</v>
      </c>
      <c r="AB99" s="4">
        <v>8.8800000000000008</v>
      </c>
      <c r="AC99" s="4">
        <v>9.42</v>
      </c>
      <c r="AD99" s="4">
        <v>9.56</v>
      </c>
      <c r="AE99" s="4">
        <v>8.5500000000000007</v>
      </c>
      <c r="AF99" s="4">
        <v>8.36</v>
      </c>
      <c r="AG99" s="4">
        <v>8.41</v>
      </c>
      <c r="AH99" s="4">
        <v>7.3</v>
      </c>
      <c r="AI99" s="4">
        <v>7.38</v>
      </c>
      <c r="AJ99" s="4">
        <v>7.35</v>
      </c>
      <c r="AK99" s="4">
        <v>7.31</v>
      </c>
      <c r="AL99" s="4">
        <v>7.91</v>
      </c>
      <c r="AM99" s="4">
        <v>8.32</v>
      </c>
      <c r="AN99" s="4">
        <v>8.33</v>
      </c>
      <c r="AO99" s="4">
        <v>8.0500000000000007</v>
      </c>
      <c r="AP99" s="4">
        <v>8.4600000000000009</v>
      </c>
      <c r="AQ99" s="4">
        <v>8.0500000000000007</v>
      </c>
      <c r="AR99" s="4">
        <v>7.35</v>
      </c>
      <c r="AS99" s="4">
        <v>7.22</v>
      </c>
      <c r="AT99" s="4">
        <v>7.12</v>
      </c>
      <c r="AU99" s="4">
        <v>7.125</v>
      </c>
      <c r="AV99" s="4">
        <v>6.46</v>
      </c>
      <c r="AW99" s="4">
        <v>6.02</v>
      </c>
      <c r="AX99" s="4">
        <v>6.03</v>
      </c>
      <c r="AY99" s="12">
        <v>6.56</v>
      </c>
      <c r="AZ99" s="12">
        <v>6.83</v>
      </c>
      <c r="BA99" s="12">
        <v>7.04</v>
      </c>
      <c r="BB99" s="15">
        <v>6.79</v>
      </c>
      <c r="BC99" s="52">
        <v>7.18</v>
      </c>
      <c r="BD99" s="52">
        <v>6.95</v>
      </c>
      <c r="BE99" s="52">
        <v>7.25</v>
      </c>
      <c r="BF99" s="52">
        <v>7.33</v>
      </c>
      <c r="BG99" s="67">
        <v>7.58</v>
      </c>
      <c r="BH99" s="52">
        <v>7.57</v>
      </c>
      <c r="BI99" s="52">
        <v>7.89</v>
      </c>
      <c r="BJ99" s="52">
        <v>8.15</v>
      </c>
      <c r="BK99" s="52">
        <v>8.0299999999999994</v>
      </c>
      <c r="BL99" s="52">
        <v>8.15</v>
      </c>
      <c r="BM99" s="52">
        <v>8.41</v>
      </c>
      <c r="BN99" s="52">
        <v>8.89</v>
      </c>
      <c r="BO99" s="52">
        <v>8.9</v>
      </c>
      <c r="BP99" s="52" cm="1">
        <f t="array" aca="1" ref="BP99" ca="1">_FV(ED99,"Preço")</f>
        <v>9.02</v>
      </c>
      <c r="BQ99" s="69" t="s">
        <v>96</v>
      </c>
      <c r="BR99" s="36" cm="1">
        <f t="array" aca="1" ref="BR99" ca="1">_FV(ED99,"Média de volume",TRUE)</f>
        <v>10709580</v>
      </c>
      <c r="BS99" s="36">
        <v>14906200</v>
      </c>
      <c r="BT99" s="36" cm="1">
        <f t="array" aca="1" ref="BT99" ca="1">_FV(ED99,"Volume")</f>
        <v>3901500</v>
      </c>
      <c r="BU99" s="24" cm="1">
        <f t="array" aca="1" ref="BU99" ca="1">_FV(ED99,"Beta")</f>
        <v>0.80249999999999999</v>
      </c>
      <c r="BV99" s="71" cm="1">
        <f t="array" aca="1" ref="BV99" ca="1">_FV(ED99,"Variação (%)",TRUE)</f>
        <v>5.574E-3</v>
      </c>
      <c r="BX99" s="17" cm="1">
        <f t="array" aca="1" ref="BX99" ca="1">_FV(ED99,"Baixo")</f>
        <v>8.89</v>
      </c>
      <c r="BY99" s="17" cm="1">
        <f t="array" aca="1" ref="BY99" ca="1">_FV(ED99,"Alto")</f>
        <v>9.02</v>
      </c>
      <c r="BZ99" s="24"/>
      <c r="CA99" s="63">
        <f ca="1">SQRT(22.5*(BP99/VLOOKUP(BQ99,Fundamentus!A:U,3,FALSE))*(BP99/VLOOKUP(BQ99,Fundamentus!A:U,4,FALSE)))</f>
        <v>9.5291142220640239</v>
      </c>
      <c r="CC99" s="62">
        <f t="shared" ca="1" si="112"/>
        <v>1.3483146067415642E-2</v>
      </c>
      <c r="CD99" s="8"/>
      <c r="CE99" s="61">
        <f t="shared" si="113"/>
        <v>6.02</v>
      </c>
      <c r="CF99" s="61">
        <f t="shared" si="114"/>
        <v>9.56</v>
      </c>
      <c r="CG99" s="61">
        <f t="shared" si="115"/>
        <v>7.4936567164179095</v>
      </c>
      <c r="CH99" s="14"/>
      <c r="CI99" s="35">
        <f t="shared" si="98"/>
        <v>8.542967676097069</v>
      </c>
      <c r="CJ99" s="15">
        <f t="shared" si="116"/>
        <v>9.2700000000002092</v>
      </c>
      <c r="CK99" s="35">
        <f t="shared" si="99"/>
        <v>9.9970323239033494</v>
      </c>
      <c r="CM99" s="14"/>
      <c r="CN99" s="17">
        <f t="shared" si="100"/>
        <v>3.2199999999999989</v>
      </c>
      <c r="CO99" s="17">
        <f t="shared" si="101"/>
        <v>4.6199999999999992</v>
      </c>
      <c r="CP99" s="17">
        <f t="shared" si="102"/>
        <v>6.76</v>
      </c>
      <c r="CQ99" s="38">
        <f t="shared" si="117"/>
        <v>8.16</v>
      </c>
      <c r="CR99" s="17">
        <f t="shared" si="103"/>
        <v>10.3</v>
      </c>
      <c r="CS99" s="17">
        <f t="shared" si="104"/>
        <v>11.700000000000001</v>
      </c>
      <c r="CT99" s="17">
        <f t="shared" si="105"/>
        <v>13.840000000000002</v>
      </c>
      <c r="CU99" s="2" cm="1">
        <f t="array" aca="1" ref="CU99" ca="1">MAX(_xlfn._xlws.FILTER(CN99:CT99,CN99:CT99&lt;BP99))</f>
        <v>8.16</v>
      </c>
      <c r="CV99" s="2" cm="1">
        <f t="array" aca="1" ref="CV99" ca="1">MIN(_xlfn._xlws.FILTER($CN99:$CT99,$CN99:$CT99&gt;BP99))</f>
        <v>10.3</v>
      </c>
      <c r="CW99" s="16">
        <f t="shared" ca="1" si="119"/>
        <v>0.26225490196078427</v>
      </c>
      <c r="CX99" s="20">
        <f t="shared" ca="1" si="120"/>
        <v>-0.13112745098039214</v>
      </c>
      <c r="CY99" s="20">
        <f t="shared" ca="1" si="121"/>
        <v>-8.7418300653594752E-2</v>
      </c>
      <c r="CZ99" s="20">
        <f t="shared" ca="1" si="122"/>
        <v>-5.2450980392156857E-2</v>
      </c>
      <c r="DA99" s="20">
        <f t="shared" ca="1" si="123"/>
        <v>-2.9139433551198253E-2</v>
      </c>
      <c r="DB99" s="20">
        <f t="shared" ca="1" si="124"/>
        <v>-1.5426758938869663E-2</v>
      </c>
      <c r="DC99" s="20">
        <f t="shared" ca="1" si="125"/>
        <v>-7.9471182412358867E-3</v>
      </c>
      <c r="DD99" s="20">
        <f t="shared" ca="1" si="126"/>
        <v>-4.0346907993966813E-3</v>
      </c>
      <c r="DE99" s="21">
        <f t="shared" ca="1" si="127"/>
        <v>4.0346907993966813E-3</v>
      </c>
      <c r="DF99" s="21">
        <f t="shared" ca="1" si="128"/>
        <v>7.9471182412358867E-3</v>
      </c>
      <c r="DG99" s="21">
        <f t="shared" ca="1" si="129"/>
        <v>1.5426758938869663E-2</v>
      </c>
      <c r="DH99" s="21">
        <f t="shared" ca="1" si="130"/>
        <v>2.9139433551198253E-2</v>
      </c>
      <c r="DI99" s="21">
        <f t="shared" ca="1" si="131"/>
        <v>5.2450980392156857E-2</v>
      </c>
      <c r="DJ99" s="21">
        <f t="shared" ca="1" si="132"/>
        <v>8.7418300653594752E-2</v>
      </c>
      <c r="DK99" s="21">
        <f t="shared" ca="1" si="133"/>
        <v>0.13112745098039214</v>
      </c>
      <c r="DM99" s="16" cm="1">
        <f t="array" aca="1" ref="DM99" ca="1">MAX(_xlfn._xlws.FILTER(CX99:DK99,CX99:DK99&lt;BV99))</f>
        <v>4.0346907993966813E-3</v>
      </c>
      <c r="DN99" s="16" cm="1">
        <f t="array" aca="1" ref="DN99" ca="1">MIN(_xlfn._xlws.FILTER(CX99:DK99,CX99:DK99&gt;BV99))</f>
        <v>7.9471182412358867E-3</v>
      </c>
      <c r="DO99" s="2" cm="1">
        <f t="array" aca="1" ref="DO99" ca="1">_FV(ED99,"Fechamento anterior",TRUE)</f>
        <v>8.9700000000000006</v>
      </c>
      <c r="DP99" s="28">
        <f t="shared" ca="1" si="106"/>
        <v>0.39347572125150732</v>
      </c>
      <c r="DQ99" s="15">
        <f t="shared" ca="1" si="134"/>
        <v>9.0061911764705886</v>
      </c>
      <c r="DR99" s="15">
        <f t="shared" ca="1" si="135"/>
        <v>9.0412856506238857</v>
      </c>
      <c r="DS99" s="9"/>
      <c r="DT99" s="9"/>
      <c r="DU99" s="9"/>
      <c r="DV99" s="89">
        <v>1.371267461232859E-2</v>
      </c>
      <c r="DW99" s="89">
        <f t="shared" ca="1" si="107"/>
        <v>3.9124274418392054E-3</v>
      </c>
      <c r="DX99" s="72">
        <f t="shared" ca="1" si="108"/>
        <v>-0.34386366572817767</v>
      </c>
      <c r="DY99" s="37"/>
      <c r="DZ99" s="35">
        <f t="shared" si="118"/>
        <v>0.36351616195157022</v>
      </c>
      <c r="EA99" s="56"/>
      <c r="EB99" s="56"/>
      <c r="ED99" s="2" t="e" vm="99">
        <v>#VALUE!</v>
      </c>
      <c r="EF99" s="10" cm="1">
        <f t="array" aca="1" ref="EF99" ca="1">_FV(ED99,"Ações em circulação",TRUE)</f>
        <v>1136271000</v>
      </c>
      <c r="EG99" s="18">
        <f>VLOOKUP(BQ99,Fundamentus!A:U,5,FALSE)</f>
        <v>1.1040000000000001</v>
      </c>
      <c r="EH99" s="2">
        <f t="shared" ca="1" si="109"/>
        <v>9283663423.9130421</v>
      </c>
      <c r="EI99" s="17">
        <v>1221048755.6793478</v>
      </c>
      <c r="EJ99" s="17">
        <f t="shared" ca="1" si="110"/>
        <v>1237512334.4076085</v>
      </c>
      <c r="EL99" s="16">
        <f t="shared" ca="1" si="97"/>
        <v>1.348314606741563E-2</v>
      </c>
      <c r="EM99" s="32" t="str">
        <f>IF(VLOOKUP(BQ99,Fundamentus!A:U,3,FALSE)&lt;15,"Bom",IF(VLOOKUP(BQ99,Fundamentus!A:U,3,FALSE)&gt;15,"Ruim","n/a"))</f>
        <v>Bom</v>
      </c>
      <c r="EN99" s="28" t="str">
        <f>IF(VLOOKUP(BQ99,Fundamentus!A:U,4,FALSE)&lt;1,"Baixo",IF(VLOOKUP(BQ99,Fundamentus!A:U,4,FALSE)&lt;1.5,"Moderado",IF(VLOOKUP(BQ99,Fundamentus!A:U,4,FALSE)&gt;1.5,"Alto","n/a")))</f>
        <v>Alto</v>
      </c>
      <c r="EO99" s="17" t="str">
        <f>IF(VLOOKUP(BQ99,Fundamentus!A:U,8,FALSE)&lt;0,"Risco elevado",IF(VLOOKUP(BQ99,Fundamentus!A:U,8,FALSE)&lt;1,"Saudável",IF(VLOOKUP(BQ99,Fundamentus!A:U,8,FALSE)&lt;3,"Estável",IF(VLOOKUP(BQ99,Fundamentus!A:U,8,FALSE)&gt;3,"Alerta","n/a"))))</f>
        <v>Alerta</v>
      </c>
      <c r="EP99" s="28" t="str">
        <f t="shared" si="111"/>
        <v>Bom</v>
      </c>
      <c r="EQ99" s="17" t="str">
        <f>IF(VLOOKUP(BQ99,Fundamentus!A:U,12,FALSE)&lt;2,"Subvalorizada",IF(VLOOKUP(BQ99,Fundamentus!A:U,12,FALSE)&lt;6,"Muita barata",IF(VLOOKUP(BQ99,Fundamentus!A:U,12,FALSE)&lt;6,"Barata",IF(VLOOKUP(BQ99,Fundamentus!A:U,12,FALSE)&lt;8,"Atrativa",IF(VLOOKUP(BQ99,Fundamentus!A:U,12,FALSE)&gt;8,"Supervalorizada","n/a")))))</f>
        <v>Atrativa</v>
      </c>
      <c r="ES99" s="17" t="str">
        <f>IF(VLOOKUP(BQ99,Fundamentus!A:U,17,FALSE)&lt;0.1,"Fraco retorno",IF(VLOOKUP(BQ99,Fundamentus!A:U,17,FALSE)&gt;0.1,"Bom retorno","n/a"))</f>
        <v>Bom retorno</v>
      </c>
      <c r="ET99" s="17" t="str">
        <f>IF(VLOOKUP(BQ99,Fundamentus!A:U,16,FALSE)&lt;0.1,"Ineficiente",IF(VLOOKUP(BQ99,Fundamentus!A:U,16,FALSE)&gt;0.1,"Eficiente","n/a"))</f>
        <v>Eficiente</v>
      </c>
      <c r="EU99" s="33" t="str">
        <f>IF(VLOOKUP(BQ99,Fundamentus!A:U,16,FALSE)&lt;0.1,"Oper. Ineficiente",IF(VLOOKUP(BQ99,Fundamentus!A:U,16,FALSE)&gt;0.1,"Oper.Eficiente","n/a"))</f>
        <v>Oper.Eficiente</v>
      </c>
      <c r="EV99" s="34">
        <f>VLOOKUP(BQ99,Fundamentus!A:U,14,FALSE)</f>
        <v>0.1333</v>
      </c>
      <c r="EW99" s="17" t="str">
        <f>IF(VLOOKUP(BQ99,Fundamentus!A:U,21,FALSE)&lt;0,"Negativo",IF(VLOOKUP(BQ99,Fundamentus!A:U,21,FALSE)&lt;0.05,"Fraco",IF(VLOOKUP(BQ99,Fundamentus!A:U,21,FALSE)&lt;0.1,"Bom",IF(VLOOKUP(BQ99,Fundamentus!A:U,21,FALSE)&gt;0.1,"Muito bom","n/a"))))</f>
        <v>Muito bom</v>
      </c>
      <c r="EY99" s="29" t="str">
        <f>IF(VLOOKUP(BQ99,Fundamentus!A:U,15,FALSE)&gt;1,"Bom",IF(VLOOKUP(BQ99,Fundamentus!A:U,15,FALSE)&lt;1,"Ruim","n/a"))</f>
        <v>Bom</v>
      </c>
      <c r="EZ99" s="17" t="str">
        <f>IF(VLOOKUP(BQ99,Fundamentus!A:U,20,FALSE)&lt;0.5,"Baixa",IF(VLOOKUP(BQ99,Fundamentus!A:U,20,FALSE)&lt;1,"Moderada",IF(VLOOKUP(BQ99,Fundamentus!A:U,20,FALSE)&lt;2,"Alerta",IF(VLOOKUP(BQ99,Fundamentus!A:U,20,FALSE)&gt;2,"Alta","n/a"))))</f>
        <v>Moderada</v>
      </c>
      <c r="FA99" s="10"/>
    </row>
    <row r="100" spans="1:157" s="2" customFormat="1" ht="11.25" hidden="1" x14ac:dyDescent="0.2">
      <c r="A100" s="4">
        <v>63.99</v>
      </c>
      <c r="B100" s="4">
        <v>64.510000000000005</v>
      </c>
      <c r="C100" s="4">
        <v>66.180000000000007</v>
      </c>
      <c r="D100" s="4">
        <v>64.95</v>
      </c>
      <c r="E100" s="4">
        <v>63.2</v>
      </c>
      <c r="F100" s="4">
        <v>60.41</v>
      </c>
      <c r="G100" s="4">
        <v>60.62</v>
      </c>
      <c r="H100" s="4">
        <v>60.83</v>
      </c>
      <c r="I100" s="4">
        <v>62.31</v>
      </c>
      <c r="J100" s="4">
        <v>63.6</v>
      </c>
      <c r="K100" s="4">
        <v>62.92</v>
      </c>
      <c r="L100" s="4">
        <v>61.12</v>
      </c>
      <c r="M100" s="4">
        <v>61.47</v>
      </c>
      <c r="N100" s="4">
        <v>59.41</v>
      </c>
      <c r="O100" s="4">
        <v>57.06</v>
      </c>
      <c r="P100" s="4">
        <v>56.13</v>
      </c>
      <c r="Q100" s="4">
        <v>57.4</v>
      </c>
      <c r="R100" s="4">
        <v>59.58</v>
      </c>
      <c r="S100" s="4">
        <v>56.68</v>
      </c>
      <c r="T100" s="4">
        <v>58.5</v>
      </c>
      <c r="U100" s="4">
        <v>57.35</v>
      </c>
      <c r="V100" s="4">
        <v>63.96</v>
      </c>
      <c r="W100" s="4">
        <v>62.48</v>
      </c>
      <c r="X100" s="4">
        <v>62.13</v>
      </c>
      <c r="Y100" s="4">
        <v>59.95</v>
      </c>
      <c r="Z100" s="4">
        <v>61.73</v>
      </c>
      <c r="AA100" s="4">
        <v>62.03</v>
      </c>
      <c r="AB100" s="4">
        <v>60.58</v>
      </c>
      <c r="AC100" s="4">
        <v>56.84</v>
      </c>
      <c r="AD100" s="4">
        <v>58.18</v>
      </c>
      <c r="AE100" s="4">
        <v>58.78</v>
      </c>
      <c r="AF100" s="4">
        <v>56.81</v>
      </c>
      <c r="AG100" s="4">
        <v>55.86</v>
      </c>
      <c r="AH100" s="4">
        <v>54.85</v>
      </c>
      <c r="AI100" s="4">
        <v>54.74</v>
      </c>
      <c r="AJ100" s="4">
        <v>53.24</v>
      </c>
      <c r="AK100" s="4">
        <v>51.52</v>
      </c>
      <c r="AL100" s="4">
        <v>54.49</v>
      </c>
      <c r="AM100" s="4">
        <v>53.03</v>
      </c>
      <c r="AN100" s="4">
        <v>54.17</v>
      </c>
      <c r="AO100" s="4">
        <v>54.83</v>
      </c>
      <c r="AP100" s="4">
        <v>55.67</v>
      </c>
      <c r="AQ100" s="4">
        <v>58.16</v>
      </c>
      <c r="AR100" s="4">
        <v>55.15</v>
      </c>
      <c r="AS100" s="4">
        <v>57.02</v>
      </c>
      <c r="AT100" s="4">
        <v>56.29</v>
      </c>
      <c r="AU100" s="4">
        <v>57.14</v>
      </c>
      <c r="AV100" s="4">
        <v>57.56</v>
      </c>
      <c r="AW100" s="4">
        <v>52.68</v>
      </c>
      <c r="AX100" s="4">
        <v>53.66</v>
      </c>
      <c r="AY100" s="12">
        <v>52.88</v>
      </c>
      <c r="AZ100" s="12">
        <v>53.85</v>
      </c>
      <c r="BA100" s="12">
        <v>52.86</v>
      </c>
      <c r="BB100" s="15">
        <v>52.74</v>
      </c>
      <c r="BC100" s="52">
        <v>55.45</v>
      </c>
      <c r="BD100" s="52">
        <v>54.32</v>
      </c>
      <c r="BE100" s="52">
        <v>52.1</v>
      </c>
      <c r="BF100" s="52">
        <v>52.98</v>
      </c>
      <c r="BG100" s="67">
        <v>52.13</v>
      </c>
      <c r="BH100" s="52">
        <v>49.92</v>
      </c>
      <c r="BI100" s="52">
        <v>53</v>
      </c>
      <c r="BJ100" s="52">
        <v>55.2</v>
      </c>
      <c r="BK100" s="52">
        <v>56</v>
      </c>
      <c r="BL100" s="52">
        <v>54.56</v>
      </c>
      <c r="BM100" s="52">
        <v>55.7</v>
      </c>
      <c r="BN100" s="52">
        <v>53.75</v>
      </c>
      <c r="BO100" s="52">
        <v>55.4</v>
      </c>
      <c r="BP100" s="52" cm="1">
        <f t="array" aca="1" ref="BP100" ca="1">_FV(ED100,"Preço")</f>
        <v>53.32</v>
      </c>
      <c r="BQ100" s="69" t="s">
        <v>97</v>
      </c>
      <c r="BR100" s="36" cm="1">
        <f t="array" aca="1" ref="BR100" ca="1">_FV(ED100,"Média de volume",TRUE)</f>
        <v>25058780</v>
      </c>
      <c r="BS100" s="36">
        <v>24205600</v>
      </c>
      <c r="BT100" s="36" cm="1">
        <f t="array" aca="1" ref="BT100" ca="1">_FV(ED100,"Volume")</f>
        <v>32470800</v>
      </c>
      <c r="BU100" s="24" cm="1">
        <f t="array" aca="1" ref="BU100" ca="1">_FV(ED100,"Beta")</f>
        <v>0.77880000000000005</v>
      </c>
      <c r="BV100" s="71" cm="1">
        <f t="array" aca="1" ref="BV100" ca="1">_FV(ED100,"Variação (%)",TRUE)</f>
        <v>-1.872E-3</v>
      </c>
      <c r="BX100" s="17" cm="1">
        <f t="array" aca="1" ref="BX100" ca="1">_FV(ED100,"Baixo")</f>
        <v>53</v>
      </c>
      <c r="BY100" s="17" cm="1">
        <f t="array" aca="1" ref="BY100" ca="1">_FV(ED100,"Alto")</f>
        <v>53.58</v>
      </c>
      <c r="BZ100" s="24"/>
      <c r="CA100" s="63">
        <f ca="1">SQRT(22.5*(BP100/VLOOKUP(BQ100,Fundamentus!A:U,3,FALSE))*(BP100/VLOOKUP(BQ100,Fundamentus!A:U,4,FALSE)))</f>
        <v>77.387599650784793</v>
      </c>
      <c r="CC100" s="62">
        <f t="shared" ca="1" si="112"/>
        <v>-3.7545126353790585E-2</v>
      </c>
      <c r="CD100" s="8"/>
      <c r="CE100" s="61">
        <f t="shared" si="113"/>
        <v>49.92</v>
      </c>
      <c r="CF100" s="61">
        <f t="shared" si="114"/>
        <v>66.180000000000007</v>
      </c>
      <c r="CG100" s="61">
        <f t="shared" si="115"/>
        <v>57.381940298507438</v>
      </c>
      <c r="CH100" s="14"/>
      <c r="CI100" s="35">
        <f t="shared" si="98"/>
        <v>53.35244589130221</v>
      </c>
      <c r="CJ100" s="15">
        <f t="shared" si="116"/>
        <v>54.995000000000005</v>
      </c>
      <c r="CK100" s="35">
        <f t="shared" si="99"/>
        <v>56.637554108697799</v>
      </c>
      <c r="CM100" s="14"/>
      <c r="CN100" s="17">
        <f t="shared" si="100"/>
        <v>31.893333333333317</v>
      </c>
      <c r="CO100" s="17">
        <f t="shared" si="101"/>
        <v>40.906666666666659</v>
      </c>
      <c r="CP100" s="17">
        <f t="shared" si="102"/>
        <v>48.153333333333322</v>
      </c>
      <c r="CQ100" s="38">
        <f t="shared" si="117"/>
        <v>57.166666666666664</v>
      </c>
      <c r="CR100" s="17">
        <f t="shared" si="103"/>
        <v>64.413333333333327</v>
      </c>
      <c r="CS100" s="17">
        <f t="shared" si="104"/>
        <v>73.426666666666677</v>
      </c>
      <c r="CT100" s="17">
        <f t="shared" si="105"/>
        <v>80.673333333333332</v>
      </c>
      <c r="CU100" s="2" cm="1">
        <f t="array" aca="1" ref="CU100" ca="1">MAX(_xlfn._xlws.FILTER(CN100:CT100,CN100:CT100&lt;BP100))</f>
        <v>48.153333333333322</v>
      </c>
      <c r="CV100" s="2" cm="1">
        <f t="array" aca="1" ref="CV100" ca="1">MIN(_xlfn._xlws.FILTER($CN100:$CT100,$CN100:$CT100&gt;BP100))</f>
        <v>57.166666666666664</v>
      </c>
      <c r="CW100" s="16">
        <f t="shared" ca="1" si="119"/>
        <v>0.18717984217084327</v>
      </c>
      <c r="CX100" s="20">
        <f t="shared" ca="1" si="120"/>
        <v>-9.3589921085421635E-2</v>
      </c>
      <c r="CY100" s="20">
        <f t="shared" ca="1" si="121"/>
        <v>-6.2393280723614421E-2</v>
      </c>
      <c r="CZ100" s="20">
        <f t="shared" ca="1" si="122"/>
        <v>-3.7435968434168652E-2</v>
      </c>
      <c r="DA100" s="20">
        <f t="shared" ca="1" si="123"/>
        <v>-2.0797760241204808E-2</v>
      </c>
      <c r="DB100" s="20">
        <f t="shared" ca="1" si="124"/>
        <v>-1.1010578951226075E-2</v>
      </c>
      <c r="DC100" s="20">
        <f t="shared" ca="1" si="125"/>
        <v>-5.6721164294194926E-3</v>
      </c>
      <c r="DD100" s="20">
        <f t="shared" ca="1" si="126"/>
        <v>-2.8796898795514351E-3</v>
      </c>
      <c r="DE100" s="21">
        <f t="shared" ca="1" si="127"/>
        <v>2.8796898795514351E-3</v>
      </c>
      <c r="DF100" s="21">
        <f t="shared" ca="1" si="128"/>
        <v>5.6721164294194926E-3</v>
      </c>
      <c r="DG100" s="21">
        <f t="shared" ca="1" si="129"/>
        <v>1.1010578951226075E-2</v>
      </c>
      <c r="DH100" s="21">
        <f t="shared" ca="1" si="130"/>
        <v>2.0797760241204808E-2</v>
      </c>
      <c r="DI100" s="21">
        <f t="shared" ca="1" si="131"/>
        <v>3.7435968434168652E-2</v>
      </c>
      <c r="DJ100" s="21">
        <f t="shared" ca="1" si="132"/>
        <v>6.2393280723614421E-2</v>
      </c>
      <c r="DK100" s="21">
        <f t="shared" ca="1" si="133"/>
        <v>9.3589921085421635E-2</v>
      </c>
      <c r="DM100" s="16" cm="1">
        <f t="array" aca="1" ref="DM100" ca="1">MAX(_xlfn._xlws.FILTER(CX100:DK100,CX100:DK100&lt;BV100))</f>
        <v>-2.8796898795514351E-3</v>
      </c>
      <c r="DN100" s="16" cm="1">
        <f t="array" aca="1" ref="DN100" ca="1">MIN(_xlfn._xlws.FILTER(CX100:DK100,CX100:DK100&gt;BV100))</f>
        <v>2.8796898795514351E-3</v>
      </c>
      <c r="DO100" s="2" cm="1">
        <f t="array" aca="1" ref="DO100" ca="1">_FV(ED100,"Fechamento anterior",TRUE)</f>
        <v>53.42</v>
      </c>
      <c r="DP100" s="28">
        <f t="shared" ca="1" si="106"/>
        <v>0.1749722806209065</v>
      </c>
      <c r="DQ100" s="15">
        <f t="shared" ca="1" si="134"/>
        <v>53.266166966634366</v>
      </c>
      <c r="DR100" s="15">
        <f t="shared" ca="1" si="135"/>
        <v>53.573833033365638</v>
      </c>
      <c r="DS100" s="9"/>
      <c r="DT100" s="9"/>
      <c r="DU100" s="9"/>
      <c r="DV100" s="89">
        <v>1.6638208192963844E-2</v>
      </c>
      <c r="DW100" s="89">
        <f t="shared" ca="1" si="107"/>
        <v>5.7593797591028702E-3</v>
      </c>
      <c r="DX100" s="72">
        <f t="shared" ca="1" si="108"/>
        <v>-1.0197533165759347</v>
      </c>
      <c r="DY100" s="37"/>
      <c r="DZ100" s="35">
        <f t="shared" si="118"/>
        <v>0.82127705434889642</v>
      </c>
      <c r="EA100" s="56"/>
      <c r="EB100" s="56"/>
      <c r="ED100" s="2" t="e" vm="100">
        <v>#VALUE!</v>
      </c>
      <c r="EF100" s="10" cm="1">
        <f t="array" aca="1" ref="EF100" ca="1">_FV(ED100,"Ações em circulação",TRUE)</f>
        <v>4539008000</v>
      </c>
      <c r="EG100" s="18">
        <f>VLOOKUP(BQ100,Fundamentus!A:U,5,FALSE)</f>
        <v>1.232</v>
      </c>
      <c r="EH100" s="2">
        <f t="shared" ca="1" si="109"/>
        <v>196444729350.64935</v>
      </c>
      <c r="EI100" s="17">
        <v>29207853313.246754</v>
      </c>
      <c r="EJ100" s="17">
        <f t="shared" ca="1" si="110"/>
        <v>28111240770.077923</v>
      </c>
      <c r="EL100" s="16">
        <f t="shared" ca="1" si="97"/>
        <v>-3.7545126353790592E-2</v>
      </c>
      <c r="EM100" s="32" t="str">
        <f>IF(VLOOKUP(BQ100,Fundamentus!A:U,3,FALSE)&lt;15,"Bom",IF(VLOOKUP(BQ100,Fundamentus!A:U,3,FALSE)&gt;15,"Ruim","n/a"))</f>
        <v>Bom</v>
      </c>
      <c r="EN100" s="28" t="str">
        <f>IF(VLOOKUP(BQ100,Fundamentus!A:U,4,FALSE)&lt;1,"Baixo",IF(VLOOKUP(BQ100,Fundamentus!A:U,4,FALSE)&lt;1.5,"Moderado",IF(VLOOKUP(BQ100,Fundamentus!A:U,4,FALSE)&gt;1.5,"Alto","n/a")))</f>
        <v>Moderado</v>
      </c>
      <c r="EO100" s="17" t="str">
        <f>IF(VLOOKUP(BQ100,Fundamentus!A:U,8,FALSE)&lt;0,"Risco elevado",IF(VLOOKUP(BQ100,Fundamentus!A:U,8,FALSE)&lt;1,"Saudável",IF(VLOOKUP(BQ100,Fundamentus!A:U,8,FALSE)&lt;3,"Estável",IF(VLOOKUP(BQ100,Fundamentus!A:U,8,FALSE)&gt;3,"Alerta","n/a"))))</f>
        <v>Alerta</v>
      </c>
      <c r="EP100" s="28" t="str">
        <f t="shared" si="111"/>
        <v>Bom</v>
      </c>
      <c r="EQ100" s="17" t="str">
        <f>IF(VLOOKUP(BQ100,Fundamentus!A:U,12,FALSE)&lt;2,"Subvalorizada",IF(VLOOKUP(BQ100,Fundamentus!A:U,12,FALSE)&lt;6,"Muita barata",IF(VLOOKUP(BQ100,Fundamentus!A:U,12,FALSE)&lt;6,"Barata",IF(VLOOKUP(BQ100,Fundamentus!A:U,12,FALSE)&lt;8,"Atrativa",IF(VLOOKUP(BQ100,Fundamentus!A:U,12,FALSE)&gt;8,"Supervalorizada","n/a")))))</f>
        <v>Muita barata</v>
      </c>
      <c r="ES100" s="17" t="str">
        <f>IF(VLOOKUP(BQ100,Fundamentus!A:U,17,FALSE)&lt;0.1,"Fraco retorno",IF(VLOOKUP(BQ100,Fundamentus!A:U,17,FALSE)&gt;0.1,"Bom retorno","n/a"))</f>
        <v>Bom retorno</v>
      </c>
      <c r="ET100" s="17" t="str">
        <f>IF(VLOOKUP(BQ100,Fundamentus!A:U,16,FALSE)&lt;0.1,"Ineficiente",IF(VLOOKUP(BQ100,Fundamentus!A:U,16,FALSE)&gt;0.1,"Eficiente","n/a"))</f>
        <v>Eficiente</v>
      </c>
      <c r="EU100" s="33" t="str">
        <f>IF(VLOOKUP(BQ100,Fundamentus!A:U,16,FALSE)&lt;0.1,"Oper. Ineficiente",IF(VLOOKUP(BQ100,Fundamentus!A:U,16,FALSE)&gt;0.1,"Oper.Eficiente","n/a"))</f>
        <v>Oper.Eficiente</v>
      </c>
      <c r="EV100" s="34">
        <f>VLOOKUP(BQ100,Fundamentus!A:U,14,FALSE)</f>
        <v>0.1431</v>
      </c>
      <c r="EW100" s="17" t="str">
        <f>IF(VLOOKUP(BQ100,Fundamentus!A:U,21,FALSE)&lt;0,"Negativo",IF(VLOOKUP(BQ100,Fundamentus!A:U,21,FALSE)&lt;0.05,"Fraco",IF(VLOOKUP(BQ100,Fundamentus!A:U,21,FALSE)&lt;0.1,"Bom",IF(VLOOKUP(BQ100,Fundamentus!A:U,21,FALSE)&gt;0.1,"Muito bom","n/a"))))</f>
        <v>Negativo</v>
      </c>
      <c r="EY100" s="29" t="str">
        <f>IF(VLOOKUP(BQ100,Fundamentus!A:U,15,FALSE)&gt;1,"Bom",IF(VLOOKUP(BQ100,Fundamentus!A:U,15,FALSE)&lt;1,"Ruim","n/a"))</f>
        <v>Bom</v>
      </c>
      <c r="EZ100" s="17" t="str">
        <f>IF(VLOOKUP(BQ100,Fundamentus!A:U,20,FALSE)&lt;0.5,"Baixa",IF(VLOOKUP(BQ100,Fundamentus!A:U,20,FALSE)&lt;1,"Moderada",IF(VLOOKUP(BQ100,Fundamentus!A:U,20,FALSE)&lt;2,"Alerta",IF(VLOOKUP(BQ100,Fundamentus!A:U,20,FALSE)&gt;2,"Alta","n/a"))))</f>
        <v>Baixa</v>
      </c>
      <c r="FA100" s="10"/>
    </row>
    <row r="101" spans="1:157" s="2" customFormat="1" ht="11.25" hidden="1" x14ac:dyDescent="0.2">
      <c r="A101" s="4">
        <v>26.24</v>
      </c>
      <c r="B101" s="4">
        <v>26.17</v>
      </c>
      <c r="C101" s="4">
        <v>27.6</v>
      </c>
      <c r="D101" s="4">
        <v>25.92</v>
      </c>
      <c r="E101" s="4">
        <v>24.98</v>
      </c>
      <c r="F101" s="4">
        <v>25.32</v>
      </c>
      <c r="G101" s="4">
        <v>25.7</v>
      </c>
      <c r="H101" s="4">
        <v>25.8</v>
      </c>
      <c r="I101" s="4">
        <v>25.54</v>
      </c>
      <c r="J101" s="4">
        <v>25.29</v>
      </c>
      <c r="K101" s="4">
        <v>25.76</v>
      </c>
      <c r="L101" s="4">
        <v>25.77</v>
      </c>
      <c r="M101" s="4">
        <v>27</v>
      </c>
      <c r="N101" s="4">
        <v>28.4</v>
      </c>
      <c r="O101" s="4">
        <v>29.34</v>
      </c>
      <c r="P101" s="4">
        <v>29.5</v>
      </c>
      <c r="Q101" s="4">
        <v>27.86</v>
      </c>
      <c r="R101" s="4">
        <v>27.56</v>
      </c>
      <c r="S101" s="4">
        <v>27.44</v>
      </c>
      <c r="T101" s="4">
        <v>26.7</v>
      </c>
      <c r="U101" s="4">
        <v>26.97</v>
      </c>
      <c r="V101" s="4">
        <v>25.7</v>
      </c>
      <c r="W101" s="4">
        <v>25.38</v>
      </c>
      <c r="X101" s="4">
        <v>24.38</v>
      </c>
      <c r="Y101" s="4">
        <v>25.14</v>
      </c>
      <c r="Z101" s="4">
        <v>24.44</v>
      </c>
      <c r="AA101" s="4">
        <v>24.3</v>
      </c>
      <c r="AB101" s="4">
        <v>25.45</v>
      </c>
      <c r="AC101" s="4">
        <v>25.43</v>
      </c>
      <c r="AD101" s="4">
        <v>26.02</v>
      </c>
      <c r="AE101" s="4">
        <v>24.08</v>
      </c>
      <c r="AF101" s="4">
        <v>24.14</v>
      </c>
      <c r="AG101" s="4">
        <v>23.6</v>
      </c>
      <c r="AH101" s="4">
        <v>22.62</v>
      </c>
      <c r="AI101" s="4">
        <v>22</v>
      </c>
      <c r="AJ101" s="4">
        <v>20.8</v>
      </c>
      <c r="AK101" s="4">
        <v>20.97</v>
      </c>
      <c r="AL101" s="4">
        <v>21.23</v>
      </c>
      <c r="AM101" s="4">
        <v>20.78</v>
      </c>
      <c r="AN101" s="4">
        <v>21.09</v>
      </c>
      <c r="AO101" s="4">
        <v>20.12</v>
      </c>
      <c r="AP101" s="4">
        <v>20</v>
      </c>
      <c r="AQ101" s="4">
        <v>19.059999999999999</v>
      </c>
      <c r="AR101" s="4">
        <v>17.38</v>
      </c>
      <c r="AS101" s="4">
        <v>17.809999999999999</v>
      </c>
      <c r="AT101" s="4">
        <v>19.18</v>
      </c>
      <c r="AU101" s="4">
        <v>19.66</v>
      </c>
      <c r="AV101" s="4">
        <v>19.34</v>
      </c>
      <c r="AW101" s="4">
        <v>19.53</v>
      </c>
      <c r="AX101" s="4">
        <v>21.38</v>
      </c>
      <c r="AY101" s="12">
        <v>20.69</v>
      </c>
      <c r="AZ101" s="12">
        <v>20.100000000000001</v>
      </c>
      <c r="BA101" s="12">
        <v>19.84</v>
      </c>
      <c r="BB101" s="15">
        <v>16.309999999999999</v>
      </c>
      <c r="BC101" s="52">
        <v>15.3</v>
      </c>
      <c r="BD101" s="52">
        <v>14.67</v>
      </c>
      <c r="BE101" s="52">
        <v>14.85</v>
      </c>
      <c r="BF101" s="52">
        <v>15.15</v>
      </c>
      <c r="BG101" s="67">
        <v>13.88</v>
      </c>
      <c r="BH101" s="52">
        <v>14</v>
      </c>
      <c r="BI101" s="52">
        <v>14.99</v>
      </c>
      <c r="BJ101" s="52">
        <v>15.3</v>
      </c>
      <c r="BK101" s="52">
        <v>13.76</v>
      </c>
      <c r="BL101" s="52">
        <v>13.53</v>
      </c>
      <c r="BM101" s="52">
        <v>14.04</v>
      </c>
      <c r="BN101" s="52">
        <v>13.7</v>
      </c>
      <c r="BO101" s="52">
        <v>17.68</v>
      </c>
      <c r="BP101" s="52" cm="1">
        <f t="array" aca="1" ref="BP101" ca="1">_FV(ED101,"Preço")</f>
        <v>17.47</v>
      </c>
      <c r="BQ101" s="69" t="s">
        <v>98</v>
      </c>
      <c r="BR101" s="36" cm="1">
        <f t="array" aca="1" ref="BR101" ca="1">_FV(ED101,"Média de volume",TRUE)</f>
        <v>17224020</v>
      </c>
      <c r="BS101" s="36">
        <v>14993700</v>
      </c>
      <c r="BT101" s="36" cm="1">
        <f t="array" aca="1" ref="BT101" ca="1">_FV(ED101,"Volume")</f>
        <v>7679900</v>
      </c>
      <c r="BU101" s="24" cm="1">
        <f t="array" aca="1" ref="BU101" ca="1">_FV(ED101,"Beta")</f>
        <v>0.80400000000000005</v>
      </c>
      <c r="BV101" s="71" cm="1">
        <f t="array" aca="1" ref="BV101" ca="1">_FV(ED101,"Variação (%)",TRUE)</f>
        <v>-6.2570000000000004E-3</v>
      </c>
      <c r="BX101" s="17" cm="1">
        <f t="array" aca="1" ref="BX101" ca="1">_FV(ED101,"Baixo")</f>
        <v>17.14</v>
      </c>
      <c r="BY101" s="17" cm="1">
        <f t="array" aca="1" ref="BY101" ca="1">_FV(ED101,"Alto")</f>
        <v>17.88</v>
      </c>
      <c r="BZ101" s="24"/>
      <c r="CA101" s="63">
        <f ca="1">SQRT(22.5*(BP101/VLOOKUP(BQ101,Fundamentus!A:U,3,FALSE))*(BP101/VLOOKUP(BQ101,Fundamentus!A:U,4,FALSE)))</f>
        <v>9.4055318289561516</v>
      </c>
      <c r="CC101" s="62">
        <f t="shared" ca="1" si="112"/>
        <v>-1.1877828054298691E-2</v>
      </c>
      <c r="CD101" s="8"/>
      <c r="CE101" s="61">
        <f t="shared" si="113"/>
        <v>13.53</v>
      </c>
      <c r="CF101" s="61">
        <f t="shared" si="114"/>
        <v>29.5</v>
      </c>
      <c r="CG101" s="61">
        <f t="shared" si="115"/>
        <v>21.935223880597015</v>
      </c>
      <c r="CH101" s="14"/>
      <c r="CI101" s="35">
        <f t="shared" si="98"/>
        <v>14.609854361523425</v>
      </c>
      <c r="CJ101" s="15">
        <f t="shared" si="116"/>
        <v>17.765000000000327</v>
      </c>
      <c r="CK101" s="35">
        <f t="shared" si="99"/>
        <v>20.92014563847723</v>
      </c>
      <c r="CM101" s="14"/>
      <c r="CN101" s="17">
        <f t="shared" si="100"/>
        <v>-4.9966666666666644</v>
      </c>
      <c r="CO101" s="17">
        <f t="shared" si="101"/>
        <v>4.2666666666666675</v>
      </c>
      <c r="CP101" s="17">
        <f t="shared" si="102"/>
        <v>10.973333333333336</v>
      </c>
      <c r="CQ101" s="38">
        <f t="shared" si="117"/>
        <v>20.236666666666668</v>
      </c>
      <c r="CR101" s="17">
        <f t="shared" si="103"/>
        <v>26.943333333333335</v>
      </c>
      <c r="CS101" s="17">
        <f t="shared" si="104"/>
        <v>36.206666666666671</v>
      </c>
      <c r="CT101" s="17">
        <f t="shared" si="105"/>
        <v>42.913333333333341</v>
      </c>
      <c r="CU101" s="2" cm="1">
        <f t="array" aca="1" ref="CU101" ca="1">MAX(_xlfn._xlws.FILTER(CN101:CT101,CN101:CT101&lt;BP101))</f>
        <v>10.973333333333336</v>
      </c>
      <c r="CV101" s="2" cm="1">
        <f t="array" aca="1" ref="CV101" ca="1">MIN(_xlfn._xlws.FILTER($CN101:$CT101,$CN101:$CT101&gt;BP101))</f>
        <v>20.236666666666668</v>
      </c>
      <c r="CW101" s="16">
        <f t="shared" ca="1" si="119"/>
        <v>0.84416767922235691</v>
      </c>
      <c r="CX101" s="20">
        <f t="shared" ca="1" si="120"/>
        <v>-0.42208383961117846</v>
      </c>
      <c r="CY101" s="20">
        <f t="shared" ca="1" si="121"/>
        <v>-0.28138922640745229</v>
      </c>
      <c r="CZ101" s="20">
        <f t="shared" ca="1" si="122"/>
        <v>-0.16883353584447139</v>
      </c>
      <c r="DA101" s="20">
        <f t="shared" ca="1" si="123"/>
        <v>-9.3796408802484105E-2</v>
      </c>
      <c r="DB101" s="20">
        <f t="shared" ca="1" si="124"/>
        <v>-4.9656922307197468E-2</v>
      </c>
      <c r="DC101" s="20">
        <f t="shared" ca="1" si="125"/>
        <v>-2.5580838764313846E-2</v>
      </c>
      <c r="DD101" s="20">
        <f t="shared" ca="1" si="126"/>
        <v>-1.2987195064959337E-2</v>
      </c>
      <c r="DE101" s="21">
        <f t="shared" ca="1" si="127"/>
        <v>1.2987195064959337E-2</v>
      </c>
      <c r="DF101" s="21">
        <f t="shared" ca="1" si="128"/>
        <v>2.5580838764313846E-2</v>
      </c>
      <c r="DG101" s="21">
        <f t="shared" ca="1" si="129"/>
        <v>4.9656922307197468E-2</v>
      </c>
      <c r="DH101" s="21">
        <f t="shared" ca="1" si="130"/>
        <v>9.3796408802484105E-2</v>
      </c>
      <c r="DI101" s="21">
        <f t="shared" ca="1" si="131"/>
        <v>0.16883353584447139</v>
      </c>
      <c r="DJ101" s="21">
        <f t="shared" ca="1" si="132"/>
        <v>0.28138922640745229</v>
      </c>
      <c r="DK101" s="21">
        <f t="shared" ca="1" si="133"/>
        <v>0.42208383961117846</v>
      </c>
      <c r="DM101" s="16" cm="1">
        <f t="array" aca="1" ref="DM101" ca="1">MAX(_xlfn._xlws.FILTER(CX101:DK101,CX101:DK101&lt;BV101))</f>
        <v>-1.2987195064959337E-2</v>
      </c>
      <c r="DN101" s="16" cm="1">
        <f t="array" aca="1" ref="DN101" ca="1">MIN(_xlfn._xlws.FILTER(CX101:DK101,CX101:DK101&gt;BV101))</f>
        <v>1.2987195064959337E-2</v>
      </c>
      <c r="DO101" s="2" cm="1">
        <f t="array" aca="1" ref="DO101" ca="1">_FV(ED101,"Fechamento anterior",TRUE)</f>
        <v>17.579999999999998</v>
      </c>
      <c r="DP101" s="28">
        <f t="shared" ca="1" si="106"/>
        <v>0.2591046287756274</v>
      </c>
      <c r="DQ101" s="15">
        <f t="shared" ca="1" si="134"/>
        <v>17.351685110758012</v>
      </c>
      <c r="DR101" s="15">
        <f t="shared" ca="1" si="135"/>
        <v>17.808314889241984</v>
      </c>
      <c r="DS101" s="9"/>
      <c r="DT101" s="9"/>
      <c r="DU101" s="9"/>
      <c r="DV101" s="89">
        <v>2.5974390129918673E-2</v>
      </c>
      <c r="DW101" s="89">
        <f t="shared" ca="1" si="107"/>
        <v>2.5974390129918673E-2</v>
      </c>
      <c r="DX101" s="72">
        <f t="shared" ca="1" si="108"/>
        <v>-9.3498061199715404E-2</v>
      </c>
      <c r="DY101" s="37"/>
      <c r="DZ101" s="35">
        <f t="shared" si="118"/>
        <v>1.5775728192384508</v>
      </c>
      <c r="EA101" s="56"/>
      <c r="EB101" s="56"/>
      <c r="ED101" s="2" t="e" vm="101">
        <v>#VALUE!</v>
      </c>
      <c r="EF101" s="10" cm="1">
        <f t="array" aca="1" ref="EF101" ca="1">_FV(ED101,"Ações em circulação",TRUE)</f>
        <v>1718007000</v>
      </c>
      <c r="EG101" s="18">
        <f>VLOOKUP(BQ101,Fundamentus!A:U,5,FALSE)</f>
        <v>0.61099999999999999</v>
      </c>
      <c r="EH101" s="2">
        <f t="shared" ca="1" si="109"/>
        <v>49122065941.080193</v>
      </c>
      <c r="EI101" s="17">
        <v>1476462526.4680851</v>
      </c>
      <c r="EJ101" s="17">
        <f t="shared" ca="1" si="110"/>
        <v>1458925358.4500818</v>
      </c>
      <c r="EL101" s="16">
        <f t="shared" ca="1" si="97"/>
        <v>-1.18778280542986E-2</v>
      </c>
      <c r="EM101" s="32" t="str">
        <f>IF(VLOOKUP(BQ101,Fundamentus!A:U,3,FALSE)&lt;15,"Bom",IF(VLOOKUP(BQ101,Fundamentus!A:U,3,FALSE)&gt;15,"Ruim","n/a"))</f>
        <v>Ruim</v>
      </c>
      <c r="EN101" s="28" t="str">
        <f>IF(VLOOKUP(BQ101,Fundamentus!A:U,4,FALSE)&lt;1,"Baixo",IF(VLOOKUP(BQ101,Fundamentus!A:U,4,FALSE)&lt;1.5,"Moderado",IF(VLOOKUP(BQ101,Fundamentus!A:U,4,FALSE)&gt;1.5,"Alto","n/a")))</f>
        <v>Alto</v>
      </c>
      <c r="EO101" s="17" t="str">
        <f>IF(VLOOKUP(BQ101,Fundamentus!A:U,8,FALSE)&lt;0,"Risco elevado",IF(VLOOKUP(BQ101,Fundamentus!A:U,8,FALSE)&lt;1,"Saudável",IF(VLOOKUP(BQ101,Fundamentus!A:U,8,FALSE)&lt;3,"Estável",IF(VLOOKUP(BQ101,Fundamentus!A:U,8,FALSE)&gt;3,"Alerta","n/a"))))</f>
        <v>Alerta</v>
      </c>
      <c r="EP101" s="28" t="str">
        <f t="shared" si="111"/>
        <v>Ruim</v>
      </c>
      <c r="EQ101" s="17" t="str">
        <f>IF(VLOOKUP(BQ101,Fundamentus!A:U,12,FALSE)&lt;2,"Subvalorizada",IF(VLOOKUP(BQ101,Fundamentus!A:U,12,FALSE)&lt;6,"Muita barata",IF(VLOOKUP(BQ101,Fundamentus!A:U,12,FALSE)&lt;6,"Barata",IF(VLOOKUP(BQ101,Fundamentus!A:U,12,FALSE)&lt;8,"Atrativa",IF(VLOOKUP(BQ101,Fundamentus!A:U,12,FALSE)&gt;8,"Supervalorizada","n/a")))))</f>
        <v>Atrativa</v>
      </c>
      <c r="ES101" s="17" t="str">
        <f>IF(VLOOKUP(BQ101,Fundamentus!A:U,17,FALSE)&lt;0.1,"Fraco retorno",IF(VLOOKUP(BQ101,Fundamentus!A:U,17,FALSE)&gt;0.1,"Bom retorno","n/a"))</f>
        <v>Bom retorno</v>
      </c>
      <c r="ET101" s="17" t="str">
        <f>IF(VLOOKUP(BQ101,Fundamentus!A:U,16,FALSE)&lt;0.1,"Ineficiente",IF(VLOOKUP(BQ101,Fundamentus!A:U,16,FALSE)&gt;0.1,"Eficiente","n/a"))</f>
        <v>Eficiente</v>
      </c>
      <c r="EU101" s="33" t="str">
        <f>IF(VLOOKUP(BQ101,Fundamentus!A:U,16,FALSE)&lt;0.1,"Oper. Ineficiente",IF(VLOOKUP(BQ101,Fundamentus!A:U,16,FALSE)&gt;0.1,"Oper.Eficiente","n/a"))</f>
        <v>Oper.Eficiente</v>
      </c>
      <c r="EV101" s="34">
        <f>VLOOKUP(BQ101,Fundamentus!A:U,14,FALSE)</f>
        <v>2.9700000000000001E-2</v>
      </c>
      <c r="EW101" s="17" t="str">
        <f>IF(VLOOKUP(BQ101,Fundamentus!A:U,21,FALSE)&lt;0,"Negativo",IF(VLOOKUP(BQ101,Fundamentus!A:U,21,FALSE)&lt;0.05,"Fraco",IF(VLOOKUP(BQ101,Fundamentus!A:U,21,FALSE)&lt;0.1,"Bom",IF(VLOOKUP(BQ101,Fundamentus!A:U,21,FALSE)&gt;0.1,"Muito bom","n/a"))))</f>
        <v>Muito bom</v>
      </c>
      <c r="EY101" s="29" t="str">
        <f>IF(VLOOKUP(BQ101,Fundamentus!A:U,15,FALSE)&gt;1,"Bom",IF(VLOOKUP(BQ101,Fundamentus!A:U,15,FALSE)&lt;1,"Ruim","n/a"))</f>
        <v>Bom</v>
      </c>
      <c r="EZ101" s="17" t="str">
        <f>IF(VLOOKUP(BQ101,Fundamentus!A:U,20,FALSE)&lt;0.5,"Baixa",IF(VLOOKUP(BQ101,Fundamentus!A:U,20,FALSE)&lt;1,"Moderada",IF(VLOOKUP(BQ101,Fundamentus!A:U,20,FALSE)&lt;2,"Alerta",IF(VLOOKUP(BQ101,Fundamentus!A:U,20,FALSE)&gt;2,"Alta","n/a"))))</f>
        <v>Baixa</v>
      </c>
      <c r="FA101" s="10"/>
    </row>
    <row r="102" spans="1:157" s="2" customFormat="1" ht="11.25" hidden="1" x14ac:dyDescent="0.2">
      <c r="A102" s="4">
        <v>19.100000000000001</v>
      </c>
      <c r="B102" s="4">
        <v>18.66</v>
      </c>
      <c r="C102" s="4">
        <v>19.07</v>
      </c>
      <c r="D102" s="4">
        <v>18.7</v>
      </c>
      <c r="E102" s="4">
        <v>18.54</v>
      </c>
      <c r="F102" s="4">
        <v>18.03</v>
      </c>
      <c r="G102" s="4">
        <v>17.61</v>
      </c>
      <c r="H102" s="4">
        <v>17.239999999999998</v>
      </c>
      <c r="I102" s="4">
        <v>17.239999999999998</v>
      </c>
      <c r="J102" s="4">
        <v>17.190000000000001</v>
      </c>
      <c r="K102" s="4">
        <v>17.61</v>
      </c>
      <c r="L102" s="4">
        <v>16.95</v>
      </c>
      <c r="M102" s="4">
        <v>17.239999999999998</v>
      </c>
      <c r="N102" s="4">
        <v>18.02</v>
      </c>
      <c r="O102" s="4">
        <v>18.670000000000002</v>
      </c>
      <c r="P102" s="4">
        <v>17.559999999999999</v>
      </c>
      <c r="Q102" s="4">
        <v>17.48</v>
      </c>
      <c r="R102" s="4">
        <v>18.05</v>
      </c>
      <c r="S102" s="4">
        <v>18.11</v>
      </c>
      <c r="T102" s="4">
        <v>18.559999999999999</v>
      </c>
      <c r="U102" s="4">
        <v>18.579999999999998</v>
      </c>
      <c r="V102" s="4">
        <v>18.559999999999999</v>
      </c>
      <c r="W102" s="4">
        <v>18.32</v>
      </c>
      <c r="X102" s="4">
        <v>17.88</v>
      </c>
      <c r="Y102" s="4">
        <v>17.89</v>
      </c>
      <c r="Z102" s="4">
        <v>17.440000000000001</v>
      </c>
      <c r="AA102" s="4">
        <v>16.739999999999998</v>
      </c>
      <c r="AB102" s="4">
        <v>16.71</v>
      </c>
      <c r="AC102" s="4">
        <v>17.71</v>
      </c>
      <c r="AD102" s="4">
        <v>17.440000000000001</v>
      </c>
      <c r="AE102" s="4">
        <v>16.2</v>
      </c>
      <c r="AF102" s="4">
        <v>16</v>
      </c>
      <c r="AG102" s="4">
        <v>15.07</v>
      </c>
      <c r="AH102" s="4">
        <v>14.15</v>
      </c>
      <c r="AI102" s="4">
        <v>14.18</v>
      </c>
      <c r="AJ102" s="4">
        <v>14.03</v>
      </c>
      <c r="AK102" s="4">
        <v>14.17</v>
      </c>
      <c r="AL102" s="4">
        <v>13.84</v>
      </c>
      <c r="AM102" s="4">
        <v>14.26</v>
      </c>
      <c r="AN102" s="4">
        <v>14.99</v>
      </c>
      <c r="AO102" s="4">
        <v>14.35</v>
      </c>
      <c r="AP102" s="4">
        <v>15.25</v>
      </c>
      <c r="AQ102" s="4">
        <v>15.04</v>
      </c>
      <c r="AR102" s="4">
        <v>13.45</v>
      </c>
      <c r="AS102" s="4">
        <v>13.61</v>
      </c>
      <c r="AT102" s="4">
        <v>14.39</v>
      </c>
      <c r="AU102" s="4">
        <v>14.015000000000001</v>
      </c>
      <c r="AV102" s="4">
        <v>13.81</v>
      </c>
      <c r="AW102" s="4">
        <v>13.1</v>
      </c>
      <c r="AX102" s="4">
        <v>13.19</v>
      </c>
      <c r="AY102" s="12">
        <v>14.22</v>
      </c>
      <c r="AZ102" s="12">
        <v>15</v>
      </c>
      <c r="BA102" s="12">
        <v>15.1</v>
      </c>
      <c r="BB102" s="15">
        <v>15.15</v>
      </c>
      <c r="BC102" s="52">
        <v>15.55</v>
      </c>
      <c r="BD102" s="52">
        <v>14.83</v>
      </c>
      <c r="BE102" s="52">
        <v>15</v>
      </c>
      <c r="BF102" s="52">
        <v>15.08</v>
      </c>
      <c r="BG102" s="67">
        <v>14.85</v>
      </c>
      <c r="BH102" s="52">
        <v>15.05</v>
      </c>
      <c r="BI102" s="52">
        <v>15.17</v>
      </c>
      <c r="BJ102" s="52">
        <v>16.41</v>
      </c>
      <c r="BK102" s="52">
        <v>15.71</v>
      </c>
      <c r="BL102" s="52">
        <v>15.13</v>
      </c>
      <c r="BM102" s="52">
        <v>14.52</v>
      </c>
      <c r="BN102" s="52">
        <v>14.33</v>
      </c>
      <c r="BO102" s="52">
        <v>14.42</v>
      </c>
      <c r="BP102" s="52" cm="1">
        <f t="array" aca="1" ref="BP102" ca="1">_FV(ED102,"Preço")</f>
        <v>16.29</v>
      </c>
      <c r="BQ102" s="69" t="s">
        <v>99</v>
      </c>
      <c r="BR102" s="36" cm="1">
        <f t="array" aca="1" ref="BR102" ca="1">_FV(ED102,"Média de volume",TRUE)</f>
        <v>2655610</v>
      </c>
      <c r="BS102" s="36">
        <v>1874100</v>
      </c>
      <c r="BT102" s="36" cm="1">
        <f t="array" aca="1" ref="BT102" ca="1">_FV(ED102,"Volume")</f>
        <v>1629200</v>
      </c>
      <c r="BU102" s="24" cm="1">
        <f t="array" aca="1" ref="BU102" ca="1">_FV(ED102,"Beta")</f>
        <v>1.3224</v>
      </c>
      <c r="BV102" s="71" cm="1">
        <f t="array" aca="1" ref="BV102" ca="1">_FV(ED102,"Variação (%)",TRUE)</f>
        <v>9.2940000000000002E-3</v>
      </c>
      <c r="BX102" s="17" cm="1">
        <f t="array" aca="1" ref="BX102" ca="1">_FV(ED102,"Baixo")</f>
        <v>16.14</v>
      </c>
      <c r="BY102" s="17" cm="1">
        <f t="array" aca="1" ref="BY102" ca="1">_FV(ED102,"Alto")</f>
        <v>16.53</v>
      </c>
      <c r="BZ102" s="24"/>
      <c r="CA102" s="63">
        <f ca="1">SQRT(22.5*(BP102/VLOOKUP(BQ102,Fundamentus!A:U,3,FALSE))*(BP102/VLOOKUP(BQ102,Fundamentus!A:U,4,FALSE)))</f>
        <v>12.054876622409379</v>
      </c>
      <c r="CC102" s="62">
        <f t="shared" ca="1" si="112"/>
        <v>0.12968099861303739</v>
      </c>
      <c r="CD102" s="8"/>
      <c r="CE102" s="61">
        <f t="shared" si="113"/>
        <v>13.1</v>
      </c>
      <c r="CF102" s="61">
        <f t="shared" si="114"/>
        <v>19.100000000000001</v>
      </c>
      <c r="CG102" s="61">
        <f t="shared" si="115"/>
        <v>16.112164179104479</v>
      </c>
      <c r="CH102" s="14"/>
      <c r="CI102" s="35">
        <f t="shared" si="98"/>
        <v>12.969940954041135</v>
      </c>
      <c r="CJ102" s="15">
        <f t="shared" si="116"/>
        <v>14.019999999999982</v>
      </c>
      <c r="CK102" s="35">
        <f t="shared" si="99"/>
        <v>15.070059045958828</v>
      </c>
      <c r="CM102" s="14"/>
      <c r="CN102" s="17">
        <f t="shared" si="100"/>
        <v>5.9799999999999986</v>
      </c>
      <c r="CO102" s="17">
        <f t="shared" si="101"/>
        <v>9.5399999999999991</v>
      </c>
      <c r="CP102" s="17">
        <f t="shared" si="102"/>
        <v>11.98</v>
      </c>
      <c r="CQ102" s="38">
        <f t="shared" si="117"/>
        <v>15.540000000000001</v>
      </c>
      <c r="CR102" s="17">
        <f t="shared" si="103"/>
        <v>17.980000000000004</v>
      </c>
      <c r="CS102" s="17">
        <f t="shared" si="104"/>
        <v>21.540000000000003</v>
      </c>
      <c r="CT102" s="17">
        <f t="shared" si="105"/>
        <v>23.980000000000004</v>
      </c>
      <c r="CU102" s="2" cm="1">
        <f t="array" aca="1" ref="CU102" ca="1">MAX(_xlfn._xlws.FILTER(CN102:CT102,CN102:CT102&lt;BP102))</f>
        <v>15.540000000000001</v>
      </c>
      <c r="CV102" s="2" cm="1">
        <f t="array" aca="1" ref="CV102" ca="1">MIN(_xlfn._xlws.FILTER($CN102:$CT102,$CN102:$CT102&gt;BP102))</f>
        <v>17.980000000000004</v>
      </c>
      <c r="CW102" s="16">
        <f t="shared" ca="1" si="119"/>
        <v>0.15701415701415722</v>
      </c>
      <c r="CX102" s="20">
        <f t="shared" ca="1" si="120"/>
        <v>-7.8507078507078609E-2</v>
      </c>
      <c r="CY102" s="20">
        <f t="shared" ca="1" si="121"/>
        <v>-5.2338052338052408E-2</v>
      </c>
      <c r="CZ102" s="20">
        <f t="shared" ca="1" si="122"/>
        <v>-3.1402831402831441E-2</v>
      </c>
      <c r="DA102" s="20">
        <f t="shared" ca="1" si="123"/>
        <v>-1.7446017446017467E-2</v>
      </c>
      <c r="DB102" s="20">
        <f t="shared" ca="1" si="124"/>
        <v>-9.236126883185718E-3</v>
      </c>
      <c r="DC102" s="20">
        <f t="shared" ca="1" si="125"/>
        <v>-4.7580047580047646E-3</v>
      </c>
      <c r="DD102" s="20">
        <f t="shared" ca="1" si="126"/>
        <v>-2.4156024156024186E-3</v>
      </c>
      <c r="DE102" s="21">
        <f t="shared" ca="1" si="127"/>
        <v>2.4156024156024186E-3</v>
      </c>
      <c r="DF102" s="21">
        <f t="shared" ca="1" si="128"/>
        <v>4.7580047580047646E-3</v>
      </c>
      <c r="DG102" s="21">
        <f t="shared" ca="1" si="129"/>
        <v>9.236126883185718E-3</v>
      </c>
      <c r="DH102" s="21">
        <f t="shared" ca="1" si="130"/>
        <v>1.7446017446017467E-2</v>
      </c>
      <c r="DI102" s="21">
        <f t="shared" ca="1" si="131"/>
        <v>3.1402831402831441E-2</v>
      </c>
      <c r="DJ102" s="21">
        <f t="shared" ca="1" si="132"/>
        <v>5.2338052338052408E-2</v>
      </c>
      <c r="DK102" s="21">
        <f t="shared" ca="1" si="133"/>
        <v>7.8507078507078609E-2</v>
      </c>
      <c r="DM102" s="16" cm="1">
        <f t="array" aca="1" ref="DM102" ca="1">MAX(_xlfn._xlws.FILTER(CX102:DK102,CX102:DK102&lt;BV102))</f>
        <v>9.236126883185718E-3</v>
      </c>
      <c r="DN102" s="16" cm="1">
        <f t="array" aca="1" ref="DN102" ca="1">MIN(_xlfn._xlws.FILTER(CX102:DK102,CX102:DK102&gt;BV102))</f>
        <v>1.7446017446017467E-2</v>
      </c>
      <c r="DO102" s="2" cm="1">
        <f t="array" aca="1" ref="DO102" ca="1">_FV(ED102,"Fechamento anterior",TRUE)</f>
        <v>16.14</v>
      </c>
      <c r="DP102" s="28">
        <f t="shared" ca="1" si="106"/>
        <v>7.0102535193876277E-3</v>
      </c>
      <c r="DQ102" s="15">
        <f t="shared" ca="1" si="134"/>
        <v>16.289071087894619</v>
      </c>
      <c r="DR102" s="15">
        <f t="shared" ca="1" si="135"/>
        <v>16.421578721578722</v>
      </c>
      <c r="DS102" s="9"/>
      <c r="DT102" s="9"/>
      <c r="DU102" s="9"/>
      <c r="DV102" s="89">
        <v>8.4752067468359307E-3</v>
      </c>
      <c r="DW102" s="89">
        <f t="shared" ca="1" si="107"/>
        <v>8.2098905628317492E-3</v>
      </c>
      <c r="DX102" s="72">
        <f t="shared" ca="1" si="108"/>
        <v>2.1617831956556297</v>
      </c>
      <c r="DY102" s="37"/>
      <c r="DZ102" s="35">
        <f t="shared" si="118"/>
        <v>0.52502952297942296</v>
      </c>
      <c r="EA102" s="56"/>
      <c r="EB102" s="56"/>
      <c r="ED102" s="2" t="e" vm="102">
        <v>#VALUE!</v>
      </c>
      <c r="EF102" s="10" cm="1">
        <f t="array" aca="1" ref="EF102" ca="1">_FV(ED102,"Ações em circulação",TRUE)</f>
        <v>677280700</v>
      </c>
      <c r="EG102" s="18">
        <f>VLOOKUP(BQ102,Fundamentus!A:U,5,FALSE)</f>
        <v>0.63400000000000001</v>
      </c>
      <c r="EH102" s="2">
        <f t="shared" ca="1" si="109"/>
        <v>17402054578.864353</v>
      </c>
      <c r="EI102" s="17">
        <v>657767751.63059938</v>
      </c>
      <c r="EJ102" s="17">
        <f t="shared" ca="1" si="110"/>
        <v>743067730.51750791</v>
      </c>
      <c r="EL102" s="16">
        <f t="shared" ca="1" si="97"/>
        <v>0.12968099861303739</v>
      </c>
      <c r="EM102" s="32" t="str">
        <f>IF(VLOOKUP(BQ102,Fundamentus!A:U,3,FALSE)&lt;15,"Bom",IF(VLOOKUP(BQ102,Fundamentus!A:U,3,FALSE)&gt;15,"Ruim","n/a"))</f>
        <v>Ruim</v>
      </c>
      <c r="EN102" s="28" t="str">
        <f>IF(VLOOKUP(BQ102,Fundamentus!A:U,4,FALSE)&lt;1,"Baixo",IF(VLOOKUP(BQ102,Fundamentus!A:U,4,FALSE)&lt;1.5,"Moderado",IF(VLOOKUP(BQ102,Fundamentus!A:U,4,FALSE)&gt;1.5,"Alto","n/a")))</f>
        <v>Alto</v>
      </c>
      <c r="EO102" s="17" t="str">
        <f>IF(VLOOKUP(BQ102,Fundamentus!A:U,8,FALSE)&lt;0,"Risco elevado",IF(VLOOKUP(BQ102,Fundamentus!A:U,8,FALSE)&lt;1,"Saudável",IF(VLOOKUP(BQ102,Fundamentus!A:U,8,FALSE)&lt;3,"Estável",IF(VLOOKUP(BQ102,Fundamentus!A:U,8,FALSE)&gt;3,"Alerta","n/a"))))</f>
        <v>Estável</v>
      </c>
      <c r="EP102" s="28" t="str">
        <f t="shared" si="111"/>
        <v>Ruim</v>
      </c>
      <c r="EQ102" s="17" t="str">
        <f>IF(VLOOKUP(BQ102,Fundamentus!A:U,12,FALSE)&lt;2,"Subvalorizada",IF(VLOOKUP(BQ102,Fundamentus!A:U,12,FALSE)&lt;6,"Muita barata",IF(VLOOKUP(BQ102,Fundamentus!A:U,12,FALSE)&lt;6,"Barata",IF(VLOOKUP(BQ102,Fundamentus!A:U,12,FALSE)&lt;8,"Atrativa",IF(VLOOKUP(BQ102,Fundamentus!A:U,12,FALSE)&gt;8,"Supervalorizada","n/a")))))</f>
        <v>Atrativa</v>
      </c>
      <c r="ES102" s="17" t="str">
        <f>IF(VLOOKUP(BQ102,Fundamentus!A:U,17,FALSE)&lt;0.1,"Fraco retorno",IF(VLOOKUP(BQ102,Fundamentus!A:U,17,FALSE)&gt;0.1,"Bom retorno","n/a"))</f>
        <v>Bom retorno</v>
      </c>
      <c r="ET102" s="17" t="str">
        <f>IF(VLOOKUP(BQ102,Fundamentus!A:U,16,FALSE)&lt;0.1,"Ineficiente",IF(VLOOKUP(BQ102,Fundamentus!A:U,16,FALSE)&gt;0.1,"Eficiente","n/a"))</f>
        <v>Eficiente</v>
      </c>
      <c r="EU102" s="33" t="str">
        <f>IF(VLOOKUP(BQ102,Fundamentus!A:U,16,FALSE)&lt;0.1,"Oper. Ineficiente",IF(VLOOKUP(BQ102,Fundamentus!A:U,16,FALSE)&gt;0.1,"Oper.Eficiente","n/a"))</f>
        <v>Oper.Eficiente</v>
      </c>
      <c r="EV102" s="34">
        <f>VLOOKUP(BQ102,Fundamentus!A:U,14,FALSE)</f>
        <v>4.2700000000000002E-2</v>
      </c>
      <c r="EW102" s="17" t="str">
        <f>IF(VLOOKUP(BQ102,Fundamentus!A:U,21,FALSE)&lt;0,"Negativo",IF(VLOOKUP(BQ102,Fundamentus!A:U,21,FALSE)&lt;0.05,"Fraco",IF(VLOOKUP(BQ102,Fundamentus!A:U,21,FALSE)&lt;0.1,"Bom",IF(VLOOKUP(BQ102,Fundamentus!A:U,21,FALSE)&gt;0.1,"Muito bom","n/a"))))</f>
        <v>Muito bom</v>
      </c>
      <c r="EY102" s="29" t="str">
        <f>IF(VLOOKUP(BQ102,Fundamentus!A:U,15,FALSE)&gt;1,"Bom",IF(VLOOKUP(BQ102,Fundamentus!A:U,15,FALSE)&lt;1,"Ruim","n/a"))</f>
        <v>Bom</v>
      </c>
      <c r="EZ102" s="17" t="str">
        <f>IF(VLOOKUP(BQ102,Fundamentus!A:U,20,FALSE)&lt;0.5,"Baixa",IF(VLOOKUP(BQ102,Fundamentus!A:U,20,FALSE)&lt;1,"Moderada",IF(VLOOKUP(BQ102,Fundamentus!A:U,20,FALSE)&lt;2,"Alerta",IF(VLOOKUP(BQ102,Fundamentus!A:U,20,FALSE)&gt;2,"Alta","n/a"))))</f>
        <v>Alerta</v>
      </c>
      <c r="FA102" s="10"/>
    </row>
    <row r="103" spans="1:157" s="2" customFormat="1" ht="11.25" hidden="1" x14ac:dyDescent="0.2">
      <c r="A103" s="4">
        <v>4.45</v>
      </c>
      <c r="B103" s="4">
        <v>4.2</v>
      </c>
      <c r="C103" s="4">
        <v>4.17</v>
      </c>
      <c r="D103" s="4">
        <v>4.0199999999999996</v>
      </c>
      <c r="E103" s="4">
        <v>4.01</v>
      </c>
      <c r="F103" s="4">
        <v>3.69</v>
      </c>
      <c r="G103" s="4">
        <v>3.62</v>
      </c>
      <c r="H103" s="4">
        <v>3.77</v>
      </c>
      <c r="I103" s="4">
        <v>3.72</v>
      </c>
      <c r="J103" s="4">
        <v>4</v>
      </c>
      <c r="K103" s="4">
        <v>4</v>
      </c>
      <c r="L103" s="4">
        <v>3.77</v>
      </c>
      <c r="M103" s="4">
        <v>3.6</v>
      </c>
      <c r="N103" s="4">
        <v>3.49</v>
      </c>
      <c r="O103" s="4">
        <v>3.8</v>
      </c>
      <c r="P103" s="4">
        <v>3.59</v>
      </c>
      <c r="Q103" s="4">
        <v>3.79</v>
      </c>
      <c r="R103" s="4">
        <v>3.49</v>
      </c>
      <c r="S103" s="4">
        <v>3.54</v>
      </c>
      <c r="T103" s="4">
        <v>3.52</v>
      </c>
      <c r="U103" s="4">
        <v>3.42</v>
      </c>
      <c r="V103" s="4">
        <v>3.44</v>
      </c>
      <c r="W103" s="4">
        <v>3.41</v>
      </c>
      <c r="X103" s="4">
        <v>3.26</v>
      </c>
      <c r="Y103" s="4">
        <v>3.3</v>
      </c>
      <c r="Z103" s="4">
        <v>3.21</v>
      </c>
      <c r="AA103" s="4">
        <v>3.07</v>
      </c>
      <c r="AB103" s="4">
        <v>3.25</v>
      </c>
      <c r="AC103" s="4">
        <v>3.2</v>
      </c>
      <c r="AD103" s="4">
        <v>3.25</v>
      </c>
      <c r="AE103" s="4">
        <v>3</v>
      </c>
      <c r="AF103" s="4">
        <v>2.78</v>
      </c>
      <c r="AG103" s="4">
        <v>2.84</v>
      </c>
      <c r="AH103" s="4">
        <v>2.83</v>
      </c>
      <c r="AI103" s="4">
        <v>2.78</v>
      </c>
      <c r="AJ103" s="4">
        <v>2.72</v>
      </c>
      <c r="AK103" s="4">
        <v>2.71</v>
      </c>
      <c r="AL103" s="4">
        <v>2.95</v>
      </c>
      <c r="AM103" s="4">
        <v>2.85</v>
      </c>
      <c r="AN103" s="4">
        <v>2.65</v>
      </c>
      <c r="AO103" s="4">
        <v>2.4500000000000002</v>
      </c>
      <c r="AP103" s="4">
        <v>2.4900000000000002</v>
      </c>
      <c r="AQ103" s="4">
        <v>2.1800000000000002</v>
      </c>
      <c r="AR103" s="4">
        <v>1.98</v>
      </c>
      <c r="AS103" s="4">
        <v>2.3199999999999998</v>
      </c>
      <c r="AT103" s="4">
        <v>2.23</v>
      </c>
      <c r="AU103" s="4">
        <v>2.2749999999999999</v>
      </c>
      <c r="AV103" s="4">
        <v>2.2799999999999998</v>
      </c>
      <c r="AW103" s="4">
        <v>2.21</v>
      </c>
      <c r="AX103" s="4">
        <v>2.2599999999999998</v>
      </c>
      <c r="AY103" s="12">
        <v>2.68</v>
      </c>
      <c r="AZ103" s="12">
        <v>2.8</v>
      </c>
      <c r="BA103" s="12">
        <v>3.03</v>
      </c>
      <c r="BB103" s="15">
        <v>2.95</v>
      </c>
      <c r="BC103" s="52">
        <v>2.85</v>
      </c>
      <c r="BD103" s="52">
        <v>2.95</v>
      </c>
      <c r="BE103" s="52">
        <v>3.18</v>
      </c>
      <c r="BF103" s="52">
        <v>3.3</v>
      </c>
      <c r="BG103" s="67">
        <v>3.7</v>
      </c>
      <c r="BH103" s="52">
        <v>3.7</v>
      </c>
      <c r="BI103" s="52">
        <v>3.61</v>
      </c>
      <c r="BJ103" s="52">
        <v>3.53</v>
      </c>
      <c r="BK103" s="52">
        <v>3.47</v>
      </c>
      <c r="BL103" s="52">
        <v>3.62</v>
      </c>
      <c r="BM103" s="52">
        <v>3.75</v>
      </c>
      <c r="BN103" s="52">
        <v>3.59</v>
      </c>
      <c r="BO103" s="52">
        <v>3.59</v>
      </c>
      <c r="BP103" s="52" cm="1">
        <f t="array" aca="1" ref="BP103" ca="1">_FV(ED103,"Preço")</f>
        <v>3.66</v>
      </c>
      <c r="BQ103" s="69" t="s">
        <v>100</v>
      </c>
      <c r="BR103" s="36" cm="1">
        <f t="array" aca="1" ref="BR103" ca="1">_FV(ED103,"Média de volume",TRUE)</f>
        <v>2554360</v>
      </c>
      <c r="BS103" s="36">
        <v>2286700</v>
      </c>
      <c r="BT103" s="36" cm="1">
        <f t="array" aca="1" ref="BT103" ca="1">_FV(ED103,"Volume")</f>
        <v>2617300</v>
      </c>
      <c r="BU103" s="24" cm="1">
        <f t="array" aca="1" ref="BU103" ca="1">_FV(ED103,"Beta")</f>
        <v>1.2289000000000001</v>
      </c>
      <c r="BV103" s="71" cm="1">
        <f t="array" aca="1" ref="BV103" ca="1">_FV(ED103,"Variação (%)",TRUE)</f>
        <v>-1.8766999999999999E-2</v>
      </c>
      <c r="BX103" s="17" cm="1">
        <f t="array" aca="1" ref="BX103" ca="1">_FV(ED103,"Baixo")</f>
        <v>3.64</v>
      </c>
      <c r="BY103" s="17" cm="1">
        <f t="array" aca="1" ref="BY103" ca="1">_FV(ED103,"Alto")</f>
        <v>3.83</v>
      </c>
      <c r="BZ103" s="24"/>
      <c r="CA103" s="63" t="e">
        <f ca="1">SQRT(22.5*(BP103/VLOOKUP(BQ103,Fundamentus!A:U,3,FALSE))*(BP103/VLOOKUP(BQ103,Fundamentus!A:U,4,FALSE)))</f>
        <v>#NUM!</v>
      </c>
      <c r="CC103" s="62">
        <f t="shared" ca="1" si="112"/>
        <v>1.9498607242339913E-2</v>
      </c>
      <c r="CD103" s="8"/>
      <c r="CE103" s="61">
        <f t="shared" si="113"/>
        <v>1.98</v>
      </c>
      <c r="CF103" s="61">
        <f t="shared" si="114"/>
        <v>4.45</v>
      </c>
      <c r="CG103" s="61">
        <f t="shared" si="115"/>
        <v>3.2258955223880594</v>
      </c>
      <c r="CH103" s="14"/>
      <c r="CI103" s="35">
        <f t="shared" si="98"/>
        <v>3.3962935367704792</v>
      </c>
      <c r="CJ103" s="15">
        <f t="shared" si="116"/>
        <v>3.5749999999999886</v>
      </c>
      <c r="CK103" s="35">
        <f t="shared" si="99"/>
        <v>3.7537064632294981</v>
      </c>
      <c r="CM103" s="14"/>
      <c r="CN103" s="17">
        <f t="shared" si="100"/>
        <v>-0.24000000000000066</v>
      </c>
      <c r="CO103" s="17">
        <f t="shared" si="101"/>
        <v>0.86999999999999966</v>
      </c>
      <c r="CP103" s="17">
        <f t="shared" si="102"/>
        <v>2.2299999999999995</v>
      </c>
      <c r="CQ103" s="38">
        <f t="shared" si="117"/>
        <v>3.34</v>
      </c>
      <c r="CR103" s="17">
        <f t="shared" si="103"/>
        <v>4.6999999999999993</v>
      </c>
      <c r="CS103" s="17">
        <f t="shared" si="104"/>
        <v>5.8100000000000005</v>
      </c>
      <c r="CT103" s="17">
        <f t="shared" si="105"/>
        <v>7.17</v>
      </c>
      <c r="CU103" s="2" cm="1">
        <f t="array" aca="1" ref="CU103" ca="1">MAX(_xlfn._xlws.FILTER(CN103:CT103,CN103:CT103&lt;BP103))</f>
        <v>3.34</v>
      </c>
      <c r="CV103" s="2" cm="1">
        <f t="array" aca="1" ref="CV103" ca="1">MIN(_xlfn._xlws.FILTER($CN103:$CT103,$CN103:$CT103&gt;BP103))</f>
        <v>4.6999999999999993</v>
      </c>
      <c r="CW103" s="16">
        <f t="shared" ca="1" si="119"/>
        <v>0.40718562874251485</v>
      </c>
      <c r="CX103" s="20">
        <f t="shared" ca="1" si="120"/>
        <v>-0.20359281437125742</v>
      </c>
      <c r="CY103" s="20">
        <f t="shared" ca="1" si="121"/>
        <v>-0.13572854291417161</v>
      </c>
      <c r="CZ103" s="20">
        <f t="shared" ca="1" si="122"/>
        <v>-8.1437125748502967E-2</v>
      </c>
      <c r="DA103" s="20">
        <f t="shared" ca="1" si="123"/>
        <v>-4.5242847638057207E-2</v>
      </c>
      <c r="DB103" s="20">
        <f t="shared" ca="1" si="124"/>
        <v>-2.3952095808383228E-2</v>
      </c>
      <c r="DC103" s="20">
        <f t="shared" ca="1" si="125"/>
        <v>-1.2338958446742874E-2</v>
      </c>
      <c r="DD103" s="20">
        <f t="shared" ca="1" si="126"/>
        <v>-6.2643942883463819E-3</v>
      </c>
      <c r="DE103" s="21">
        <f t="shared" ca="1" si="127"/>
        <v>6.2643942883463819E-3</v>
      </c>
      <c r="DF103" s="21">
        <f t="shared" ca="1" si="128"/>
        <v>1.2338958446742874E-2</v>
      </c>
      <c r="DG103" s="21">
        <f t="shared" ca="1" si="129"/>
        <v>2.3952095808383228E-2</v>
      </c>
      <c r="DH103" s="21">
        <f t="shared" ca="1" si="130"/>
        <v>4.5242847638057207E-2</v>
      </c>
      <c r="DI103" s="21">
        <f t="shared" ca="1" si="131"/>
        <v>8.1437125748502967E-2</v>
      </c>
      <c r="DJ103" s="21">
        <f t="shared" ca="1" si="132"/>
        <v>0.13572854291417161</v>
      </c>
      <c r="DK103" s="21">
        <f t="shared" ca="1" si="133"/>
        <v>0.20359281437125742</v>
      </c>
      <c r="DM103" s="16" cm="1">
        <f t="array" aca="1" ref="DM103" ca="1">MAX(_xlfn._xlws.FILTER(CX103:DK103,CX103:DK103&lt;BV103))</f>
        <v>-2.3952095808383228E-2</v>
      </c>
      <c r="DN103" s="16" cm="1">
        <f t="array" aca="1" ref="DN103" ca="1">MIN(_xlfn._xlws.FILTER(CX103:DK103,CX103:DK103&gt;BV103))</f>
        <v>-1.2338958446742874E-2</v>
      </c>
      <c r="DO103" s="2" cm="1">
        <f t="array" aca="1" ref="DO103" ca="1">_FV(ED103,"Fechamento anterior",TRUE)</f>
        <v>3.73</v>
      </c>
      <c r="DP103" s="28">
        <f t="shared" ca="1" si="106"/>
        <v>0.44650636729222581</v>
      </c>
      <c r="DQ103" s="15">
        <f t="shared" ca="1" si="134"/>
        <v>3.6406586826347307</v>
      </c>
      <c r="DR103" s="15">
        <f t="shared" ca="1" si="135"/>
        <v>3.6839756849936491</v>
      </c>
      <c r="DS103" s="9"/>
      <c r="DT103" s="9"/>
      <c r="DU103" s="9"/>
      <c r="DV103" s="89">
        <v>2.1290751829673979E-2</v>
      </c>
      <c r="DW103" s="89">
        <f t="shared" ca="1" si="107"/>
        <v>1.1613137361640354E-2</v>
      </c>
      <c r="DX103" s="72">
        <f t="shared" ca="1" si="108"/>
        <v>0.47564032360064984</v>
      </c>
      <c r="DY103" s="37"/>
      <c r="DZ103" s="35">
        <f t="shared" si="118"/>
        <v>8.9353231614754669E-2</v>
      </c>
      <c r="EA103" s="56"/>
      <c r="EB103" s="56"/>
      <c r="ED103" s="2" t="e" vm="103">
        <v>#VALUE!</v>
      </c>
      <c r="EF103" s="10" cm="1">
        <f t="array" aca="1" ref="EF103" ca="1">_FV(ED103,"Ações em circulação",TRUE)</f>
        <v>1360383000</v>
      </c>
      <c r="EG103" s="18">
        <f>VLOOKUP(BQ103,Fundamentus!A:U,5,FALSE)</f>
        <v>3.5790000000000002</v>
      </c>
      <c r="EH103" s="2">
        <f t="shared" ca="1" si="109"/>
        <v>1391171215.4233024</v>
      </c>
      <c r="EI103" s="17">
        <v>-502432507.39145011</v>
      </c>
      <c r="EJ103" s="17">
        <f t="shared" ca="1" si="110"/>
        <v>-512229241.51885998</v>
      </c>
      <c r="EL103" s="16">
        <f t="shared" ca="1" si="97"/>
        <v>1.9498607242339761E-2</v>
      </c>
      <c r="EM103" s="32" t="str">
        <f>IF(VLOOKUP(BQ103,Fundamentus!A:U,3,FALSE)&lt;15,"Bom",IF(VLOOKUP(BQ103,Fundamentus!A:U,3,FALSE)&gt;15,"Ruim","n/a"))</f>
        <v>Bom</v>
      </c>
      <c r="EN103" s="28" t="str">
        <f>IF(VLOOKUP(BQ103,Fundamentus!A:U,4,FALSE)&lt;1,"Baixo",IF(VLOOKUP(BQ103,Fundamentus!A:U,4,FALSE)&lt;1.5,"Moderado",IF(VLOOKUP(BQ103,Fundamentus!A:U,4,FALSE)&gt;1.5,"Alto","n/a")))</f>
        <v>Alto</v>
      </c>
      <c r="EO103" s="17" t="str">
        <f>IF(VLOOKUP(BQ103,Fundamentus!A:U,8,FALSE)&lt;0,"Risco elevado",IF(VLOOKUP(BQ103,Fundamentus!A:U,8,FALSE)&lt;1,"Saudável",IF(VLOOKUP(BQ103,Fundamentus!A:U,8,FALSE)&lt;3,"Estável",IF(VLOOKUP(BQ103,Fundamentus!A:U,8,FALSE)&gt;3,"Alerta","n/a"))))</f>
        <v>Alerta</v>
      </c>
      <c r="EP103" s="28" t="str">
        <f t="shared" si="111"/>
        <v>Bom</v>
      </c>
      <c r="EQ103" s="17" t="str">
        <f>IF(VLOOKUP(BQ103,Fundamentus!A:U,12,FALSE)&lt;2,"Subvalorizada",IF(VLOOKUP(BQ103,Fundamentus!A:U,12,FALSE)&lt;6,"Muita barata",IF(VLOOKUP(BQ103,Fundamentus!A:U,12,FALSE)&lt;6,"Barata",IF(VLOOKUP(BQ103,Fundamentus!A:U,12,FALSE)&lt;8,"Atrativa",IF(VLOOKUP(BQ103,Fundamentus!A:U,12,FALSE)&gt;8,"Supervalorizada","n/a")))))</f>
        <v>Supervalorizada</v>
      </c>
      <c r="ES103" s="17" t="str">
        <f>IF(VLOOKUP(BQ103,Fundamentus!A:U,17,FALSE)&lt;0.1,"Fraco retorno",IF(VLOOKUP(BQ103,Fundamentus!A:U,17,FALSE)&gt;0.1,"Bom retorno","n/a"))</f>
        <v>Fraco retorno</v>
      </c>
      <c r="ET103" s="17" t="str">
        <f>IF(VLOOKUP(BQ103,Fundamentus!A:U,16,FALSE)&lt;0.1,"Ineficiente",IF(VLOOKUP(BQ103,Fundamentus!A:U,16,FALSE)&gt;0.1,"Eficiente","n/a"))</f>
        <v>Ineficiente</v>
      </c>
      <c r="EU103" s="33" t="str">
        <f>IF(VLOOKUP(BQ103,Fundamentus!A:U,16,FALSE)&lt;0.1,"Oper. Ineficiente",IF(VLOOKUP(BQ103,Fundamentus!A:U,16,FALSE)&gt;0.1,"Oper.Eficiente","n/a"))</f>
        <v>Oper. Ineficiente</v>
      </c>
      <c r="EV103" s="34">
        <f>VLOOKUP(BQ103,Fundamentus!A:U,14,FALSE)</f>
        <v>-0.36820000000000003</v>
      </c>
      <c r="EW103" s="17" t="str">
        <f>IF(VLOOKUP(BQ103,Fundamentus!A:U,21,FALSE)&lt;0,"Negativo",IF(VLOOKUP(BQ103,Fundamentus!A:U,21,FALSE)&lt;0.05,"Fraco",IF(VLOOKUP(BQ103,Fundamentus!A:U,21,FALSE)&lt;0.1,"Bom",IF(VLOOKUP(BQ103,Fundamentus!A:U,21,FALSE)&gt;0.1,"Muito bom","n/a"))))</f>
        <v>Fraco</v>
      </c>
      <c r="EY103" s="29" t="str">
        <f>IF(VLOOKUP(BQ103,Fundamentus!A:U,15,FALSE)&gt;1,"Bom",IF(VLOOKUP(BQ103,Fundamentus!A:U,15,FALSE)&lt;1,"Ruim","n/a"))</f>
        <v>Bom</v>
      </c>
      <c r="EZ103" s="17" t="str">
        <f>IF(VLOOKUP(BQ103,Fundamentus!A:U,20,FALSE)&lt;0.5,"Baixa",IF(VLOOKUP(BQ103,Fundamentus!A:U,20,FALSE)&lt;1,"Moderada",IF(VLOOKUP(BQ103,Fundamentus!A:U,20,FALSE)&lt;2,"Alerta",IF(VLOOKUP(BQ103,Fundamentus!A:U,20,FALSE)&gt;2,"Alta","n/a"))))</f>
        <v>Alta</v>
      </c>
      <c r="FA103" s="10"/>
    </row>
    <row r="104" spans="1:157" s="2" customFormat="1" ht="11.25" hidden="1" x14ac:dyDescent="0.2">
      <c r="A104" s="4">
        <v>12.75</v>
      </c>
      <c r="B104" s="4">
        <v>12.73</v>
      </c>
      <c r="C104" s="4">
        <v>12.69</v>
      </c>
      <c r="D104" s="4">
        <v>12.16</v>
      </c>
      <c r="E104" s="4">
        <v>12.02</v>
      </c>
      <c r="F104" s="4">
        <v>11.91</v>
      </c>
      <c r="G104" s="4">
        <v>11.59</v>
      </c>
      <c r="H104" s="4">
        <v>12.03</v>
      </c>
      <c r="I104" s="4">
        <v>11.58</v>
      </c>
      <c r="J104" s="4">
        <v>12.14</v>
      </c>
      <c r="K104" s="4">
        <v>12.99</v>
      </c>
      <c r="L104" s="4">
        <v>12.41</v>
      </c>
      <c r="M104" s="4">
        <v>12.48</v>
      </c>
      <c r="N104" s="4">
        <v>12.7</v>
      </c>
      <c r="O104" s="4">
        <v>13.23</v>
      </c>
      <c r="P104" s="4">
        <v>13.4</v>
      </c>
      <c r="Q104" s="4">
        <v>13.6</v>
      </c>
      <c r="R104" s="4">
        <v>13.25</v>
      </c>
      <c r="S104" s="4">
        <v>13.49</v>
      </c>
      <c r="T104" s="4">
        <v>13.13</v>
      </c>
      <c r="U104" s="4">
        <v>12.48</v>
      </c>
      <c r="V104" s="4">
        <v>12.39</v>
      </c>
      <c r="W104" s="4">
        <v>12.2</v>
      </c>
      <c r="X104" s="4">
        <v>12.11</v>
      </c>
      <c r="Y104" s="4">
        <v>12.07</v>
      </c>
      <c r="Z104" s="4">
        <v>12.06</v>
      </c>
      <c r="AA104" s="4">
        <v>11.85</v>
      </c>
      <c r="AB104" s="4">
        <v>11.69</v>
      </c>
      <c r="AC104" s="4">
        <v>11.91</v>
      </c>
      <c r="AD104" s="4">
        <v>12.05</v>
      </c>
      <c r="AE104" s="4">
        <v>11.03</v>
      </c>
      <c r="AF104" s="4">
        <v>10.7</v>
      </c>
      <c r="AG104" s="4">
        <v>10.63</v>
      </c>
      <c r="AH104" s="4">
        <v>10.16</v>
      </c>
      <c r="AI104" s="4">
        <v>10.23</v>
      </c>
      <c r="AJ104" s="4">
        <v>10.1</v>
      </c>
      <c r="AK104" s="4">
        <v>10.3</v>
      </c>
      <c r="AL104" s="4">
        <v>10.64</v>
      </c>
      <c r="AM104" s="4">
        <v>10.8</v>
      </c>
      <c r="AN104" s="4">
        <v>11.23</v>
      </c>
      <c r="AO104" s="4">
        <v>10.92</v>
      </c>
      <c r="AP104" s="4">
        <v>11.96</v>
      </c>
      <c r="AQ104" s="4">
        <v>11.79</v>
      </c>
      <c r="AR104" s="4">
        <v>11.7</v>
      </c>
      <c r="AS104" s="4">
        <v>11.81</v>
      </c>
      <c r="AT104" s="4">
        <v>11.69</v>
      </c>
      <c r="AU104" s="4">
        <v>11.85</v>
      </c>
      <c r="AV104" s="4">
        <v>11.9</v>
      </c>
      <c r="AW104" s="4">
        <v>11.73</v>
      </c>
      <c r="AX104" s="4">
        <v>11.7</v>
      </c>
      <c r="AY104" s="12">
        <v>12.52</v>
      </c>
      <c r="AZ104" s="12">
        <v>13.2</v>
      </c>
      <c r="BA104" s="12">
        <v>13.45</v>
      </c>
      <c r="BB104" s="15">
        <v>13.4</v>
      </c>
      <c r="BC104" s="52">
        <v>13.24</v>
      </c>
      <c r="BD104" s="52">
        <v>13.47</v>
      </c>
      <c r="BE104" s="52">
        <v>13.48</v>
      </c>
      <c r="BF104" s="52">
        <v>13.35</v>
      </c>
      <c r="BG104" s="67">
        <v>13.37</v>
      </c>
      <c r="BH104" s="52">
        <v>13.51</v>
      </c>
      <c r="BI104" s="52">
        <v>13.51</v>
      </c>
      <c r="BJ104" s="52">
        <v>13.79</v>
      </c>
      <c r="BK104" s="52">
        <v>12.94</v>
      </c>
      <c r="BL104" s="52">
        <v>12.55</v>
      </c>
      <c r="BM104" s="52">
        <v>12.4</v>
      </c>
      <c r="BN104" s="52">
        <v>12.5</v>
      </c>
      <c r="BO104" s="52">
        <v>13</v>
      </c>
      <c r="BP104" s="52" cm="1">
        <f t="array" aca="1" ref="BP104" ca="1">_FV(ED104,"Preço")</f>
        <v>13.3</v>
      </c>
      <c r="BQ104" s="69" t="s">
        <v>101</v>
      </c>
      <c r="BR104" s="36" cm="1">
        <f t="array" aca="1" ref="BR104" ca="1">_FV(ED104,"Média de volume",TRUE)</f>
        <v>7325800</v>
      </c>
      <c r="BS104" s="36">
        <v>5446000</v>
      </c>
      <c r="BT104" s="36" cm="1">
        <f t="array" aca="1" ref="BT104" ca="1">_FV(ED104,"Volume")</f>
        <v>5443500</v>
      </c>
      <c r="BU104" s="24" cm="1">
        <f t="array" aca="1" ref="BU104" ca="1">_FV(ED104,"Beta")</f>
        <v>1.0499000000000001</v>
      </c>
      <c r="BV104" s="71" cm="1">
        <f t="array" aca="1" ref="BV104" ca="1">_FV(ED104,"Variação (%)",TRUE)</f>
        <v>1.0638000000000002E-2</v>
      </c>
      <c r="BX104" s="17" cm="1">
        <f t="array" aca="1" ref="BX104" ca="1">_FV(ED104,"Baixo")</f>
        <v>13.08</v>
      </c>
      <c r="BY104" s="17" cm="1">
        <f t="array" aca="1" ref="BY104" ca="1">_FV(ED104,"Alto")</f>
        <v>13.42</v>
      </c>
      <c r="BZ104" s="24"/>
      <c r="CA104" s="63" t="e">
        <f ca="1">SQRT(22.5*(BP104/VLOOKUP(BQ104,Fundamentus!A:U,3,FALSE))*(BP104/VLOOKUP(BQ104,Fundamentus!A:U,4,FALSE)))</f>
        <v>#N/A</v>
      </c>
      <c r="CC104" s="62">
        <f t="shared" ca="1" si="112"/>
        <v>2.307692307692313E-2</v>
      </c>
      <c r="CD104" s="8"/>
      <c r="CE104" s="61">
        <f t="shared" si="113"/>
        <v>10.1</v>
      </c>
      <c r="CF104" s="61">
        <f t="shared" si="114"/>
        <v>13.79</v>
      </c>
      <c r="CG104" s="61">
        <f t="shared" si="115"/>
        <v>12.233432835820899</v>
      </c>
      <c r="CH104" s="14"/>
      <c r="CI104" s="35">
        <f t="shared" si="98"/>
        <v>12.487000000000023</v>
      </c>
      <c r="CJ104" s="15">
        <f t="shared" si="116"/>
        <v>12.975000000000023</v>
      </c>
      <c r="CK104" s="35">
        <f t="shared" si="99"/>
        <v>13.463000000000022</v>
      </c>
      <c r="CM104" s="14"/>
      <c r="CN104" s="17">
        <f t="shared" si="100"/>
        <v>7.1133333333333351</v>
      </c>
      <c r="CO104" s="17">
        <f t="shared" si="101"/>
        <v>8.6066666666666674</v>
      </c>
      <c r="CP104" s="17">
        <f t="shared" si="102"/>
        <v>10.803333333333335</v>
      </c>
      <c r="CQ104" s="38">
        <f t="shared" si="117"/>
        <v>12.296666666666667</v>
      </c>
      <c r="CR104" s="17">
        <f t="shared" si="103"/>
        <v>14.493333333333334</v>
      </c>
      <c r="CS104" s="17">
        <f t="shared" si="104"/>
        <v>15.986666666666666</v>
      </c>
      <c r="CT104" s="17">
        <f t="shared" si="105"/>
        <v>18.183333333333334</v>
      </c>
      <c r="CU104" s="2" cm="1">
        <f t="array" aca="1" ref="CU104" ca="1">MAX(_xlfn._xlws.FILTER(CN104:CT104,CN104:CT104&lt;BP104))</f>
        <v>12.296666666666667</v>
      </c>
      <c r="CV104" s="2" cm="1">
        <f t="array" aca="1" ref="CV104" ca="1">MIN(_xlfn._xlws.FILTER($CN104:$CT104,$CN104:$CT104&gt;BP104))</f>
        <v>14.493333333333334</v>
      </c>
      <c r="CW104" s="16">
        <f t="shared" ca="1" si="119"/>
        <v>0.17863919761452962</v>
      </c>
      <c r="CX104" s="20">
        <f t="shared" ca="1" si="120"/>
        <v>-8.9319598807264811E-2</v>
      </c>
      <c r="CY104" s="20">
        <f t="shared" ca="1" si="121"/>
        <v>-5.9546399204843205E-2</v>
      </c>
      <c r="CZ104" s="20">
        <f t="shared" ca="1" si="122"/>
        <v>-3.5727839522905924E-2</v>
      </c>
      <c r="DA104" s="20">
        <f t="shared" ca="1" si="123"/>
        <v>-1.9848799734947735E-2</v>
      </c>
      <c r="DB104" s="20">
        <f t="shared" ca="1" si="124"/>
        <v>-1.050818809497233E-2</v>
      </c>
      <c r="DC104" s="20">
        <f t="shared" ca="1" si="125"/>
        <v>-5.4133090186221098E-3</v>
      </c>
      <c r="DD104" s="20">
        <f t="shared" ca="1" si="126"/>
        <v>-2.7482953479158402E-3</v>
      </c>
      <c r="DE104" s="21">
        <f t="shared" ca="1" si="127"/>
        <v>2.7482953479158402E-3</v>
      </c>
      <c r="DF104" s="21">
        <f t="shared" ca="1" si="128"/>
        <v>5.4133090186221098E-3</v>
      </c>
      <c r="DG104" s="21">
        <f t="shared" ca="1" si="129"/>
        <v>1.050818809497233E-2</v>
      </c>
      <c r="DH104" s="21">
        <f t="shared" ca="1" si="130"/>
        <v>1.9848799734947735E-2</v>
      </c>
      <c r="DI104" s="21">
        <f t="shared" ca="1" si="131"/>
        <v>3.5727839522905924E-2</v>
      </c>
      <c r="DJ104" s="21">
        <f t="shared" ca="1" si="132"/>
        <v>5.9546399204843205E-2</v>
      </c>
      <c r="DK104" s="21">
        <f t="shared" ca="1" si="133"/>
        <v>8.9319598807264811E-2</v>
      </c>
      <c r="DM104" s="16" cm="1">
        <f t="array" aca="1" ref="DM104" ca="1">MAX(_xlfn._xlws.FILTER(CX104:DK104,CX104:DK104&lt;BV104))</f>
        <v>1.050818809497233E-2</v>
      </c>
      <c r="DN104" s="16" cm="1">
        <f t="array" aca="1" ref="DN104" ca="1">MIN(_xlfn._xlws.FILTER(CX104:DK104,CX104:DK104&gt;BV104))</f>
        <v>1.9848799734947735E-2</v>
      </c>
      <c r="DO104" s="2" cm="1">
        <f t="array" aca="1" ref="DO104" ca="1">_FV(ED104,"Fechamento anterior",TRUE)</f>
        <v>13.16</v>
      </c>
      <c r="DP104" s="28">
        <f t="shared" ca="1" si="106"/>
        <v>1.3929470829435665E-2</v>
      </c>
      <c r="DQ104" s="15">
        <f t="shared" ca="1" si="134"/>
        <v>13.298287755329836</v>
      </c>
      <c r="DR104" s="15">
        <f t="shared" ca="1" si="135"/>
        <v>13.421210204511912</v>
      </c>
      <c r="DS104" s="9"/>
      <c r="DT104" s="9"/>
      <c r="DU104" s="9"/>
      <c r="DV104" s="89">
        <v>9.3406116399754047E-3</v>
      </c>
      <c r="DW104" s="89">
        <f t="shared" ca="1" si="107"/>
        <v>9.3406116399754047E-3</v>
      </c>
      <c r="DX104" s="72">
        <f t="shared" ca="1" si="108"/>
        <v>0.66598360655733257</v>
      </c>
      <c r="DY104" s="37"/>
      <c r="DZ104" s="35">
        <f t="shared" si="118"/>
        <v>0.24399999999999972</v>
      </c>
      <c r="EA104" s="56"/>
      <c r="EB104" s="56"/>
      <c r="ED104" s="2" t="e" vm="104">
        <v>#VALUE!</v>
      </c>
      <c r="EF104" s="10" cm="1">
        <f t="array" aca="1" ref="EF104" ca="1">_FV(ED104,"Ações em circulação",TRUE)</f>
        <v>2020000000</v>
      </c>
      <c r="EG104" s="18" t="e">
        <f>VLOOKUP(BQ104,Fundamentus!A:U,5,FALSE)</f>
        <v>#N/A</v>
      </c>
      <c r="EH104" s="2" t="e">
        <f t="shared" ca="1" si="109"/>
        <v>#N/A</v>
      </c>
      <c r="EI104" s="17" t="e">
        <v>#N/A</v>
      </c>
      <c r="EJ104" s="17" t="e">
        <f t="shared" ca="1" si="110"/>
        <v>#N/A</v>
      </c>
      <c r="EL104" s="16" t="e">
        <f t="shared" ca="1" si="97"/>
        <v>#N/A</v>
      </c>
      <c r="EM104" s="32" t="e">
        <f>IF(VLOOKUP(BQ104,Fundamentus!A:U,3,FALSE)&lt;15,"Bom",IF(VLOOKUP(BQ104,Fundamentus!A:U,3,FALSE)&gt;15,"Ruim","n/a"))</f>
        <v>#N/A</v>
      </c>
      <c r="EN104" s="28" t="e">
        <f>IF(VLOOKUP(BQ104,Fundamentus!A:U,4,FALSE)&lt;1,"Baixo",IF(VLOOKUP(BQ104,Fundamentus!A:U,4,FALSE)&lt;1.5,"Moderado",IF(VLOOKUP(BQ104,Fundamentus!A:U,4,FALSE)&gt;1.5,"Alto","n/a")))</f>
        <v>#N/A</v>
      </c>
      <c r="EO104" s="17" t="e">
        <f>IF(VLOOKUP(BQ104,Fundamentus!A:U,8,FALSE)&lt;0,"Risco elevado",IF(VLOOKUP(BQ104,Fundamentus!A:U,8,FALSE)&lt;1,"Saudável",IF(VLOOKUP(BQ104,Fundamentus!A:U,8,FALSE)&lt;3,"Estável",IF(VLOOKUP(BQ104,Fundamentus!A:U,8,FALSE)&gt;3,"Alerta","n/a"))))</f>
        <v>#N/A</v>
      </c>
      <c r="EP104" s="28" t="e">
        <f t="shared" si="111"/>
        <v>#N/A</v>
      </c>
      <c r="EQ104" s="17" t="e">
        <f>IF(VLOOKUP(BQ104,Fundamentus!A:U,12,FALSE)&lt;2,"Subvalorizada",IF(VLOOKUP(BQ104,Fundamentus!A:U,12,FALSE)&lt;6,"Muita barata",IF(VLOOKUP(BQ104,Fundamentus!A:U,12,FALSE)&lt;6,"Barata",IF(VLOOKUP(BQ104,Fundamentus!A:U,12,FALSE)&lt;8,"Atrativa",IF(VLOOKUP(BQ104,Fundamentus!A:U,12,FALSE)&gt;8,"Supervalorizada","n/a")))))</f>
        <v>#N/A</v>
      </c>
      <c r="ES104" s="17" t="e">
        <f>IF(VLOOKUP(BQ104,Fundamentus!A:U,17,FALSE)&lt;0.1,"Fraco retorno",IF(VLOOKUP(BQ104,Fundamentus!A:U,17,FALSE)&gt;0.1,"Bom retorno","n/a"))</f>
        <v>#N/A</v>
      </c>
      <c r="ET104" s="17" t="e">
        <f>IF(VLOOKUP(BQ104,Fundamentus!A:U,16,FALSE)&lt;0.1,"Ineficiente",IF(VLOOKUP(BQ104,Fundamentus!A:U,16,FALSE)&gt;0.1,"Eficiente","n/a"))</f>
        <v>#N/A</v>
      </c>
      <c r="EU104" s="33" t="e">
        <f>IF(VLOOKUP(BQ104,Fundamentus!A:U,16,FALSE)&lt;0.1,"Oper. Ineficiente",IF(VLOOKUP(BQ104,Fundamentus!A:U,16,FALSE)&gt;0.1,"Oper.Eficiente","n/a"))</f>
        <v>#N/A</v>
      </c>
      <c r="EV104" s="34" t="e">
        <f>VLOOKUP(BQ104,Fundamentus!A:U,14,FALSE)</f>
        <v>#N/A</v>
      </c>
      <c r="EW104" s="17" t="e">
        <f>IF(VLOOKUP(BQ104,Fundamentus!A:U,21,FALSE)&lt;0,"Negativo",IF(VLOOKUP(BQ104,Fundamentus!A:U,21,FALSE)&lt;0.05,"Fraco",IF(VLOOKUP(BQ104,Fundamentus!A:U,21,FALSE)&lt;0.1,"Bom",IF(VLOOKUP(BQ104,Fundamentus!A:U,21,FALSE)&gt;0.1,"Muito bom","n/a"))))</f>
        <v>#N/A</v>
      </c>
      <c r="EY104" s="29" t="e">
        <f>IF(VLOOKUP(BQ104,Fundamentus!A:U,15,FALSE)&gt;1,"Bom",IF(VLOOKUP(BQ104,Fundamentus!A:U,15,FALSE)&lt;1,"Ruim","n/a"))</f>
        <v>#N/A</v>
      </c>
      <c r="EZ104" s="17" t="e">
        <f>IF(VLOOKUP(BQ104,Fundamentus!A:U,20,FALSE)&lt;0.5,"Baixa",IF(VLOOKUP(BQ104,Fundamentus!A:U,20,FALSE)&lt;1,"Moderada",IF(VLOOKUP(BQ104,Fundamentus!A:U,20,FALSE)&lt;2,"Alerta",IF(VLOOKUP(BQ104,Fundamentus!A:U,20,FALSE)&gt;2,"Alta","n/a"))))</f>
        <v>#N/A</v>
      </c>
      <c r="FA104" s="10"/>
    </row>
    <row r="105" spans="1:157" s="2" customFormat="1" ht="11.25" hidden="1" x14ac:dyDescent="0.2">
      <c r="A105" s="4">
        <v>4.54</v>
      </c>
      <c r="B105" s="4">
        <v>4.33</v>
      </c>
      <c r="C105" s="4">
        <v>4.28</v>
      </c>
      <c r="D105" s="4">
        <v>3.87</v>
      </c>
      <c r="E105" s="4">
        <v>3.82</v>
      </c>
      <c r="F105" s="4">
        <v>3.73</v>
      </c>
      <c r="G105" s="4">
        <v>3.67</v>
      </c>
      <c r="H105" s="4">
        <v>3.56</v>
      </c>
      <c r="I105" s="4">
        <v>3.43</v>
      </c>
      <c r="J105" s="4">
        <v>3.82</v>
      </c>
      <c r="K105" s="4">
        <v>3.76</v>
      </c>
      <c r="L105" s="4">
        <v>3.61</v>
      </c>
      <c r="M105" s="4">
        <v>3.42</v>
      </c>
      <c r="N105" s="4">
        <v>3.55</v>
      </c>
      <c r="O105" s="4">
        <v>3.6</v>
      </c>
      <c r="P105" s="4">
        <v>3.4</v>
      </c>
      <c r="Q105" s="4">
        <v>3.44</v>
      </c>
      <c r="R105" s="4">
        <v>3.39</v>
      </c>
      <c r="S105" s="4">
        <v>3.37</v>
      </c>
      <c r="T105" s="4">
        <v>3.54</v>
      </c>
      <c r="U105" s="4">
        <v>3.42</v>
      </c>
      <c r="V105" s="4">
        <v>3.52</v>
      </c>
      <c r="W105" s="4">
        <v>3.64</v>
      </c>
      <c r="X105" s="4">
        <v>3.54</v>
      </c>
      <c r="Y105" s="4">
        <v>3.56</v>
      </c>
      <c r="Z105" s="4">
        <v>3.58</v>
      </c>
      <c r="AA105" s="4">
        <v>3.51</v>
      </c>
      <c r="AB105" s="4">
        <v>3.52</v>
      </c>
      <c r="AC105" s="4">
        <v>3.7</v>
      </c>
      <c r="AD105" s="4">
        <v>3.69</v>
      </c>
      <c r="AE105" s="4">
        <v>3.41</v>
      </c>
      <c r="AF105" s="4">
        <v>3.39</v>
      </c>
      <c r="AG105" s="4">
        <v>3.88</v>
      </c>
      <c r="AH105" s="4">
        <v>3.51</v>
      </c>
      <c r="AI105" s="4">
        <v>3.59</v>
      </c>
      <c r="AJ105" s="4">
        <v>3.48</v>
      </c>
      <c r="AK105" s="4">
        <v>3.53</v>
      </c>
      <c r="AL105" s="4">
        <v>3.68</v>
      </c>
      <c r="AM105" s="4">
        <v>3.66</v>
      </c>
      <c r="AN105" s="4">
        <v>3.86</v>
      </c>
      <c r="AO105" s="4">
        <v>3.81</v>
      </c>
      <c r="AP105" s="4">
        <v>3.87</v>
      </c>
      <c r="AQ105" s="4">
        <v>3.74</v>
      </c>
      <c r="AR105" s="4">
        <v>3.74</v>
      </c>
      <c r="AS105" s="4">
        <v>3.78</v>
      </c>
      <c r="AT105" s="4">
        <v>3.99</v>
      </c>
      <c r="AU105" s="4">
        <v>3.2749999999999999</v>
      </c>
      <c r="AV105" s="4">
        <v>3.26</v>
      </c>
      <c r="AW105" s="4">
        <v>3.23</v>
      </c>
      <c r="AX105" s="4">
        <v>3.27</v>
      </c>
      <c r="AY105" s="12">
        <v>3.23</v>
      </c>
      <c r="AZ105" s="12">
        <v>3.28</v>
      </c>
      <c r="BA105" s="12">
        <v>3.24</v>
      </c>
      <c r="BB105" s="15">
        <v>3.26</v>
      </c>
      <c r="BC105" s="52">
        <v>3.2</v>
      </c>
      <c r="BD105" s="52">
        <v>3.53</v>
      </c>
      <c r="BE105" s="52">
        <v>3.41</v>
      </c>
      <c r="BF105" s="52">
        <v>3.44</v>
      </c>
      <c r="BG105" s="67">
        <v>3.33</v>
      </c>
      <c r="BH105" s="52">
        <v>3.29</v>
      </c>
      <c r="BI105" s="52">
        <v>3.27</v>
      </c>
      <c r="BJ105" s="52">
        <v>3.47</v>
      </c>
      <c r="BK105" s="52">
        <v>3.48</v>
      </c>
      <c r="BL105" s="52">
        <v>3.35</v>
      </c>
      <c r="BM105" s="52">
        <v>3.39</v>
      </c>
      <c r="BN105" s="52">
        <v>3.31</v>
      </c>
      <c r="BO105" s="52">
        <v>3.37</v>
      </c>
      <c r="BP105" s="52" cm="1">
        <f t="array" aca="1" ref="BP105" ca="1">_FV(ED105,"Preço")</f>
        <v>3.75</v>
      </c>
      <c r="BQ105" s="69" t="s">
        <v>102</v>
      </c>
      <c r="BR105" s="36" cm="1">
        <f t="array" aca="1" ref="BR105" ca="1">_FV(ED105,"Média de volume",TRUE)</f>
        <v>318530</v>
      </c>
      <c r="BS105" s="36">
        <v>173700</v>
      </c>
      <c r="BT105" s="36" cm="1">
        <f t="array" aca="1" ref="BT105" ca="1">_FV(ED105,"Volume")</f>
        <v>835600</v>
      </c>
      <c r="BU105" s="24" cm="1">
        <f t="array" aca="1" ref="BU105" ca="1">_FV(ED105,"Beta")</f>
        <v>0.95440000000000003</v>
      </c>
      <c r="BV105" s="71" cm="1">
        <f t="array" aca="1" ref="BV105" ca="1">_FV(ED105,"Variação (%)",TRUE)</f>
        <v>6.2323000000000003E-2</v>
      </c>
      <c r="BX105" s="17" cm="1">
        <f t="array" aca="1" ref="BX105" ca="1">_FV(ED105,"Baixo")</f>
        <v>3.49</v>
      </c>
      <c r="BY105" s="17" cm="1">
        <f t="array" aca="1" ref="BY105" ca="1">_FV(ED105,"Alto")</f>
        <v>3.75</v>
      </c>
      <c r="BZ105" s="24"/>
      <c r="CA105" s="63">
        <f ca="1">SQRT(22.5*(BP105/VLOOKUP(BQ105,Fundamentus!A:U,3,FALSE))*(BP105/VLOOKUP(BQ105,Fundamentus!A:U,4,FALSE)))</f>
        <v>6.147632770143387</v>
      </c>
      <c r="CC105" s="62">
        <f t="shared" ca="1" si="112"/>
        <v>0.11275964391691391</v>
      </c>
      <c r="CD105" s="8"/>
      <c r="CE105" s="61">
        <f t="shared" si="113"/>
        <v>3.2</v>
      </c>
      <c r="CF105" s="61">
        <f t="shared" si="114"/>
        <v>4.54</v>
      </c>
      <c r="CG105" s="61">
        <f t="shared" si="115"/>
        <v>3.5614179104477617</v>
      </c>
      <c r="CH105" s="14"/>
      <c r="CI105" s="35">
        <f t="shared" si="98"/>
        <v>3.2368629150101538</v>
      </c>
      <c r="CJ105" s="15">
        <f t="shared" si="116"/>
        <v>3.3500000000000014</v>
      </c>
      <c r="CK105" s="35">
        <f t="shared" si="99"/>
        <v>3.4631370849898491</v>
      </c>
      <c r="CM105" s="14"/>
      <c r="CN105" s="17">
        <f t="shared" si="100"/>
        <v>1.5266666666666664</v>
      </c>
      <c r="CO105" s="17">
        <f t="shared" si="101"/>
        <v>2.3633333333333333</v>
      </c>
      <c r="CP105" s="17">
        <f t="shared" si="102"/>
        <v>2.8666666666666663</v>
      </c>
      <c r="CQ105" s="38">
        <f t="shared" si="117"/>
        <v>3.7033333333333331</v>
      </c>
      <c r="CR105" s="17">
        <f t="shared" si="103"/>
        <v>4.2066666666666661</v>
      </c>
      <c r="CS105" s="17">
        <f t="shared" si="104"/>
        <v>5.043333333333333</v>
      </c>
      <c r="CT105" s="17">
        <f t="shared" si="105"/>
        <v>5.546666666666666</v>
      </c>
      <c r="CU105" s="2" cm="1">
        <f t="array" aca="1" ref="CU105" ca="1">MAX(_xlfn._xlws.FILTER(CN105:CT105,CN105:CT105&lt;BP105))</f>
        <v>3.7033333333333331</v>
      </c>
      <c r="CV105" s="2" cm="1">
        <f t="array" aca="1" ref="CV105" ca="1">MIN(_xlfn._xlws.FILTER($CN105:$CT105,$CN105:$CT105&gt;BP105))</f>
        <v>4.2066666666666661</v>
      </c>
      <c r="CW105" s="16">
        <f t="shared" ca="1" si="119"/>
        <v>0.13591359135913583</v>
      </c>
      <c r="CX105" s="20">
        <f t="shared" ca="1" si="120"/>
        <v>-6.7956795679567916E-2</v>
      </c>
      <c r="CY105" s="20">
        <f t="shared" ca="1" si="121"/>
        <v>-4.5304530453045277E-2</v>
      </c>
      <c r="CZ105" s="20">
        <f t="shared" ca="1" si="122"/>
        <v>-2.7182718271827166E-2</v>
      </c>
      <c r="DA105" s="20">
        <f t="shared" ca="1" si="123"/>
        <v>-1.5101510151015093E-2</v>
      </c>
      <c r="DB105" s="20">
        <f t="shared" ca="1" si="124"/>
        <v>-7.9949171387726954E-3</v>
      </c>
      <c r="DC105" s="20">
        <f t="shared" ca="1" si="125"/>
        <v>-4.1185936775495705E-3</v>
      </c>
      <c r="DD105" s="20">
        <f t="shared" ca="1" si="126"/>
        <v>-2.0909783286020898E-3</v>
      </c>
      <c r="DE105" s="21">
        <f t="shared" ca="1" si="127"/>
        <v>2.0909783286020898E-3</v>
      </c>
      <c r="DF105" s="21">
        <f t="shared" ca="1" si="128"/>
        <v>4.1185936775495705E-3</v>
      </c>
      <c r="DG105" s="21">
        <f t="shared" ca="1" si="129"/>
        <v>7.9949171387726954E-3</v>
      </c>
      <c r="DH105" s="21">
        <f t="shared" ca="1" si="130"/>
        <v>1.5101510151015093E-2</v>
      </c>
      <c r="DI105" s="21">
        <f t="shared" ca="1" si="131"/>
        <v>2.7182718271827166E-2</v>
      </c>
      <c r="DJ105" s="21">
        <f t="shared" ca="1" si="132"/>
        <v>4.5304530453045277E-2</v>
      </c>
      <c r="DK105" s="21">
        <f t="shared" ca="1" si="133"/>
        <v>6.7956795679567916E-2</v>
      </c>
      <c r="DM105" s="16" cm="1">
        <f t="array" aca="1" ref="DM105" ca="1">MAX(_xlfn._xlws.FILTER(CX105:DK105,CX105:DK105&lt;BV105))</f>
        <v>4.5304530453045277E-2</v>
      </c>
      <c r="DN105" s="16" cm="1">
        <f t="array" aca="1" ref="DN105" ca="1">MIN(_xlfn._xlws.FILTER(CX105:DK105,CX105:DK105&gt;BV105))</f>
        <v>6.7956795679567916E-2</v>
      </c>
      <c r="DO105" s="2" cm="1">
        <f t="array" aca="1" ref="DO105" ca="1">_FV(ED105,"Fechamento anterior",TRUE)</f>
        <v>3.53</v>
      </c>
      <c r="DP105" s="28">
        <f t="shared" ca="1" si="106"/>
        <v>0.75128979607152113</v>
      </c>
      <c r="DQ105" s="15">
        <f t="shared" ca="1" si="134"/>
        <v>3.6899249924992494</v>
      </c>
      <c r="DR105" s="15">
        <f t="shared" ca="1" si="135"/>
        <v>3.7698874887488745</v>
      </c>
      <c r="DS105" s="9"/>
      <c r="DT105" s="9"/>
      <c r="DU105" s="9"/>
      <c r="DV105" s="89">
        <v>1.5260677914576696E-2</v>
      </c>
      <c r="DW105" s="89">
        <f t="shared" ca="1" si="107"/>
        <v>2.2652265226522639E-2</v>
      </c>
      <c r="DX105" s="72">
        <f t="shared" ca="1" si="108"/>
        <v>3.5355339059327235</v>
      </c>
      <c r="DY105" s="37"/>
      <c r="DZ105" s="35">
        <f t="shared" si="118"/>
        <v>5.6568542494923775E-2</v>
      </c>
      <c r="EA105" s="56"/>
      <c r="EB105" s="56"/>
      <c r="ED105" s="2" t="e" vm="105">
        <v>#VALUE!</v>
      </c>
      <c r="EF105" s="10" cm="1">
        <f t="array" aca="1" ref="EF105" ca="1">_FV(ED105,"Ações em circulação",TRUE)</f>
        <v>206269300</v>
      </c>
      <c r="EG105" s="18">
        <f>VLOOKUP(BQ105,Fundamentus!A:U,5,FALSE)</f>
        <v>0.69499999999999995</v>
      </c>
      <c r="EH105" s="2">
        <f t="shared" ca="1" si="109"/>
        <v>1112963848.9208634</v>
      </c>
      <c r="EI105" s="17">
        <v>114621030.50158274</v>
      </c>
      <c r="EJ105" s="17">
        <f t="shared" ca="1" si="110"/>
        <v>127545657.08633094</v>
      </c>
      <c r="EL105" s="16">
        <f t="shared" ca="1" si="97"/>
        <v>0.11275964391691384</v>
      </c>
      <c r="EM105" s="32" t="str">
        <f>IF(VLOOKUP(BQ105,Fundamentus!A:U,3,FALSE)&lt;15,"Bom",IF(VLOOKUP(BQ105,Fundamentus!A:U,3,FALSE)&gt;15,"Ruim","n/a"))</f>
        <v>Bom</v>
      </c>
      <c r="EN105" s="28" t="str">
        <f>IF(VLOOKUP(BQ105,Fundamentus!A:U,4,FALSE)&lt;1,"Baixo",IF(VLOOKUP(BQ105,Fundamentus!A:U,4,FALSE)&lt;1.5,"Moderado",IF(VLOOKUP(BQ105,Fundamentus!A:U,4,FALSE)&gt;1.5,"Alto","n/a")))</f>
        <v>Baixo</v>
      </c>
      <c r="EO105" s="17" t="str">
        <f>IF(VLOOKUP(BQ105,Fundamentus!A:U,8,FALSE)&lt;0,"Risco elevado",IF(VLOOKUP(BQ105,Fundamentus!A:U,8,FALSE)&lt;1,"Saudável",IF(VLOOKUP(BQ105,Fundamentus!A:U,8,FALSE)&lt;3,"Estável",IF(VLOOKUP(BQ105,Fundamentus!A:U,8,FALSE)&gt;3,"Alerta","n/a"))))</f>
        <v>Saudável</v>
      </c>
      <c r="EP105" s="28" t="str">
        <f t="shared" si="111"/>
        <v>Ruim</v>
      </c>
      <c r="EQ105" s="17" t="str">
        <f>IF(VLOOKUP(BQ105,Fundamentus!A:U,12,FALSE)&lt;2,"Subvalorizada",IF(VLOOKUP(BQ105,Fundamentus!A:U,12,FALSE)&lt;6,"Muita barata",IF(VLOOKUP(BQ105,Fundamentus!A:U,12,FALSE)&lt;6,"Barata",IF(VLOOKUP(BQ105,Fundamentus!A:U,12,FALSE)&lt;8,"Atrativa",IF(VLOOKUP(BQ105,Fundamentus!A:U,12,FALSE)&gt;8,"Supervalorizada","n/a")))))</f>
        <v>Supervalorizada</v>
      </c>
      <c r="ES105" s="17" t="str">
        <f>IF(VLOOKUP(BQ105,Fundamentus!A:U,17,FALSE)&lt;0.1,"Fraco retorno",IF(VLOOKUP(BQ105,Fundamentus!A:U,17,FALSE)&gt;0.1,"Bom retorno","n/a"))</f>
        <v>Fraco retorno</v>
      </c>
      <c r="ET105" s="17" t="str">
        <f>IF(VLOOKUP(BQ105,Fundamentus!A:U,16,FALSE)&lt;0.1,"Ineficiente",IF(VLOOKUP(BQ105,Fundamentus!A:U,16,FALSE)&gt;0.1,"Eficiente","n/a"))</f>
        <v>Ineficiente</v>
      </c>
      <c r="EU105" s="33" t="str">
        <f>IF(VLOOKUP(BQ105,Fundamentus!A:U,16,FALSE)&lt;0.1,"Oper. Ineficiente",IF(VLOOKUP(BQ105,Fundamentus!A:U,16,FALSE)&gt;0.1,"Oper.Eficiente","n/a"))</f>
        <v>Oper. Ineficiente</v>
      </c>
      <c r="EV105" s="34">
        <f>VLOOKUP(BQ105,Fundamentus!A:U,14,FALSE)</f>
        <v>0.11459999999999999</v>
      </c>
      <c r="EW105" s="17" t="str">
        <f>IF(VLOOKUP(BQ105,Fundamentus!A:U,21,FALSE)&lt;0,"Negativo",IF(VLOOKUP(BQ105,Fundamentus!A:U,21,FALSE)&lt;0.05,"Fraco",IF(VLOOKUP(BQ105,Fundamentus!A:U,21,FALSE)&lt;0.1,"Bom",IF(VLOOKUP(BQ105,Fundamentus!A:U,21,FALSE)&gt;0.1,"Muito bom","n/a"))))</f>
        <v>Muito bom</v>
      </c>
      <c r="EY105" s="29" t="str">
        <f>IF(VLOOKUP(BQ105,Fundamentus!A:U,15,FALSE)&gt;1,"Bom",IF(VLOOKUP(BQ105,Fundamentus!A:U,15,FALSE)&lt;1,"Ruim","n/a"))</f>
        <v>Bom</v>
      </c>
      <c r="EZ105" s="17" t="str">
        <f>IF(VLOOKUP(BQ105,Fundamentus!A:U,20,FALSE)&lt;0.5,"Baixa",IF(VLOOKUP(BQ105,Fundamentus!A:U,20,FALSE)&lt;1,"Moderada",IF(VLOOKUP(BQ105,Fundamentus!A:U,20,FALSE)&lt;2,"Alerta",IF(VLOOKUP(BQ105,Fundamentus!A:U,20,FALSE)&gt;2,"Alta","n/a"))))</f>
        <v>Baixa</v>
      </c>
      <c r="FA105" s="10"/>
    </row>
    <row r="106" spans="1:157" s="2" customFormat="1" ht="11.25" hidden="1" x14ac:dyDescent="0.2">
      <c r="A106" s="4">
        <v>33.08</v>
      </c>
      <c r="B106" s="4">
        <v>32.67</v>
      </c>
      <c r="C106" s="4">
        <v>34.21</v>
      </c>
      <c r="D106" s="4">
        <v>34.950000000000003</v>
      </c>
      <c r="E106" s="4">
        <v>33.97</v>
      </c>
      <c r="F106" s="4">
        <v>33.340000000000003</v>
      </c>
      <c r="G106" s="4">
        <v>32.729999999999997</v>
      </c>
      <c r="H106" s="4">
        <v>32.630000000000003</v>
      </c>
      <c r="I106" s="4">
        <v>32.89</v>
      </c>
      <c r="J106" s="4">
        <v>33.08</v>
      </c>
      <c r="K106" s="4">
        <v>33.79</v>
      </c>
      <c r="L106" s="4">
        <v>32.880000000000003</v>
      </c>
      <c r="M106" s="4">
        <v>32.799999999999997</v>
      </c>
      <c r="N106" s="4">
        <v>33.18</v>
      </c>
      <c r="O106" s="4">
        <v>33.1</v>
      </c>
      <c r="P106" s="4">
        <v>33.44</v>
      </c>
      <c r="Q106" s="4">
        <v>33.770000000000003</v>
      </c>
      <c r="R106" s="4">
        <v>34.090000000000003</v>
      </c>
      <c r="S106" s="4">
        <v>34.65</v>
      </c>
      <c r="T106" s="4">
        <v>34</v>
      </c>
      <c r="U106" s="4">
        <v>33.380000000000003</v>
      </c>
      <c r="V106" s="4">
        <v>33.76</v>
      </c>
      <c r="W106" s="4">
        <v>34.01</v>
      </c>
      <c r="X106" s="4">
        <v>32.520000000000003</v>
      </c>
      <c r="Y106" s="4">
        <v>32.520000000000003</v>
      </c>
      <c r="Z106" s="4">
        <v>32.71</v>
      </c>
      <c r="AA106" s="4">
        <v>32.42</v>
      </c>
      <c r="AB106" s="4">
        <v>32.24</v>
      </c>
      <c r="AC106" s="4">
        <v>32.36</v>
      </c>
      <c r="AD106" s="4">
        <v>32.979999999999997</v>
      </c>
      <c r="AE106" s="4">
        <v>32.619999999999997</v>
      </c>
      <c r="AF106" s="4">
        <v>32.03</v>
      </c>
      <c r="AG106" s="4">
        <v>32</v>
      </c>
      <c r="AH106" s="4">
        <v>31.3</v>
      </c>
      <c r="AI106" s="4">
        <v>31.55</v>
      </c>
      <c r="AJ106" s="4">
        <v>31</v>
      </c>
      <c r="AK106" s="4">
        <v>31.64</v>
      </c>
      <c r="AL106" s="4">
        <v>33.24</v>
      </c>
      <c r="AM106" s="4">
        <v>32.96</v>
      </c>
      <c r="AN106" s="4">
        <v>34.380000000000003</v>
      </c>
      <c r="AO106" s="4">
        <v>34.04</v>
      </c>
      <c r="AP106" s="4">
        <v>34.4</v>
      </c>
      <c r="AQ106" s="4">
        <v>35.03</v>
      </c>
      <c r="AR106" s="4">
        <v>35.08</v>
      </c>
      <c r="AS106" s="4">
        <v>37.700000000000003</v>
      </c>
      <c r="AT106" s="4">
        <v>37.44</v>
      </c>
      <c r="AU106" s="4">
        <v>37.775000000000013</v>
      </c>
      <c r="AV106" s="4">
        <v>37.82</v>
      </c>
      <c r="AW106" s="4">
        <v>37.9</v>
      </c>
      <c r="AX106" s="4">
        <v>37.71</v>
      </c>
      <c r="AY106" s="12">
        <v>38.25</v>
      </c>
      <c r="AZ106" s="12">
        <v>39.04</v>
      </c>
      <c r="BA106" s="12">
        <v>38.19</v>
      </c>
      <c r="BB106" s="15">
        <v>38.6</v>
      </c>
      <c r="BC106" s="52">
        <v>39.799999999999997</v>
      </c>
      <c r="BD106" s="52">
        <v>40.590000000000003</v>
      </c>
      <c r="BE106" s="52">
        <v>40.49</v>
      </c>
      <c r="BF106" s="52">
        <v>40.520000000000003</v>
      </c>
      <c r="BG106" s="67">
        <v>40.5</v>
      </c>
      <c r="BH106" s="52">
        <v>40.28</v>
      </c>
      <c r="BI106" s="52">
        <v>40.33</v>
      </c>
      <c r="BJ106" s="52">
        <v>40.98</v>
      </c>
      <c r="BK106" s="52">
        <v>38.06</v>
      </c>
      <c r="BL106" s="52">
        <v>38.18</v>
      </c>
      <c r="BM106" s="52">
        <v>38.200000000000003</v>
      </c>
      <c r="BN106" s="52">
        <v>37.93</v>
      </c>
      <c r="BO106" s="52">
        <v>39.770000000000003</v>
      </c>
      <c r="BP106" s="52" cm="1">
        <f t="array" aca="1" ref="BP106" ca="1">_FV(ED106,"Preço")</f>
        <v>39.479999999999997</v>
      </c>
      <c r="BQ106" s="69" t="s">
        <v>103</v>
      </c>
      <c r="BR106" s="36" cm="1">
        <f t="array" aca="1" ref="BR106" ca="1">_FV(ED106,"Média de volume",TRUE)</f>
        <v>1882370</v>
      </c>
      <c r="BS106" s="36">
        <v>4059400</v>
      </c>
      <c r="BT106" s="36" cm="1">
        <f t="array" aca="1" ref="BT106" ca="1">_FV(ED106,"Volume")</f>
        <v>1665200</v>
      </c>
      <c r="BU106" s="24" cm="1">
        <f t="array" aca="1" ref="BU106" ca="1">_FV(ED106,"Beta")</f>
        <v>0.65039999999999998</v>
      </c>
      <c r="BV106" s="71" cm="1">
        <f t="array" aca="1" ref="BV106" ca="1">_FV(ED106,"Variação (%)",TRUE)</f>
        <v>-8.2889999999999995E-3</v>
      </c>
      <c r="BX106" s="17" cm="1">
        <f t="array" aca="1" ref="BX106" ca="1">_FV(ED106,"Baixo")</f>
        <v>39.03</v>
      </c>
      <c r="BY106" s="17" cm="1">
        <f t="array" aca="1" ref="BY106" ca="1">_FV(ED106,"Alto")</f>
        <v>40.46</v>
      </c>
      <c r="BZ106" s="24"/>
      <c r="CA106" s="63">
        <f ca="1">SQRT(22.5*(BP106/VLOOKUP(BQ106,Fundamentus!A:U,3,FALSE))*(BP106/VLOOKUP(BQ106,Fundamentus!A:U,4,FALSE)))</f>
        <v>46.023559222195459</v>
      </c>
      <c r="CC106" s="62">
        <f t="shared" ca="1" si="112"/>
        <v>-7.291928589389143E-3</v>
      </c>
      <c r="CD106" s="8"/>
      <c r="CE106" s="61">
        <f t="shared" si="113"/>
        <v>31</v>
      </c>
      <c r="CF106" s="61">
        <f t="shared" si="114"/>
        <v>40.98</v>
      </c>
      <c r="CG106" s="61">
        <f t="shared" si="115"/>
        <v>35.156343283582082</v>
      </c>
      <c r="CH106" s="14"/>
      <c r="CI106" s="35">
        <f t="shared" si="98"/>
        <v>38.289159301392658</v>
      </c>
      <c r="CJ106" s="15">
        <f t="shared" si="116"/>
        <v>39.644999999999982</v>
      </c>
      <c r="CK106" s="35">
        <f t="shared" si="99"/>
        <v>41.000840698607306</v>
      </c>
      <c r="CM106" s="14"/>
      <c r="CN106" s="17">
        <f t="shared" si="100"/>
        <v>23.540000000000006</v>
      </c>
      <c r="CO106" s="17">
        <f t="shared" si="101"/>
        <v>27.270000000000003</v>
      </c>
      <c r="CP106" s="17">
        <f t="shared" si="102"/>
        <v>33.520000000000003</v>
      </c>
      <c r="CQ106" s="38">
        <f t="shared" si="117"/>
        <v>37.25</v>
      </c>
      <c r="CR106" s="17">
        <f t="shared" si="103"/>
        <v>43.5</v>
      </c>
      <c r="CS106" s="17">
        <f t="shared" si="104"/>
        <v>47.23</v>
      </c>
      <c r="CT106" s="17">
        <f t="shared" si="105"/>
        <v>53.48</v>
      </c>
      <c r="CU106" s="2" cm="1">
        <f t="array" aca="1" ref="CU106" ca="1">MAX(_xlfn._xlws.FILTER(CN106:CT106,CN106:CT106&lt;BP106))</f>
        <v>37.25</v>
      </c>
      <c r="CV106" s="2" cm="1">
        <f t="array" aca="1" ref="CV106" ca="1">MIN(_xlfn._xlws.FILTER($CN106:$CT106,$CN106:$CT106&gt;BP106))</f>
        <v>43.5</v>
      </c>
      <c r="CW106" s="16">
        <f t="shared" ca="1" si="119"/>
        <v>0.16778523489932895</v>
      </c>
      <c r="CX106" s="20">
        <f t="shared" ca="1" si="120"/>
        <v>-8.3892617449664475E-2</v>
      </c>
      <c r="CY106" s="20">
        <f t="shared" ca="1" si="121"/>
        <v>-5.5928411633109652E-2</v>
      </c>
      <c r="CZ106" s="20">
        <f t="shared" ca="1" si="122"/>
        <v>-3.3557046979865793E-2</v>
      </c>
      <c r="DA106" s="20">
        <f t="shared" ca="1" si="123"/>
        <v>-1.8642803877703215E-2</v>
      </c>
      <c r="DB106" s="20">
        <f t="shared" ca="1" si="124"/>
        <v>-9.8697196999605261E-3</v>
      </c>
      <c r="DC106" s="20">
        <f t="shared" ca="1" si="125"/>
        <v>-5.0844010575554228E-3</v>
      </c>
      <c r="DD106" s="20">
        <f t="shared" ca="1" si="126"/>
        <v>-2.5813113061435222E-3</v>
      </c>
      <c r="DE106" s="21">
        <f t="shared" ca="1" si="127"/>
        <v>2.5813113061435222E-3</v>
      </c>
      <c r="DF106" s="21">
        <f t="shared" ca="1" si="128"/>
        <v>5.0844010575554228E-3</v>
      </c>
      <c r="DG106" s="21">
        <f t="shared" ca="1" si="129"/>
        <v>9.8697196999605261E-3</v>
      </c>
      <c r="DH106" s="21">
        <f t="shared" ca="1" si="130"/>
        <v>1.8642803877703215E-2</v>
      </c>
      <c r="DI106" s="21">
        <f t="shared" ca="1" si="131"/>
        <v>3.3557046979865793E-2</v>
      </c>
      <c r="DJ106" s="21">
        <f t="shared" ca="1" si="132"/>
        <v>5.5928411633109652E-2</v>
      </c>
      <c r="DK106" s="21">
        <f t="shared" ca="1" si="133"/>
        <v>8.3892617449664475E-2</v>
      </c>
      <c r="DM106" s="16" cm="1">
        <f t="array" aca="1" ref="DM106" ca="1">MAX(_xlfn._xlws.FILTER(CX106:DK106,CX106:DK106&lt;BV106))</f>
        <v>-9.8697196999605261E-3</v>
      </c>
      <c r="DN106" s="16" cm="1">
        <f t="array" aca="1" ref="DN106" ca="1">MIN(_xlfn._xlws.FILTER(CX106:DK106,CX106:DK106&gt;BV106))</f>
        <v>-5.0844010575554228E-3</v>
      </c>
      <c r="DO106" s="2" cm="1">
        <f t="array" aca="1" ref="DO106" ca="1">_FV(ED106,"Fechamento anterior",TRUE)</f>
        <v>39.81</v>
      </c>
      <c r="DP106" s="28">
        <f t="shared" ca="1" si="106"/>
        <v>0.33024868123585438</v>
      </c>
      <c r="DQ106" s="15">
        <f t="shared" ca="1" si="134"/>
        <v>39.417086458744571</v>
      </c>
      <c r="DR106" s="15">
        <f t="shared" ca="1" si="135"/>
        <v>39.607589993898721</v>
      </c>
      <c r="DS106" s="9"/>
      <c r="DT106" s="9"/>
      <c r="DU106" s="9"/>
      <c r="DV106" s="89">
        <v>8.7730841777426891E-3</v>
      </c>
      <c r="DW106" s="89">
        <f t="shared" ca="1" si="107"/>
        <v>4.7853186424051033E-3</v>
      </c>
      <c r="DX106" s="72">
        <f t="shared" ca="1" si="108"/>
        <v>-0.12169571260802813</v>
      </c>
      <c r="DY106" s="37"/>
      <c r="DZ106" s="35">
        <f t="shared" si="118"/>
        <v>0.67792034930366352</v>
      </c>
      <c r="EA106" s="56"/>
      <c r="EB106" s="56"/>
      <c r="ED106" s="2" t="e" vm="106">
        <v>#VALUE!</v>
      </c>
      <c r="EF106" s="10" cm="1">
        <f t="array" aca="1" ref="EF106" ca="1">_FV(ED106,"Ações em circulação",TRUE)</f>
        <v>1152254000</v>
      </c>
      <c r="EG106" s="18">
        <f>VLOOKUP(BQ106,Fundamentus!A:U,5,FALSE)</f>
        <v>1.0289999999999999</v>
      </c>
      <c r="EH106" s="2">
        <f t="shared" ca="1" si="109"/>
        <v>44208928979.591843</v>
      </c>
      <c r="EI106" s="17">
        <v>5807189953.3838673</v>
      </c>
      <c r="EJ106" s="17">
        <f t="shared" ca="1" si="110"/>
        <v>5764844338.938776</v>
      </c>
      <c r="EL106" s="16">
        <f t="shared" ca="1" si="97"/>
        <v>-7.2919285893887631E-3</v>
      </c>
      <c r="EM106" s="32" t="str">
        <f>IF(VLOOKUP(BQ106,Fundamentus!A:U,3,FALSE)&lt;15,"Bom",IF(VLOOKUP(BQ106,Fundamentus!A:U,3,FALSE)&gt;15,"Ruim","n/a"))</f>
        <v>Bom</v>
      </c>
      <c r="EN106" s="28" t="str">
        <f>IF(VLOOKUP(BQ106,Fundamentus!A:U,4,FALSE)&lt;1,"Baixo",IF(VLOOKUP(BQ106,Fundamentus!A:U,4,FALSE)&lt;1.5,"Moderado",IF(VLOOKUP(BQ106,Fundamentus!A:U,4,FALSE)&gt;1.5,"Alto","n/a")))</f>
        <v>Alto</v>
      </c>
      <c r="EO106" s="17" t="str">
        <f>IF(VLOOKUP(BQ106,Fundamentus!A:U,8,FALSE)&lt;0,"Risco elevado",IF(VLOOKUP(BQ106,Fundamentus!A:U,8,FALSE)&lt;1,"Saudável",IF(VLOOKUP(BQ106,Fundamentus!A:U,8,FALSE)&lt;3,"Estável",IF(VLOOKUP(BQ106,Fundamentus!A:U,8,FALSE)&gt;3,"Alerta","n/a"))))</f>
        <v>Risco elevado</v>
      </c>
      <c r="EP106" s="28" t="str">
        <f t="shared" si="111"/>
        <v>Bom</v>
      </c>
      <c r="EQ106" s="17" t="str">
        <f>IF(VLOOKUP(BQ106,Fundamentus!A:U,12,FALSE)&lt;2,"Subvalorizada",IF(VLOOKUP(BQ106,Fundamentus!A:U,12,FALSE)&lt;6,"Muita barata",IF(VLOOKUP(BQ106,Fundamentus!A:U,12,FALSE)&lt;6,"Barata",IF(VLOOKUP(BQ106,Fundamentus!A:U,12,FALSE)&lt;8,"Atrativa",IF(VLOOKUP(BQ106,Fundamentus!A:U,12,FALSE)&gt;8,"Supervalorizada","n/a")))))</f>
        <v>Muita barata</v>
      </c>
      <c r="ES106" s="17" t="str">
        <f>IF(VLOOKUP(BQ106,Fundamentus!A:U,17,FALSE)&lt;0.1,"Fraco retorno",IF(VLOOKUP(BQ106,Fundamentus!A:U,17,FALSE)&gt;0.1,"Bom retorno","n/a"))</f>
        <v>Bom retorno</v>
      </c>
      <c r="ET106" s="17" t="str">
        <f>IF(VLOOKUP(BQ106,Fundamentus!A:U,16,FALSE)&lt;0.1,"Ineficiente",IF(VLOOKUP(BQ106,Fundamentus!A:U,16,FALSE)&gt;0.1,"Eficiente","n/a"))</f>
        <v>Eficiente</v>
      </c>
      <c r="EU106" s="33" t="str">
        <f>IF(VLOOKUP(BQ106,Fundamentus!A:U,16,FALSE)&lt;0.1,"Oper. Ineficiente",IF(VLOOKUP(BQ106,Fundamentus!A:U,16,FALSE)&gt;0.1,"Oper.Eficiente","n/a"))</f>
        <v>Oper.Eficiente</v>
      </c>
      <c r="EV106" s="34">
        <f>VLOOKUP(BQ106,Fundamentus!A:U,14,FALSE)</f>
        <v>0.13039999999999999</v>
      </c>
      <c r="EW106" s="17" t="str">
        <f>IF(VLOOKUP(BQ106,Fundamentus!A:U,21,FALSE)&lt;0,"Negativo",IF(VLOOKUP(BQ106,Fundamentus!A:U,21,FALSE)&lt;0.05,"Fraco",IF(VLOOKUP(BQ106,Fundamentus!A:U,21,FALSE)&lt;0.1,"Bom",IF(VLOOKUP(BQ106,Fundamentus!A:U,21,FALSE)&gt;0.1,"Muito bom","n/a"))))</f>
        <v>Bom</v>
      </c>
      <c r="EY106" s="29" t="str">
        <f>IF(VLOOKUP(BQ106,Fundamentus!A:U,15,FALSE)&gt;1,"Bom",IF(VLOOKUP(BQ106,Fundamentus!A:U,15,FALSE)&lt;1,"Ruim","n/a"))</f>
        <v>Ruim</v>
      </c>
      <c r="EZ106" s="17" t="str">
        <f>IF(VLOOKUP(BQ106,Fundamentus!A:U,20,FALSE)&lt;0.5,"Baixa",IF(VLOOKUP(BQ106,Fundamentus!A:U,20,FALSE)&lt;1,"Moderada",IF(VLOOKUP(BQ106,Fundamentus!A:U,20,FALSE)&lt;2,"Alerta",IF(VLOOKUP(BQ106,Fundamentus!A:U,20,FALSE)&gt;2,"Alta","n/a"))))</f>
        <v>Alerta</v>
      </c>
      <c r="FA106" s="10"/>
    </row>
    <row r="107" spans="1:157" s="2" customFormat="1" ht="11.25" hidden="1" x14ac:dyDescent="0.2">
      <c r="A107" s="4">
        <v>80.8</v>
      </c>
      <c r="B107" s="4">
        <v>79.239999999999995</v>
      </c>
      <c r="C107" s="4">
        <v>78.56</v>
      </c>
      <c r="D107" s="4">
        <v>75.209999999999994</v>
      </c>
      <c r="E107" s="4">
        <v>73.86</v>
      </c>
      <c r="F107" s="4">
        <v>74.25</v>
      </c>
      <c r="G107" s="4">
        <v>75</v>
      </c>
      <c r="H107" s="4">
        <v>74.849999999999994</v>
      </c>
      <c r="I107" s="4">
        <v>74</v>
      </c>
      <c r="J107" s="4">
        <v>82.08</v>
      </c>
      <c r="K107" s="4">
        <v>83.15</v>
      </c>
      <c r="L107" s="4">
        <v>84.9</v>
      </c>
      <c r="M107" s="4">
        <v>86.8</v>
      </c>
      <c r="N107" s="4">
        <v>89.31</v>
      </c>
      <c r="O107" s="4">
        <v>97.33</v>
      </c>
      <c r="P107" s="4">
        <v>98.7</v>
      </c>
      <c r="Q107" s="4">
        <v>96.8</v>
      </c>
      <c r="R107" s="4">
        <v>94.73</v>
      </c>
      <c r="S107" s="4">
        <v>94.75</v>
      </c>
      <c r="T107" s="4">
        <v>94.53</v>
      </c>
      <c r="U107" s="4">
        <v>94.66</v>
      </c>
      <c r="V107" s="4">
        <v>90.08</v>
      </c>
      <c r="W107" s="4">
        <v>88.12</v>
      </c>
      <c r="X107" s="4">
        <v>88.1</v>
      </c>
      <c r="Y107" s="4">
        <v>90.98</v>
      </c>
      <c r="Z107" s="4">
        <v>91.3</v>
      </c>
      <c r="AA107" s="4">
        <v>89.39</v>
      </c>
      <c r="AB107" s="4">
        <v>89</v>
      </c>
      <c r="AC107" s="4">
        <v>96.31</v>
      </c>
      <c r="AD107" s="4">
        <v>98.03</v>
      </c>
      <c r="AE107" s="4">
        <v>92.98</v>
      </c>
      <c r="AF107" s="4">
        <v>91.06</v>
      </c>
      <c r="AG107" s="4">
        <v>89.41</v>
      </c>
      <c r="AH107" s="4">
        <v>88.4</v>
      </c>
      <c r="AI107" s="4">
        <v>88.29</v>
      </c>
      <c r="AJ107" s="4">
        <v>86.91</v>
      </c>
      <c r="AK107" s="4">
        <v>87.59</v>
      </c>
      <c r="AL107" s="4">
        <v>93</v>
      </c>
      <c r="AM107" s="4">
        <v>92.8</v>
      </c>
      <c r="AN107" s="4">
        <v>94.57</v>
      </c>
      <c r="AO107" s="4">
        <v>96.51</v>
      </c>
      <c r="AP107" s="4">
        <v>101.6</v>
      </c>
      <c r="AQ107" s="4">
        <v>98.55</v>
      </c>
      <c r="AR107" s="4">
        <v>94.98</v>
      </c>
      <c r="AS107" s="4">
        <v>96.19</v>
      </c>
      <c r="AT107" s="4">
        <v>99.3</v>
      </c>
      <c r="AU107" s="4">
        <v>101.175</v>
      </c>
      <c r="AV107" s="4">
        <v>102.98</v>
      </c>
      <c r="AW107" s="4">
        <v>103.4</v>
      </c>
      <c r="AX107" s="4">
        <v>107.02</v>
      </c>
      <c r="AY107" s="12">
        <v>109.01</v>
      </c>
      <c r="AZ107" s="12">
        <v>115.38</v>
      </c>
      <c r="BA107" s="12">
        <v>113.89</v>
      </c>
      <c r="BB107" s="15">
        <v>116.21</v>
      </c>
      <c r="BC107" s="52">
        <v>116</v>
      </c>
      <c r="BD107" s="52">
        <v>117.06</v>
      </c>
      <c r="BE107" s="52">
        <v>117.38</v>
      </c>
      <c r="BF107" s="52">
        <v>114.96</v>
      </c>
      <c r="BG107" s="67">
        <v>115.11</v>
      </c>
      <c r="BH107" s="52">
        <v>115.65</v>
      </c>
      <c r="BI107" s="52">
        <v>115.05</v>
      </c>
      <c r="BJ107" s="52">
        <v>117.82</v>
      </c>
      <c r="BK107" s="52">
        <v>111.63</v>
      </c>
      <c r="BL107" s="52">
        <v>110.68</v>
      </c>
      <c r="BM107" s="52">
        <v>107.45</v>
      </c>
      <c r="BN107" s="52">
        <v>108.87</v>
      </c>
      <c r="BO107" s="52">
        <v>111.9</v>
      </c>
      <c r="BP107" s="52" cm="1">
        <f t="array" aca="1" ref="BP107" ca="1">_FV(ED107,"Preço")</f>
        <v>116.45</v>
      </c>
      <c r="BQ107" s="69" t="s">
        <v>104</v>
      </c>
      <c r="BR107" s="36" cm="1">
        <f t="array" aca="1" ref="BR107" ca="1">_FV(ED107,"Média de volume",TRUE)</f>
        <v>3740370</v>
      </c>
      <c r="BS107" s="36">
        <v>3222400</v>
      </c>
      <c r="BT107" s="36" cm="1">
        <f t="array" aca="1" ref="BT107" ca="1">_FV(ED107,"Volume")</f>
        <v>2212300</v>
      </c>
      <c r="BU107" s="24" cm="1">
        <f t="array" aca="1" ref="BU107" ca="1">_FV(ED107,"Beta")</f>
        <v>0.84299999999999997</v>
      </c>
      <c r="BV107" s="71" cm="1">
        <f t="array" aca="1" ref="BV107" ca="1">_FV(ED107,"Variação (%)",TRUE)</f>
        <v>-1.0955999999999999E-2</v>
      </c>
      <c r="BX107" s="17" cm="1">
        <f t="array" aca="1" ref="BX107" ca="1">_FV(ED107,"Baixo")</f>
        <v>116.06</v>
      </c>
      <c r="BY107" s="17" cm="1">
        <f t="array" aca="1" ref="BY107" ca="1">_FV(ED107,"Alto")</f>
        <v>118.3</v>
      </c>
      <c r="BZ107" s="24"/>
      <c r="CA107" s="63">
        <f ca="1">SQRT(22.5*(BP107/VLOOKUP(BQ107,Fundamentus!A:U,3,FALSE))*(BP107/VLOOKUP(BQ107,Fundamentus!A:U,4,FALSE)))</f>
        <v>144.57344667463789</v>
      </c>
      <c r="CC107" s="62">
        <f t="shared" ca="1" si="112"/>
        <v>4.066130473637173E-2</v>
      </c>
      <c r="CD107" s="8"/>
      <c r="CE107" s="61">
        <f t="shared" si="113"/>
        <v>73.86</v>
      </c>
      <c r="CF107" s="61">
        <f t="shared" si="114"/>
        <v>117.82</v>
      </c>
      <c r="CG107" s="61">
        <f t="shared" si="115"/>
        <v>96.202761194029861</v>
      </c>
      <c r="CH107" s="14"/>
      <c r="CI107" s="35">
        <f t="shared" si="98"/>
        <v>107.59470354233623</v>
      </c>
      <c r="CJ107" s="15">
        <f t="shared" si="116"/>
        <v>110.99499999999989</v>
      </c>
      <c r="CK107" s="35">
        <f t="shared" si="99"/>
        <v>114.39529645766355</v>
      </c>
      <c r="CM107" s="14"/>
      <c r="CN107" s="17">
        <f t="shared" si="100"/>
        <v>40.606666666666698</v>
      </c>
      <c r="CO107" s="17">
        <f t="shared" si="101"/>
        <v>57.233333333333348</v>
      </c>
      <c r="CP107" s="17">
        <f t="shared" si="102"/>
        <v>84.566666666666691</v>
      </c>
      <c r="CQ107" s="38">
        <f t="shared" si="117"/>
        <v>101.19333333333334</v>
      </c>
      <c r="CR107" s="17">
        <f t="shared" si="103"/>
        <v>128.5266666666667</v>
      </c>
      <c r="CS107" s="17">
        <f t="shared" si="104"/>
        <v>145.15333333333334</v>
      </c>
      <c r="CT107" s="17">
        <f t="shared" si="105"/>
        <v>172.48666666666668</v>
      </c>
      <c r="CU107" s="2" cm="1">
        <f t="array" aca="1" ref="CU107" ca="1">MAX(_xlfn._xlws.FILTER(CN107:CT107,CN107:CT107&lt;BP107))</f>
        <v>101.19333333333334</v>
      </c>
      <c r="CV107" s="2" cm="1">
        <f t="array" aca="1" ref="CV107" ca="1">MIN(_xlfn._xlws.FILTER($CN107:$CT107,$CN107:$CT107&gt;BP107))</f>
        <v>128.5266666666667</v>
      </c>
      <c r="CW107" s="16">
        <f t="shared" ca="1" si="119"/>
        <v>0.27011002042295296</v>
      </c>
      <c r="CX107" s="20">
        <f t="shared" ca="1" si="120"/>
        <v>-0.13505501021147648</v>
      </c>
      <c r="CY107" s="20">
        <f t="shared" ca="1" si="121"/>
        <v>-9.0036673474317652E-2</v>
      </c>
      <c r="CZ107" s="20">
        <f t="shared" ca="1" si="122"/>
        <v>-5.402200408459059E-2</v>
      </c>
      <c r="DA107" s="20">
        <f t="shared" ca="1" si="123"/>
        <v>-3.0012224491439216E-2</v>
      </c>
      <c r="DB107" s="20">
        <f t="shared" ca="1" si="124"/>
        <v>-1.588882473076194E-2</v>
      </c>
      <c r="DC107" s="20">
        <f t="shared" ca="1" si="125"/>
        <v>-8.1851521340288776E-3</v>
      </c>
      <c r="DD107" s="20">
        <f t="shared" ca="1" si="126"/>
        <v>-4.1555387757377382E-3</v>
      </c>
      <c r="DE107" s="21">
        <f t="shared" ca="1" si="127"/>
        <v>4.1555387757377382E-3</v>
      </c>
      <c r="DF107" s="21">
        <f t="shared" ca="1" si="128"/>
        <v>8.1851521340288776E-3</v>
      </c>
      <c r="DG107" s="21">
        <f t="shared" ca="1" si="129"/>
        <v>1.588882473076194E-2</v>
      </c>
      <c r="DH107" s="21">
        <f t="shared" ca="1" si="130"/>
        <v>3.0012224491439216E-2</v>
      </c>
      <c r="DI107" s="21">
        <f t="shared" ca="1" si="131"/>
        <v>5.402200408459059E-2</v>
      </c>
      <c r="DJ107" s="21">
        <f t="shared" ca="1" si="132"/>
        <v>9.0036673474317652E-2</v>
      </c>
      <c r="DK107" s="21">
        <f t="shared" ca="1" si="133"/>
        <v>0.13505501021147648</v>
      </c>
      <c r="DM107" s="16" cm="1">
        <f t="array" aca="1" ref="DM107" ca="1">MAX(_xlfn._xlws.FILTER(CX107:DK107,CX107:DK107&lt;BV107))</f>
        <v>-1.588882473076194E-2</v>
      </c>
      <c r="DN107" s="16" cm="1">
        <f t="array" aca="1" ref="DN107" ca="1">MIN(_xlfn._xlws.FILTER(CX107:DK107,CX107:DK107&gt;BV107))</f>
        <v>-8.1851521340288776E-3</v>
      </c>
      <c r="DO107" s="2" cm="1">
        <f t="array" aca="1" ref="DO107" ca="1">_FV(ED107,"Fechamento anterior",TRUE)</f>
        <v>117.74</v>
      </c>
      <c r="DP107" s="28">
        <f t="shared" ca="1" si="106"/>
        <v>0.6402764630728458</v>
      </c>
      <c r="DQ107" s="15">
        <f t="shared" ca="1" si="134"/>
        <v>115.86924977620008</v>
      </c>
      <c r="DR107" s="15">
        <f t="shared" ca="1" si="135"/>
        <v>116.77628018773943</v>
      </c>
      <c r="DS107" s="9"/>
      <c r="DT107" s="9"/>
      <c r="DU107" s="9"/>
      <c r="DV107" s="89">
        <v>8.3110775514754764E-3</v>
      </c>
      <c r="DW107" s="89">
        <f t="shared" ca="1" si="107"/>
        <v>7.7036725967330622E-3</v>
      </c>
      <c r="DX107" s="72">
        <f t="shared" ca="1" si="108"/>
        <v>1.604271882737025</v>
      </c>
      <c r="DY107" s="37"/>
      <c r="DZ107" s="35">
        <f t="shared" si="118"/>
        <v>1.7001482288318266</v>
      </c>
      <c r="EA107" s="56"/>
      <c r="EB107" s="56"/>
      <c r="ED107" s="2" t="e" vm="107">
        <v>#VALUE!</v>
      </c>
      <c r="EF107" s="10" cm="1">
        <f t="array" aca="1" ref="EF107" ca="1">_FV(ED107,"Ações em circulação",TRUE)</f>
        <v>683509900</v>
      </c>
      <c r="EG107" s="18">
        <f>VLOOKUP(BQ107,Fundamentus!A:U,5,FALSE)</f>
        <v>1.9950000000000001</v>
      </c>
      <c r="EH107" s="2">
        <f t="shared" ca="1" si="109"/>
        <v>39897106694.235588</v>
      </c>
      <c r="EI107" s="17">
        <v>10328317671.184961</v>
      </c>
      <c r="EJ107" s="17">
        <f t="shared" ca="1" si="110"/>
        <v>10748280543.427067</v>
      </c>
      <c r="EL107" s="16">
        <f t="shared" ca="1" si="97"/>
        <v>4.0661304736371751E-2</v>
      </c>
      <c r="EM107" s="32" t="str">
        <f>IF(VLOOKUP(BQ107,Fundamentus!A:U,3,FALSE)&lt;15,"Bom",IF(VLOOKUP(BQ107,Fundamentus!A:U,3,FALSE)&gt;15,"Ruim","n/a"))</f>
        <v>Bom</v>
      </c>
      <c r="EN107" s="28" t="str">
        <f>IF(VLOOKUP(BQ107,Fundamentus!A:U,4,FALSE)&lt;1,"Baixo",IF(VLOOKUP(BQ107,Fundamentus!A:U,4,FALSE)&lt;1.5,"Moderado",IF(VLOOKUP(BQ107,Fundamentus!A:U,4,FALSE)&gt;1.5,"Alto","n/a")))</f>
        <v>Alto</v>
      </c>
      <c r="EO107" s="17" t="str">
        <f>IF(VLOOKUP(BQ107,Fundamentus!A:U,8,FALSE)&lt;0,"Risco elevado",IF(VLOOKUP(BQ107,Fundamentus!A:U,8,FALSE)&lt;1,"Saudável",IF(VLOOKUP(BQ107,Fundamentus!A:U,8,FALSE)&lt;3,"Estável",IF(VLOOKUP(BQ107,Fundamentus!A:U,8,FALSE)&gt;3,"Alerta","n/a"))))</f>
        <v>Alerta</v>
      </c>
      <c r="EP107" s="28" t="str">
        <f t="shared" si="111"/>
        <v>Bom</v>
      </c>
      <c r="EQ107" s="17" t="str">
        <f>IF(VLOOKUP(BQ107,Fundamentus!A:U,12,FALSE)&lt;2,"Subvalorizada",IF(VLOOKUP(BQ107,Fundamentus!A:U,12,FALSE)&lt;6,"Muita barata",IF(VLOOKUP(BQ107,Fundamentus!A:U,12,FALSE)&lt;6,"Barata",IF(VLOOKUP(BQ107,Fundamentus!A:U,12,FALSE)&lt;8,"Atrativa",IF(VLOOKUP(BQ107,Fundamentus!A:U,12,FALSE)&gt;8,"Supervalorizada","n/a")))))</f>
        <v>Muita barata</v>
      </c>
      <c r="ES107" s="17" t="str">
        <f>IF(VLOOKUP(BQ107,Fundamentus!A:U,17,FALSE)&lt;0.1,"Fraco retorno",IF(VLOOKUP(BQ107,Fundamentus!A:U,17,FALSE)&gt;0.1,"Bom retorno","n/a"))</f>
        <v>Bom retorno</v>
      </c>
      <c r="ET107" s="17" t="str">
        <f>IF(VLOOKUP(BQ107,Fundamentus!A:U,16,FALSE)&lt;0.1,"Ineficiente",IF(VLOOKUP(BQ107,Fundamentus!A:U,16,FALSE)&gt;0.1,"Eficiente","n/a"))</f>
        <v>Eficiente</v>
      </c>
      <c r="EU107" s="33" t="str">
        <f>IF(VLOOKUP(BQ107,Fundamentus!A:U,16,FALSE)&lt;0.1,"Oper. Ineficiente",IF(VLOOKUP(BQ107,Fundamentus!A:U,16,FALSE)&gt;0.1,"Oper.Eficiente","n/a"))</f>
        <v>Oper.Eficiente</v>
      </c>
      <c r="EV107" s="34">
        <f>VLOOKUP(BQ107,Fundamentus!A:U,14,FALSE)</f>
        <v>0.26939999999999997</v>
      </c>
      <c r="EW107" s="17" t="str">
        <f>IF(VLOOKUP(BQ107,Fundamentus!A:U,21,FALSE)&lt;0,"Negativo",IF(VLOOKUP(BQ107,Fundamentus!A:U,21,FALSE)&lt;0.05,"Fraco",IF(VLOOKUP(BQ107,Fundamentus!A:U,21,FALSE)&lt;0.1,"Bom",IF(VLOOKUP(BQ107,Fundamentus!A:U,21,FALSE)&gt;0.1,"Muito bom","n/a"))))</f>
        <v>Muito bom</v>
      </c>
      <c r="EY107" s="29" t="str">
        <f>IF(VLOOKUP(BQ107,Fundamentus!A:U,15,FALSE)&gt;1,"Bom",IF(VLOOKUP(BQ107,Fundamentus!A:U,15,FALSE)&lt;1,"Ruim","n/a"))</f>
        <v>Bom</v>
      </c>
      <c r="EZ107" s="17" t="str">
        <f>IF(VLOOKUP(BQ107,Fundamentus!A:U,20,FALSE)&lt;0.5,"Baixa",IF(VLOOKUP(BQ107,Fundamentus!A:U,20,FALSE)&lt;1,"Moderada",IF(VLOOKUP(BQ107,Fundamentus!A:U,20,FALSE)&lt;2,"Alerta",IF(VLOOKUP(BQ107,Fundamentus!A:U,20,FALSE)&gt;2,"Alta","n/a"))))</f>
        <v>Moderada</v>
      </c>
      <c r="FA107" s="10"/>
    </row>
    <row r="108" spans="1:157" s="2" customFormat="1" ht="11.25" hidden="1" x14ac:dyDescent="0.2">
      <c r="A108" s="4">
        <v>18.149999999999999</v>
      </c>
      <c r="B108" s="4">
        <v>18.8</v>
      </c>
      <c r="C108" s="4">
        <v>17.2</v>
      </c>
      <c r="D108" s="4">
        <v>16.53</v>
      </c>
      <c r="E108" s="4">
        <v>16.329999999999998</v>
      </c>
      <c r="F108" s="4">
        <v>15</v>
      </c>
      <c r="G108" s="4">
        <v>14.59</v>
      </c>
      <c r="H108" s="4">
        <v>14.39</v>
      </c>
      <c r="I108" s="4">
        <v>14.8</v>
      </c>
      <c r="J108" s="4">
        <v>15.12</v>
      </c>
      <c r="K108" s="4">
        <v>15.51</v>
      </c>
      <c r="L108" s="4">
        <v>15.39</v>
      </c>
      <c r="M108" s="4">
        <v>15.27</v>
      </c>
      <c r="N108" s="4">
        <v>14.9</v>
      </c>
      <c r="O108" s="4">
        <v>13.92</v>
      </c>
      <c r="P108" s="4">
        <v>13.71</v>
      </c>
      <c r="Q108" s="4">
        <v>13.33</v>
      </c>
      <c r="R108" s="4">
        <v>12.85</v>
      </c>
      <c r="S108" s="4">
        <v>12.6</v>
      </c>
      <c r="T108" s="4">
        <v>12.85</v>
      </c>
      <c r="U108" s="4">
        <v>12.02</v>
      </c>
      <c r="V108" s="4">
        <v>12</v>
      </c>
      <c r="W108" s="4">
        <v>11.98</v>
      </c>
      <c r="X108" s="4">
        <v>12.25</v>
      </c>
      <c r="Y108" s="4">
        <v>11.78</v>
      </c>
      <c r="Z108" s="4">
        <v>12.14</v>
      </c>
      <c r="AA108" s="4">
        <v>12.21</v>
      </c>
      <c r="AB108" s="4">
        <v>12.27</v>
      </c>
      <c r="AC108" s="4">
        <v>11.63</v>
      </c>
      <c r="AD108" s="4">
        <v>11.75</v>
      </c>
      <c r="AE108" s="4">
        <v>11.24</v>
      </c>
      <c r="AF108" s="4">
        <v>10.68</v>
      </c>
      <c r="AG108" s="4">
        <v>10.48</v>
      </c>
      <c r="AH108" s="4">
        <v>10.41</v>
      </c>
      <c r="AI108" s="4">
        <v>10.199999999999999</v>
      </c>
      <c r="AJ108" s="4">
        <v>9.8699999999999992</v>
      </c>
      <c r="AK108" s="4">
        <v>10.35</v>
      </c>
      <c r="AL108" s="4">
        <v>10.199999999999999</v>
      </c>
      <c r="AM108" s="4">
        <v>10.15</v>
      </c>
      <c r="AN108" s="4">
        <v>10.77</v>
      </c>
      <c r="AO108" s="4">
        <v>10.06</v>
      </c>
      <c r="AP108" s="4">
        <v>10.99</v>
      </c>
      <c r="AQ108" s="4">
        <v>10.56</v>
      </c>
      <c r="AR108" s="4">
        <v>10.029999999999999</v>
      </c>
      <c r="AS108" s="4">
        <v>10.5</v>
      </c>
      <c r="AT108" s="4">
        <v>10.32</v>
      </c>
      <c r="AU108" s="4">
        <v>10.715</v>
      </c>
      <c r="AV108" s="4">
        <v>10.55</v>
      </c>
      <c r="AW108" s="4">
        <v>10.18</v>
      </c>
      <c r="AX108" s="4">
        <v>9.9499999999999993</v>
      </c>
      <c r="AY108" s="12">
        <v>10.45</v>
      </c>
      <c r="AZ108" s="12">
        <v>10.69</v>
      </c>
      <c r="BA108" s="12">
        <v>10.33</v>
      </c>
      <c r="BB108" s="15">
        <v>10.29</v>
      </c>
      <c r="BC108" s="52">
        <v>12.05</v>
      </c>
      <c r="BD108" s="52">
        <v>11.7</v>
      </c>
      <c r="BE108" s="52">
        <v>11.2</v>
      </c>
      <c r="BF108" s="52">
        <v>11.33</v>
      </c>
      <c r="BG108" s="67">
        <v>11.42</v>
      </c>
      <c r="BH108" s="52">
        <v>11.53</v>
      </c>
      <c r="BI108" s="52">
        <v>11.42</v>
      </c>
      <c r="BJ108" s="52">
        <v>11.57</v>
      </c>
      <c r="BK108" s="52">
        <v>11.17</v>
      </c>
      <c r="BL108" s="52">
        <v>10.27</v>
      </c>
      <c r="BM108" s="52">
        <v>10.5</v>
      </c>
      <c r="BN108" s="52">
        <v>10.36</v>
      </c>
      <c r="BO108" s="52">
        <v>10.59</v>
      </c>
      <c r="BP108" s="52" cm="1">
        <f t="array" aca="1" ref="BP108" ca="1">_FV(ED108,"Preço")</f>
        <v>10.119999999999999</v>
      </c>
      <c r="BQ108" s="69" t="s">
        <v>105</v>
      </c>
      <c r="BR108" s="36" cm="1">
        <f t="array" aca="1" ref="BR108" ca="1">_FV(ED108,"Média de volume",TRUE)</f>
        <v>379120</v>
      </c>
      <c r="BS108" s="36">
        <v>598500</v>
      </c>
      <c r="BT108" s="36" cm="1">
        <f t="array" aca="1" ref="BT108" ca="1">_FV(ED108,"Volume")</f>
        <v>323500</v>
      </c>
      <c r="BU108" s="24" cm="1">
        <f t="array" aca="1" ref="BU108" ca="1">_FV(ED108,"Beta")</f>
        <v>0.64680000000000004</v>
      </c>
      <c r="BV108" s="71" cm="1">
        <f t="array" aca="1" ref="BV108" ca="1">_FV(ED108,"Variação (%)",TRUE)</f>
        <v>2.9729999999999999E-3</v>
      </c>
      <c r="BX108" s="17" cm="1">
        <f t="array" aca="1" ref="BX108" ca="1">_FV(ED108,"Baixo")</f>
        <v>10.06</v>
      </c>
      <c r="BY108" s="17" cm="1">
        <f t="array" aca="1" ref="BY108" ca="1">_FV(ED108,"Alto")</f>
        <v>10.29</v>
      </c>
      <c r="BZ108" s="24"/>
      <c r="CA108" s="63">
        <f ca="1">SQRT(22.5*(BP108/VLOOKUP(BQ108,Fundamentus!A:U,3,FALSE))*(BP108/VLOOKUP(BQ108,Fundamentus!A:U,4,FALSE)))</f>
        <v>12.351264062130348</v>
      </c>
      <c r="CC108" s="62">
        <f t="shared" ca="1" si="112"/>
        <v>-4.4381491973560026E-2</v>
      </c>
      <c r="CD108" s="8"/>
      <c r="CE108" s="61">
        <f t="shared" si="113"/>
        <v>9.8699999999999992</v>
      </c>
      <c r="CF108" s="61">
        <f t="shared" si="114"/>
        <v>18.8</v>
      </c>
      <c r="CG108" s="61">
        <f t="shared" si="115"/>
        <v>12.184253731343285</v>
      </c>
      <c r="CH108" s="14"/>
      <c r="CI108" s="35">
        <f t="shared" si="98"/>
        <v>10.003126594957379</v>
      </c>
      <c r="CJ108" s="15">
        <f t="shared" si="116"/>
        <v>10.634999999999877</v>
      </c>
      <c r="CK108" s="35">
        <f t="shared" si="99"/>
        <v>11.266873405042375</v>
      </c>
      <c r="CM108" s="14"/>
      <c r="CN108" s="17">
        <f t="shared" si="100"/>
        <v>-1.5566666666666666</v>
      </c>
      <c r="CO108" s="17">
        <f t="shared" si="101"/>
        <v>4.1566666666666663</v>
      </c>
      <c r="CP108" s="17">
        <f t="shared" si="102"/>
        <v>7.3733333333333348</v>
      </c>
      <c r="CQ108" s="38">
        <f t="shared" si="117"/>
        <v>13.086666666666668</v>
      </c>
      <c r="CR108" s="17">
        <f t="shared" si="103"/>
        <v>16.303333333333335</v>
      </c>
      <c r="CS108" s="17">
        <f t="shared" si="104"/>
        <v>22.016666666666669</v>
      </c>
      <c r="CT108" s="17">
        <f t="shared" si="105"/>
        <v>25.233333333333338</v>
      </c>
      <c r="CU108" s="2" cm="1">
        <f t="array" aca="1" ref="CU108" ca="1">MAX(_xlfn._xlws.FILTER(CN108:CT108,CN108:CT108&lt;BP108))</f>
        <v>7.3733333333333348</v>
      </c>
      <c r="CV108" s="2" cm="1">
        <f t="array" aca="1" ref="CV108" ca="1">MIN(_xlfn._xlws.FILTER($CN108:$CT108,$CN108:$CT108&gt;BP108))</f>
        <v>13.086666666666668</v>
      </c>
      <c r="CW108" s="16">
        <f t="shared" ca="1" si="119"/>
        <v>0.77486437613019876</v>
      </c>
      <c r="CX108" s="20">
        <f t="shared" ca="1" si="120"/>
        <v>-0.38743218806509938</v>
      </c>
      <c r="CY108" s="20">
        <f t="shared" ca="1" si="121"/>
        <v>-0.2582881253767329</v>
      </c>
      <c r="CZ108" s="20">
        <f t="shared" ca="1" si="122"/>
        <v>-0.15497287522603975</v>
      </c>
      <c r="DA108" s="20">
        <f t="shared" ca="1" si="123"/>
        <v>-8.609604179224431E-2</v>
      </c>
      <c r="DB108" s="20">
        <f t="shared" ca="1" si="124"/>
        <v>-4.5580257419423453E-2</v>
      </c>
      <c r="DC108" s="20">
        <f t="shared" ca="1" si="125"/>
        <v>-2.3480738670612084E-2</v>
      </c>
      <c r="DD108" s="20">
        <f t="shared" ca="1" si="126"/>
        <v>-1.1920990402003059E-2</v>
      </c>
      <c r="DE108" s="21">
        <f t="shared" ca="1" si="127"/>
        <v>1.1920990402003059E-2</v>
      </c>
      <c r="DF108" s="21">
        <f t="shared" ca="1" si="128"/>
        <v>2.3480738670612084E-2</v>
      </c>
      <c r="DG108" s="21">
        <f t="shared" ca="1" si="129"/>
        <v>4.5580257419423453E-2</v>
      </c>
      <c r="DH108" s="21">
        <f t="shared" ca="1" si="130"/>
        <v>8.609604179224431E-2</v>
      </c>
      <c r="DI108" s="21">
        <f t="shared" ca="1" si="131"/>
        <v>0.15497287522603975</v>
      </c>
      <c r="DJ108" s="21">
        <f t="shared" ca="1" si="132"/>
        <v>0.2582881253767329</v>
      </c>
      <c r="DK108" s="21">
        <f t="shared" ca="1" si="133"/>
        <v>0.38743218806509938</v>
      </c>
      <c r="DM108" s="16" cm="1">
        <f t="array" aca="1" ref="DM108" ca="1">MAX(_xlfn._xlws.FILTER(CX108:DK108,CX108:DK108&lt;BV108))</f>
        <v>-1.1920990402003059E-2</v>
      </c>
      <c r="DN108" s="16" cm="1">
        <f t="array" aca="1" ref="DN108" ca="1">MIN(_xlfn._xlws.FILTER(CX108:DK108,CX108:DK108&gt;BV108))</f>
        <v>1.1920990402003059E-2</v>
      </c>
      <c r="DO108" s="2" cm="1">
        <f t="array" aca="1" ref="DO108" ca="1">_FV(ED108,"Fechamento anterior",TRUE)</f>
        <v>10.09</v>
      </c>
      <c r="DP108" s="28">
        <f t="shared" ca="1" si="106"/>
        <v>0.62470611636461815</v>
      </c>
      <c r="DQ108" s="15">
        <f t="shared" ca="1" si="134"/>
        <v>9.9697172068437894</v>
      </c>
      <c r="DR108" s="15">
        <f t="shared" ca="1" si="135"/>
        <v>10.21028279315621</v>
      </c>
      <c r="DS108" s="9"/>
      <c r="DT108" s="9"/>
      <c r="DU108" s="9"/>
      <c r="DV108" s="89">
        <v>2.3841980804006117E-2</v>
      </c>
      <c r="DW108" s="89">
        <f t="shared" ca="1" si="107"/>
        <v>2.3841980804006117E-2</v>
      </c>
      <c r="DX108" s="72">
        <f t="shared" ca="1" si="108"/>
        <v>-0.81503667647673927</v>
      </c>
      <c r="DY108" s="37"/>
      <c r="DZ108" s="35">
        <f t="shared" si="118"/>
        <v>0.31593670252124889</v>
      </c>
      <c r="EA108" s="56"/>
      <c r="EB108" s="56"/>
      <c r="ED108" s="2" t="e" vm="108">
        <v>#VALUE!</v>
      </c>
      <c r="EF108" s="10" cm="1">
        <f t="array" aca="1" ref="EF108" ca="1">_FV(ED108,"Ações em circulação",TRUE)</f>
        <v>135322100</v>
      </c>
      <c r="EG108" s="18">
        <f>VLOOKUP(BQ108,Fundamentus!A:U,5,FALSE)</f>
        <v>0.749</v>
      </c>
      <c r="EH108" s="2">
        <f t="shared" ca="1" si="109"/>
        <v>1828384048.0640855</v>
      </c>
      <c r="EI108" s="17">
        <v>170092291.54485983</v>
      </c>
      <c r="EJ108" s="17">
        <f t="shared" ca="1" si="110"/>
        <v>162543341.87289721</v>
      </c>
      <c r="EL108" s="16">
        <f t="shared" ca="1" si="97"/>
        <v>-4.4381491973560006E-2</v>
      </c>
      <c r="EM108" s="32" t="str">
        <f>IF(VLOOKUP(BQ108,Fundamentus!A:U,3,FALSE)&lt;15,"Bom",IF(VLOOKUP(BQ108,Fundamentus!A:U,3,FALSE)&gt;15,"Ruim","n/a"))</f>
        <v>Bom</v>
      </c>
      <c r="EN108" s="28" t="str">
        <f>IF(VLOOKUP(BQ108,Fundamentus!A:U,4,FALSE)&lt;1,"Baixo",IF(VLOOKUP(BQ108,Fundamentus!A:U,4,FALSE)&lt;1.5,"Moderado",IF(VLOOKUP(BQ108,Fundamentus!A:U,4,FALSE)&gt;1.5,"Alto","n/a")))</f>
        <v>Moderado</v>
      </c>
      <c r="EO108" s="17" t="str">
        <f>IF(VLOOKUP(BQ108,Fundamentus!A:U,8,FALSE)&lt;0,"Risco elevado",IF(VLOOKUP(BQ108,Fundamentus!A:U,8,FALSE)&lt;1,"Saudável",IF(VLOOKUP(BQ108,Fundamentus!A:U,8,FALSE)&lt;3,"Estável",IF(VLOOKUP(BQ108,Fundamentus!A:U,8,FALSE)&gt;3,"Alerta","n/a"))))</f>
        <v>Saudável</v>
      </c>
      <c r="EP108" s="28" t="str">
        <f t="shared" si="111"/>
        <v>Ruim</v>
      </c>
      <c r="EQ108" s="17" t="str">
        <f>IF(VLOOKUP(BQ108,Fundamentus!A:U,12,FALSE)&lt;2,"Subvalorizada",IF(VLOOKUP(BQ108,Fundamentus!A:U,12,FALSE)&lt;6,"Muita barata",IF(VLOOKUP(BQ108,Fundamentus!A:U,12,FALSE)&lt;6,"Barata",IF(VLOOKUP(BQ108,Fundamentus!A:U,12,FALSE)&lt;8,"Atrativa",IF(VLOOKUP(BQ108,Fundamentus!A:U,12,FALSE)&gt;8,"Supervalorizada","n/a")))))</f>
        <v>Atrativa</v>
      </c>
      <c r="ES108" s="17" t="str">
        <f>IF(VLOOKUP(BQ108,Fundamentus!A:U,17,FALSE)&lt;0.1,"Fraco retorno",IF(VLOOKUP(BQ108,Fundamentus!A:U,17,FALSE)&gt;0.1,"Bom retorno","n/a"))</f>
        <v>Fraco retorno</v>
      </c>
      <c r="ET108" s="17" t="str">
        <f>IF(VLOOKUP(BQ108,Fundamentus!A:U,16,FALSE)&lt;0.1,"Ineficiente",IF(VLOOKUP(BQ108,Fundamentus!A:U,16,FALSE)&gt;0.1,"Eficiente","n/a"))</f>
        <v>Ineficiente</v>
      </c>
      <c r="EU108" s="33" t="str">
        <f>IF(VLOOKUP(BQ108,Fundamentus!A:U,16,FALSE)&lt;0.1,"Oper. Ineficiente",IF(VLOOKUP(BQ108,Fundamentus!A:U,16,FALSE)&gt;0.1,"Oper.Eficiente","n/a"))</f>
        <v>Oper. Ineficiente</v>
      </c>
      <c r="EV108" s="34">
        <f>VLOOKUP(BQ108,Fundamentus!A:U,14,FALSE)</f>
        <v>8.8900000000000007E-2</v>
      </c>
      <c r="EW108" s="17" t="str">
        <f>IF(VLOOKUP(BQ108,Fundamentus!A:U,21,FALSE)&lt;0,"Negativo",IF(VLOOKUP(BQ108,Fundamentus!A:U,21,FALSE)&lt;0.05,"Fraco",IF(VLOOKUP(BQ108,Fundamentus!A:U,21,FALSE)&lt;0.1,"Bom",IF(VLOOKUP(BQ108,Fundamentus!A:U,21,FALSE)&gt;0.1,"Muito bom","n/a"))))</f>
        <v>Muito bom</v>
      </c>
      <c r="EY108" s="29" t="str">
        <f>IF(VLOOKUP(BQ108,Fundamentus!A:U,15,FALSE)&gt;1,"Bom",IF(VLOOKUP(BQ108,Fundamentus!A:U,15,FALSE)&lt;1,"Ruim","n/a"))</f>
        <v>Bom</v>
      </c>
      <c r="EZ108" s="17" t="str">
        <f>IF(VLOOKUP(BQ108,Fundamentus!A:U,20,FALSE)&lt;0.5,"Baixa",IF(VLOOKUP(BQ108,Fundamentus!A:U,20,FALSE)&lt;1,"Moderada",IF(VLOOKUP(BQ108,Fundamentus!A:U,20,FALSE)&lt;2,"Alerta",IF(VLOOKUP(BQ108,Fundamentus!A:U,20,FALSE)&gt;2,"Alta","n/a"))))</f>
        <v>Moderada</v>
      </c>
      <c r="FA108" s="10"/>
    </row>
    <row r="109" spans="1:157" s="2" customFormat="1" ht="11.25" hidden="1" x14ac:dyDescent="0.2">
      <c r="A109" s="4">
        <v>7.6</v>
      </c>
      <c r="B109" s="4">
        <v>7.26</v>
      </c>
      <c r="C109" s="4">
        <v>7.14</v>
      </c>
      <c r="D109" s="4">
        <v>7.1</v>
      </c>
      <c r="E109" s="4">
        <v>6.97</v>
      </c>
      <c r="F109" s="4">
        <v>6.49</v>
      </c>
      <c r="G109" s="4">
        <v>6</v>
      </c>
      <c r="H109" s="4">
        <v>6.04</v>
      </c>
      <c r="I109" s="4">
        <v>5.95</v>
      </c>
      <c r="J109" s="4">
        <v>6.15</v>
      </c>
      <c r="K109" s="4">
        <v>6.27</v>
      </c>
      <c r="L109" s="4">
        <v>6.4</v>
      </c>
      <c r="M109" s="4">
        <v>6.66</v>
      </c>
      <c r="N109" s="4">
        <v>6.47</v>
      </c>
      <c r="O109" s="4">
        <v>6.41</v>
      </c>
      <c r="P109" s="4">
        <v>6.02</v>
      </c>
      <c r="Q109" s="4">
        <v>6.2</v>
      </c>
      <c r="R109" s="4">
        <v>7.26</v>
      </c>
      <c r="S109" s="4">
        <v>7.45</v>
      </c>
      <c r="T109" s="4">
        <v>7.35</v>
      </c>
      <c r="U109" s="4">
        <v>7.08</v>
      </c>
      <c r="V109" s="4">
        <v>6.66</v>
      </c>
      <c r="W109" s="4">
        <v>6.56</v>
      </c>
      <c r="X109" s="4">
        <v>6.54</v>
      </c>
      <c r="Y109" s="4">
        <v>6.5</v>
      </c>
      <c r="Z109" s="4">
        <v>6.35</v>
      </c>
      <c r="AA109" s="4">
        <v>6.29</v>
      </c>
      <c r="AB109" s="4">
        <v>6.8</v>
      </c>
      <c r="AC109" s="4">
        <v>6.32</v>
      </c>
      <c r="AD109" s="4">
        <v>6.49</v>
      </c>
      <c r="AE109" s="4">
        <v>6.18</v>
      </c>
      <c r="AF109" s="4">
        <v>6.1</v>
      </c>
      <c r="AG109" s="4">
        <v>6</v>
      </c>
      <c r="AH109" s="4">
        <v>5.7</v>
      </c>
      <c r="AI109" s="4">
        <v>5.96</v>
      </c>
      <c r="AJ109" s="4">
        <v>5.63</v>
      </c>
      <c r="AK109" s="4">
        <v>5.76</v>
      </c>
      <c r="AL109" s="4">
        <v>5.79</v>
      </c>
      <c r="AM109" s="4">
        <v>5.61</v>
      </c>
      <c r="AN109" s="4">
        <v>6.63</v>
      </c>
      <c r="AO109" s="4">
        <v>6.97</v>
      </c>
      <c r="AP109" s="4">
        <v>6.9</v>
      </c>
      <c r="AQ109" s="4">
        <v>7.4</v>
      </c>
      <c r="AR109" s="4">
        <v>7.39</v>
      </c>
      <c r="AS109" s="4">
        <v>7.5</v>
      </c>
      <c r="AT109" s="4">
        <v>7.43</v>
      </c>
      <c r="AU109" s="4">
        <v>7.4849999999999994</v>
      </c>
      <c r="AV109" s="4">
        <v>7.88</v>
      </c>
      <c r="AW109" s="4">
        <v>7.6</v>
      </c>
      <c r="AX109" s="4">
        <v>7</v>
      </c>
      <c r="AY109" s="12">
        <v>6.45</v>
      </c>
      <c r="AZ109" s="12">
        <v>6.07</v>
      </c>
      <c r="BA109" s="12">
        <v>5.7</v>
      </c>
      <c r="BB109" s="15">
        <v>5.3</v>
      </c>
      <c r="BC109" s="52">
        <v>5.04</v>
      </c>
      <c r="BD109" s="52">
        <v>4.74</v>
      </c>
      <c r="BE109" s="52">
        <v>4.66</v>
      </c>
      <c r="BF109" s="52">
        <v>4.57</v>
      </c>
      <c r="BG109" s="67">
        <v>4.88</v>
      </c>
      <c r="BH109" s="52">
        <v>4.9000000000000004</v>
      </c>
      <c r="BI109" s="52">
        <v>4.7300000000000004</v>
      </c>
      <c r="BJ109" s="52">
        <v>5.05</v>
      </c>
      <c r="BK109" s="52">
        <v>4.76</v>
      </c>
      <c r="BL109" s="52">
        <v>4.62</v>
      </c>
      <c r="BM109" s="52">
        <v>4.67</v>
      </c>
      <c r="BN109" s="52">
        <v>4.6100000000000003</v>
      </c>
      <c r="BO109" s="52">
        <v>4.7699999999999996</v>
      </c>
      <c r="BP109" s="52" cm="1">
        <f t="array" aca="1" ref="BP109" ca="1">_FV(ED109,"Preço")</f>
        <v>4.59</v>
      </c>
      <c r="BQ109" s="69" t="s">
        <v>106</v>
      </c>
      <c r="BR109" s="36" cm="1">
        <f t="array" aca="1" ref="BR109" ca="1">_FV(ED109,"Média de volume",TRUE)</f>
        <v>6130</v>
      </c>
      <c r="BS109" s="36">
        <v>1000</v>
      </c>
      <c r="BT109" s="36" cm="1">
        <f t="array" aca="1" ref="BT109" ca="1">_FV(ED109,"Volume")</f>
        <v>3100</v>
      </c>
      <c r="BU109" s="24" cm="1">
        <f t="array" aca="1" ref="BU109" ca="1">_FV(ED109,"Beta")</f>
        <v>0.36070000000000002</v>
      </c>
      <c r="BV109" s="71" cm="1">
        <f t="array" aca="1" ref="BV109" ca="1">_FV(ED109,"Variação (%)",TRUE)</f>
        <v>8.7910000000000002E-3</v>
      </c>
      <c r="BX109" s="17" cm="1">
        <f t="array" aca="1" ref="BX109" ca="1">_FV(ED109,"Baixo")</f>
        <v>4.53</v>
      </c>
      <c r="BY109" s="17" cm="1">
        <f t="array" aca="1" ref="BY109" ca="1">_FV(ED109,"Alto")</f>
        <v>4.59</v>
      </c>
      <c r="BZ109" s="24"/>
      <c r="CA109" s="63">
        <f ca="1">SQRT(22.5*(BP109/VLOOKUP(BQ109,Fundamentus!A:U,3,FALSE))*(BP109/VLOOKUP(BQ109,Fundamentus!A:U,4,FALSE)))</f>
        <v>12.40913243129854</v>
      </c>
      <c r="CC109" s="62">
        <f t="shared" ca="1" si="112"/>
        <v>-3.7735849056603717E-2</v>
      </c>
      <c r="CD109" s="8"/>
      <c r="CE109" s="61">
        <f t="shared" si="113"/>
        <v>4.57</v>
      </c>
      <c r="CF109" s="61">
        <f t="shared" si="114"/>
        <v>7.88</v>
      </c>
      <c r="CG109" s="61">
        <f t="shared" si="115"/>
        <v>6.2270895522388061</v>
      </c>
      <c r="CH109" s="14"/>
      <c r="CI109" s="35">
        <f t="shared" si="98"/>
        <v>4.629589512961501</v>
      </c>
      <c r="CJ109" s="15">
        <f t="shared" si="116"/>
        <v>4.7649999999999864</v>
      </c>
      <c r="CK109" s="35">
        <f t="shared" si="99"/>
        <v>4.9004104870384717</v>
      </c>
      <c r="CM109" s="14"/>
      <c r="CN109" s="17">
        <f t="shared" si="100"/>
        <v>0.28999999999999915</v>
      </c>
      <c r="CO109" s="17">
        <f t="shared" si="101"/>
        <v>2.4299999999999997</v>
      </c>
      <c r="CP109" s="17">
        <f t="shared" si="102"/>
        <v>3.5999999999999988</v>
      </c>
      <c r="CQ109" s="38">
        <f t="shared" si="117"/>
        <v>5.7399999999999993</v>
      </c>
      <c r="CR109" s="17">
        <f t="shared" si="103"/>
        <v>6.9099999999999984</v>
      </c>
      <c r="CS109" s="17">
        <f t="shared" si="104"/>
        <v>9.0499999999999989</v>
      </c>
      <c r="CT109" s="17">
        <f t="shared" si="105"/>
        <v>10.219999999999999</v>
      </c>
      <c r="CU109" s="2" cm="1">
        <f t="array" aca="1" ref="CU109" ca="1">MAX(_xlfn._xlws.FILTER(CN109:CT109,CN109:CT109&lt;BP109))</f>
        <v>3.5999999999999988</v>
      </c>
      <c r="CV109" s="2" cm="1">
        <f t="array" aca="1" ref="CV109" ca="1">MIN(_xlfn._xlws.FILTER($CN109:$CT109,$CN109:$CT109&gt;BP109))</f>
        <v>5.7399999999999993</v>
      </c>
      <c r="CW109" s="16">
        <f t="shared" ca="1" si="119"/>
        <v>0.59444444444444478</v>
      </c>
      <c r="CX109" s="20">
        <f t="shared" ca="1" si="120"/>
        <v>-0.29722222222222239</v>
      </c>
      <c r="CY109" s="20">
        <f t="shared" ca="1" si="121"/>
        <v>-0.19814814814814827</v>
      </c>
      <c r="CZ109" s="20">
        <f t="shared" ca="1" si="122"/>
        <v>-0.11888888888888896</v>
      </c>
      <c r="DA109" s="20">
        <f t="shared" ca="1" si="123"/>
        <v>-6.6049382716049418E-2</v>
      </c>
      <c r="DB109" s="20">
        <f t="shared" ca="1" si="124"/>
        <v>-3.496732026143793E-2</v>
      </c>
      <c r="DC109" s="20">
        <f t="shared" ca="1" si="125"/>
        <v>-1.8013468013468023E-2</v>
      </c>
      <c r="DD109" s="20">
        <f t="shared" ca="1" si="126"/>
        <v>-9.1452991452991503E-3</v>
      </c>
      <c r="DE109" s="21">
        <f t="shared" ca="1" si="127"/>
        <v>9.1452991452991503E-3</v>
      </c>
      <c r="DF109" s="21">
        <f t="shared" ca="1" si="128"/>
        <v>1.8013468013468023E-2</v>
      </c>
      <c r="DG109" s="21">
        <f t="shared" ca="1" si="129"/>
        <v>3.496732026143793E-2</v>
      </c>
      <c r="DH109" s="21">
        <f t="shared" ca="1" si="130"/>
        <v>6.6049382716049418E-2</v>
      </c>
      <c r="DI109" s="21">
        <f t="shared" ca="1" si="131"/>
        <v>0.11888888888888896</v>
      </c>
      <c r="DJ109" s="21">
        <f t="shared" ca="1" si="132"/>
        <v>0.19814814814814827</v>
      </c>
      <c r="DK109" s="21">
        <f t="shared" ca="1" si="133"/>
        <v>0.29722222222222239</v>
      </c>
      <c r="DM109" s="16" cm="1">
        <f t="array" aca="1" ref="DM109" ca="1">MAX(_xlfn._xlws.FILTER(CX109:DK109,CX109:DK109&lt;BV109))</f>
        <v>-9.1452991452991503E-3</v>
      </c>
      <c r="DN109" s="16" cm="1">
        <f t="array" aca="1" ref="DN109" ca="1">MIN(_xlfn._xlws.FILTER(CX109:DK109,CX109:DK109&gt;BV109))</f>
        <v>9.1452991452991503E-3</v>
      </c>
      <c r="DO109" s="2" cm="1">
        <f t="array" aca="1" ref="DO109" ca="1">_FV(ED109,"Fechamento anterior",TRUE)</f>
        <v>4.55</v>
      </c>
      <c r="DP109" s="28">
        <f t="shared" ca="1" si="106"/>
        <v>0.98064085447263138</v>
      </c>
      <c r="DQ109" s="15">
        <f t="shared" ca="1" si="134"/>
        <v>4.5083888888888888</v>
      </c>
      <c r="DR109" s="15">
        <f t="shared" ca="1" si="135"/>
        <v>4.5916111111111109</v>
      </c>
      <c r="DS109" s="9"/>
      <c r="DT109" s="9"/>
      <c r="DU109" s="9"/>
      <c r="DV109" s="89">
        <v>1.6953852247969907E-2</v>
      </c>
      <c r="DW109" s="89">
        <f t="shared" ca="1" si="107"/>
        <v>1.8290598290598301E-2</v>
      </c>
      <c r="DX109" s="72">
        <f t="shared" ca="1" si="108"/>
        <v>-1.2923666683973252</v>
      </c>
      <c r="DY109" s="37"/>
      <c r="DZ109" s="35">
        <f t="shared" si="118"/>
        <v>6.7705243519242786E-2</v>
      </c>
      <c r="EA109" s="56"/>
      <c r="EB109" s="56"/>
      <c r="ED109" s="2" t="e" vm="109">
        <v>#VALUE!</v>
      </c>
      <c r="EF109" s="10" cm="1">
        <f t="array" aca="1" ref="EF109" ca="1">_FV(ED109,"Ações em circulação",TRUE)</f>
        <v>48046490</v>
      </c>
      <c r="EG109" s="18">
        <f>VLOOKUP(BQ109,Fundamentus!A:U,5,FALSE)</f>
        <v>0.27700000000000002</v>
      </c>
      <c r="EH109" s="2">
        <f t="shared" ca="1" si="109"/>
        <v>796149419.13357389</v>
      </c>
      <c r="EI109" s="17">
        <v>59653446.575198546</v>
      </c>
      <c r="EJ109" s="17">
        <f t="shared" ca="1" si="110"/>
        <v>57402373.119530678</v>
      </c>
      <c r="EL109" s="16">
        <f t="shared" ca="1" si="97"/>
        <v>-3.7735849056603765E-2</v>
      </c>
      <c r="EM109" s="32" t="str">
        <f>IF(VLOOKUP(BQ109,Fundamentus!A:U,3,FALSE)&lt;15,"Bom",IF(VLOOKUP(BQ109,Fundamentus!A:U,3,FALSE)&gt;15,"Ruim","n/a"))</f>
        <v>Bom</v>
      </c>
      <c r="EN109" s="28" t="str">
        <f>IF(VLOOKUP(BQ109,Fundamentus!A:U,4,FALSE)&lt;1,"Baixo",IF(VLOOKUP(BQ109,Fundamentus!A:U,4,FALSE)&lt;1.5,"Moderado",IF(VLOOKUP(BQ109,Fundamentus!A:U,4,FALSE)&gt;1.5,"Alto","n/a")))</f>
        <v>Baixo</v>
      </c>
      <c r="EO109" s="17" t="str">
        <f>IF(VLOOKUP(BQ109,Fundamentus!A:U,8,FALSE)&lt;0,"Risco elevado",IF(VLOOKUP(BQ109,Fundamentus!A:U,8,FALSE)&lt;1,"Saudável",IF(VLOOKUP(BQ109,Fundamentus!A:U,8,FALSE)&lt;3,"Estável",IF(VLOOKUP(BQ109,Fundamentus!A:U,8,FALSE)&gt;3,"Alerta","n/a"))))</f>
        <v>Saudável</v>
      </c>
      <c r="EP109" s="28" t="str">
        <f t="shared" si="111"/>
        <v>Ruim</v>
      </c>
      <c r="EQ109" s="17" t="str">
        <f>IF(VLOOKUP(BQ109,Fundamentus!A:U,12,FALSE)&lt;2,"Subvalorizada",IF(VLOOKUP(BQ109,Fundamentus!A:U,12,FALSE)&lt;6,"Muita barata",IF(VLOOKUP(BQ109,Fundamentus!A:U,12,FALSE)&lt;6,"Barata",IF(VLOOKUP(BQ109,Fundamentus!A:U,12,FALSE)&lt;8,"Atrativa",IF(VLOOKUP(BQ109,Fundamentus!A:U,12,FALSE)&gt;8,"Supervalorizada","n/a")))))</f>
        <v>Muita barata</v>
      </c>
      <c r="ES109" s="17" t="str">
        <f>IF(VLOOKUP(BQ109,Fundamentus!A:U,17,FALSE)&lt;0.1,"Fraco retorno",IF(VLOOKUP(BQ109,Fundamentus!A:U,17,FALSE)&gt;0.1,"Bom retorno","n/a"))</f>
        <v>Fraco retorno</v>
      </c>
      <c r="ET109" s="17" t="str">
        <f>IF(VLOOKUP(BQ109,Fundamentus!A:U,16,FALSE)&lt;0.1,"Ineficiente",IF(VLOOKUP(BQ109,Fundamentus!A:U,16,FALSE)&gt;0.1,"Eficiente","n/a"))</f>
        <v>Ineficiente</v>
      </c>
      <c r="EU109" s="33" t="str">
        <f>IF(VLOOKUP(BQ109,Fundamentus!A:U,16,FALSE)&lt;0.1,"Oper. Ineficiente",IF(VLOOKUP(BQ109,Fundamentus!A:U,16,FALSE)&gt;0.1,"Oper.Eficiente","n/a"))</f>
        <v>Oper. Ineficiente</v>
      </c>
      <c r="EV109" s="34">
        <f>VLOOKUP(BQ109,Fundamentus!A:U,14,FALSE)</f>
        <v>7.2099999999999997E-2</v>
      </c>
      <c r="EW109" s="17" t="str">
        <f>IF(VLOOKUP(BQ109,Fundamentus!A:U,21,FALSE)&lt;0,"Negativo",IF(VLOOKUP(BQ109,Fundamentus!A:U,21,FALSE)&lt;0.05,"Fraco",IF(VLOOKUP(BQ109,Fundamentus!A:U,21,FALSE)&lt;0.1,"Bom",IF(VLOOKUP(BQ109,Fundamentus!A:U,21,FALSE)&gt;0.1,"Muito bom","n/a"))))</f>
        <v>Bom</v>
      </c>
      <c r="EY109" s="29" t="str">
        <f>IF(VLOOKUP(BQ109,Fundamentus!A:U,15,FALSE)&gt;1,"Bom",IF(VLOOKUP(BQ109,Fundamentus!A:U,15,FALSE)&lt;1,"Ruim","n/a"))</f>
        <v>Bom</v>
      </c>
      <c r="EZ109" s="17" t="str">
        <f>IF(VLOOKUP(BQ109,Fundamentus!A:U,20,FALSE)&lt;0.5,"Baixa",IF(VLOOKUP(BQ109,Fundamentus!A:U,20,FALSE)&lt;1,"Moderada",IF(VLOOKUP(BQ109,Fundamentus!A:U,20,FALSE)&lt;2,"Alerta",IF(VLOOKUP(BQ109,Fundamentus!A:U,20,FALSE)&gt;2,"Alta","n/a"))))</f>
        <v>Moderada</v>
      </c>
      <c r="FA109" s="10"/>
    </row>
    <row r="110" spans="1:157" s="2" customFormat="1" ht="11.25" hidden="1" x14ac:dyDescent="0.2">
      <c r="A110" s="4">
        <v>13.53</v>
      </c>
      <c r="B110" s="4">
        <v>13.17</v>
      </c>
      <c r="C110" s="4">
        <v>13.87</v>
      </c>
      <c r="D110" s="4">
        <v>15.87</v>
      </c>
      <c r="E110" s="4">
        <v>16.21</v>
      </c>
      <c r="F110" s="4">
        <v>15.65</v>
      </c>
      <c r="G110" s="4">
        <v>15.31</v>
      </c>
      <c r="H110" s="4">
        <v>14.79</v>
      </c>
      <c r="I110" s="4">
        <v>15.3</v>
      </c>
      <c r="J110" s="4">
        <v>15.13</v>
      </c>
      <c r="K110" s="4">
        <v>15.64</v>
      </c>
      <c r="L110" s="4">
        <v>15.39</v>
      </c>
      <c r="M110" s="4">
        <v>16.149999999999999</v>
      </c>
      <c r="N110" s="4">
        <v>17.14</v>
      </c>
      <c r="O110" s="4">
        <v>16.760000000000002</v>
      </c>
      <c r="P110" s="4">
        <v>16.23</v>
      </c>
      <c r="Q110" s="4">
        <v>16.079999999999998</v>
      </c>
      <c r="R110" s="4">
        <v>15.4</v>
      </c>
      <c r="S110" s="4">
        <v>14.94</v>
      </c>
      <c r="T110" s="4">
        <v>15.55</v>
      </c>
      <c r="U110" s="4">
        <v>16.329999999999998</v>
      </c>
      <c r="V110" s="4">
        <v>14.91</v>
      </c>
      <c r="W110" s="4">
        <v>14.21</v>
      </c>
      <c r="X110" s="4">
        <v>13.53</v>
      </c>
      <c r="Y110" s="4">
        <v>12.92</v>
      </c>
      <c r="Z110" s="4">
        <v>13.3</v>
      </c>
      <c r="AA110" s="4">
        <v>13</v>
      </c>
      <c r="AB110" s="4">
        <v>13.75</v>
      </c>
      <c r="AC110" s="4">
        <v>13.54</v>
      </c>
      <c r="AD110" s="4">
        <v>13.79</v>
      </c>
      <c r="AE110" s="4">
        <v>12.83</v>
      </c>
      <c r="AF110" s="4">
        <v>12.92</v>
      </c>
      <c r="AG110" s="4">
        <v>11.58</v>
      </c>
      <c r="AH110" s="4">
        <v>10.3</v>
      </c>
      <c r="AI110" s="4">
        <v>10.199999999999999</v>
      </c>
      <c r="AJ110" s="4">
        <v>10.31</v>
      </c>
      <c r="AK110" s="4">
        <v>10.1</v>
      </c>
      <c r="AL110" s="4">
        <v>10.199999999999999</v>
      </c>
      <c r="AM110" s="4">
        <v>10.3</v>
      </c>
      <c r="AN110" s="4">
        <v>10.02</v>
      </c>
      <c r="AO110" s="4">
        <v>9.66</v>
      </c>
      <c r="AP110" s="4">
        <v>9.6999999999999993</v>
      </c>
      <c r="AQ110" s="4">
        <v>9.2100000000000009</v>
      </c>
      <c r="AR110" s="4">
        <v>8.18</v>
      </c>
      <c r="AS110" s="4">
        <v>8.4700000000000006</v>
      </c>
      <c r="AT110" s="4">
        <v>8.4</v>
      </c>
      <c r="AU110" s="4">
        <v>8.4450000000000003</v>
      </c>
      <c r="AV110" s="4">
        <v>8.01</v>
      </c>
      <c r="AW110" s="4">
        <v>8.5500000000000007</v>
      </c>
      <c r="AX110" s="4">
        <v>8.1999999999999993</v>
      </c>
      <c r="AY110" s="12">
        <v>8.74</v>
      </c>
      <c r="AZ110" s="12">
        <v>9.67</v>
      </c>
      <c r="BA110" s="12">
        <v>9.23</v>
      </c>
      <c r="BB110" s="15">
        <v>9.41</v>
      </c>
      <c r="BC110" s="52">
        <v>9.08</v>
      </c>
      <c r="BD110" s="52">
        <v>9.33</v>
      </c>
      <c r="BE110" s="52">
        <v>9.4600000000000009</v>
      </c>
      <c r="BF110" s="52">
        <v>9.36</v>
      </c>
      <c r="BG110" s="67">
        <v>9.5</v>
      </c>
      <c r="BH110" s="52">
        <v>9.73</v>
      </c>
      <c r="BI110" s="52">
        <v>9.4600000000000009</v>
      </c>
      <c r="BJ110" s="52">
        <v>9.51</v>
      </c>
      <c r="BK110" s="52">
        <v>9</v>
      </c>
      <c r="BL110" s="52">
        <v>8.1199999999999992</v>
      </c>
      <c r="BM110" s="52">
        <v>8.18</v>
      </c>
      <c r="BN110" s="52">
        <v>8.1199999999999992</v>
      </c>
      <c r="BO110" s="52">
        <v>7.88</v>
      </c>
      <c r="BP110" s="52" cm="1">
        <f t="array" aca="1" ref="BP110" ca="1">_FV(ED110,"Preço")</f>
        <v>7.82</v>
      </c>
      <c r="BQ110" s="69" t="s">
        <v>107</v>
      </c>
      <c r="BR110" s="36" cm="1">
        <f t="array" aca="1" ref="BR110" ca="1">_FV(ED110,"Média de volume",TRUE)</f>
        <v>190370</v>
      </c>
      <c r="BS110" s="36">
        <v>67100</v>
      </c>
      <c r="BT110" s="36" cm="1">
        <f t="array" aca="1" ref="BT110" ca="1">_FV(ED110,"Volume")</f>
        <v>55100</v>
      </c>
      <c r="BU110" s="24" cm="1">
        <f t="array" aca="1" ref="BU110" ca="1">_FV(ED110,"Beta")</f>
        <v>1.2517</v>
      </c>
      <c r="BV110" s="71" cm="1">
        <f t="array" aca="1" ref="BV110" ca="1">_FV(ED110,"Variação (%)",TRUE)</f>
        <v>2.5640000000000003E-3</v>
      </c>
      <c r="BX110" s="17" cm="1">
        <f t="array" aca="1" ref="BX110" ca="1">_FV(ED110,"Baixo")</f>
        <v>7.7</v>
      </c>
      <c r="BY110" s="17" cm="1">
        <f t="array" aca="1" ref="BY110" ca="1">_FV(ED110,"Alto")</f>
        <v>7.82</v>
      </c>
      <c r="BZ110" s="24"/>
      <c r="CA110" s="63">
        <f ca="1">SQRT(22.5*(BP110/VLOOKUP(BQ110,Fundamentus!A:U,3,FALSE))*(BP110/VLOOKUP(BQ110,Fundamentus!A:U,4,FALSE)))</f>
        <v>13.617458470733677</v>
      </c>
      <c r="CC110" s="62">
        <f t="shared" ca="1" si="112"/>
        <v>-7.614213197969494E-3</v>
      </c>
      <c r="CD110" s="8"/>
      <c r="CE110" s="61">
        <f t="shared" si="113"/>
        <v>7.88</v>
      </c>
      <c r="CF110" s="61">
        <f t="shared" si="114"/>
        <v>17.14</v>
      </c>
      <c r="CG110" s="61">
        <f t="shared" si="115"/>
        <v>11.891865671641792</v>
      </c>
      <c r="CH110" s="14"/>
      <c r="CI110" s="35">
        <f t="shared" si="98"/>
        <v>7.1118333514138961</v>
      </c>
      <c r="CJ110" s="15">
        <f t="shared" si="116"/>
        <v>7.8799999999999955</v>
      </c>
      <c r="CK110" s="35">
        <f t="shared" si="99"/>
        <v>8.6481666485860949</v>
      </c>
      <c r="CM110" s="14"/>
      <c r="CN110" s="17">
        <f t="shared" si="100"/>
        <v>-4.4666666666666677</v>
      </c>
      <c r="CO110" s="17">
        <f t="shared" si="101"/>
        <v>1.7066666666666652</v>
      </c>
      <c r="CP110" s="17">
        <f t="shared" si="102"/>
        <v>4.793333333333333</v>
      </c>
      <c r="CQ110" s="38">
        <f t="shared" si="117"/>
        <v>10.966666666666667</v>
      </c>
      <c r="CR110" s="17">
        <f t="shared" si="103"/>
        <v>14.053333333333335</v>
      </c>
      <c r="CS110" s="17">
        <f t="shared" si="104"/>
        <v>20.226666666666667</v>
      </c>
      <c r="CT110" s="17">
        <f t="shared" si="105"/>
        <v>23.313333333333333</v>
      </c>
      <c r="CU110" s="2" cm="1">
        <f t="array" aca="1" ref="CU110" ca="1">MAX(_xlfn._xlws.FILTER(CN110:CT110,CN110:CT110&lt;BP110))</f>
        <v>4.793333333333333</v>
      </c>
      <c r="CV110" s="2" cm="1">
        <f t="array" aca="1" ref="CV110" ca="1">MIN(_xlfn._xlws.FILTER($CN110:$CT110,$CN110:$CT110&gt;BP110))</f>
        <v>10.966666666666667</v>
      </c>
      <c r="CW110" s="16">
        <f t="shared" ca="1" si="119"/>
        <v>1.2878998609179417</v>
      </c>
      <c r="CX110" s="20">
        <f t="shared" ca="1" si="120"/>
        <v>-0.64394993045897087</v>
      </c>
      <c r="CY110" s="20">
        <f t="shared" ca="1" si="121"/>
        <v>-0.42929995363931389</v>
      </c>
      <c r="CZ110" s="20">
        <f t="shared" ca="1" si="122"/>
        <v>-0.25757997218358836</v>
      </c>
      <c r="DA110" s="20">
        <f t="shared" ca="1" si="123"/>
        <v>-0.14309998454643796</v>
      </c>
      <c r="DB110" s="20">
        <f t="shared" ca="1" si="124"/>
        <v>-7.5758815348114225E-2</v>
      </c>
      <c r="DC110" s="20">
        <f t="shared" ca="1" si="125"/>
        <v>-3.90272685126649E-2</v>
      </c>
      <c r="DD110" s="20">
        <f t="shared" ca="1" si="126"/>
        <v>-1.981384401412218E-2</v>
      </c>
      <c r="DE110" s="21">
        <f t="shared" ca="1" si="127"/>
        <v>1.981384401412218E-2</v>
      </c>
      <c r="DF110" s="21">
        <f t="shared" ca="1" si="128"/>
        <v>3.90272685126649E-2</v>
      </c>
      <c r="DG110" s="21">
        <f t="shared" ca="1" si="129"/>
        <v>7.5758815348114225E-2</v>
      </c>
      <c r="DH110" s="21">
        <f t="shared" ca="1" si="130"/>
        <v>0.14309998454643796</v>
      </c>
      <c r="DI110" s="21">
        <f t="shared" ca="1" si="131"/>
        <v>0.25757997218358836</v>
      </c>
      <c r="DJ110" s="21">
        <f t="shared" ca="1" si="132"/>
        <v>0.42929995363931389</v>
      </c>
      <c r="DK110" s="21">
        <f t="shared" ca="1" si="133"/>
        <v>0.64394993045897087</v>
      </c>
      <c r="DM110" s="16" cm="1">
        <f t="array" aca="1" ref="DM110" ca="1">MAX(_xlfn._xlws.FILTER(CX110:DK110,CX110:DK110&lt;BV110))</f>
        <v>-1.981384401412218E-2</v>
      </c>
      <c r="DN110" s="16" cm="1">
        <f t="array" aca="1" ref="DN110" ca="1">MIN(_xlfn._xlws.FILTER(CX110:DK110,CX110:DK110&gt;BV110))</f>
        <v>1.981384401412218E-2</v>
      </c>
      <c r="DO110" s="2" cm="1">
        <f t="array" aca="1" ref="DO110" ca="1">_FV(ED110,"Fechamento anterior",TRUE)</f>
        <v>7.8</v>
      </c>
      <c r="DP110" s="28">
        <f t="shared" ca="1" si="106"/>
        <v>0.56470482361411223</v>
      </c>
      <c r="DQ110" s="15">
        <f t="shared" ca="1" si="134"/>
        <v>7.6454520166898465</v>
      </c>
      <c r="DR110" s="15">
        <f t="shared" ca="1" si="135"/>
        <v>7.9545479833101531</v>
      </c>
      <c r="DS110" s="9"/>
      <c r="DT110" s="9"/>
      <c r="DU110" s="9"/>
      <c r="DV110" s="89">
        <v>1.9213424498542721E-2</v>
      </c>
      <c r="DW110" s="89">
        <f t="shared" ca="1" si="107"/>
        <v>3.9627688028244359E-2</v>
      </c>
      <c r="DX110" s="72">
        <f t="shared" ca="1" si="108"/>
        <v>-7.8108051306877466E-2</v>
      </c>
      <c r="DY110" s="37"/>
      <c r="DZ110" s="35">
        <f t="shared" si="118"/>
        <v>0.38408332429304987</v>
      </c>
      <c r="EA110" s="56"/>
      <c r="EB110" s="56"/>
      <c r="ED110" s="2" t="e" vm="110">
        <v>#VALUE!</v>
      </c>
      <c r="EF110" s="10" cm="1">
        <f t="array" aca="1" ref="EF110" ca="1">_FV(ED110,"Ações em circulação",TRUE)</f>
        <v>115907200</v>
      </c>
      <c r="EG110" s="18">
        <f>VLOOKUP(BQ110,Fundamentus!A:U,5,FALSE)</f>
        <v>0.82899999999999996</v>
      </c>
      <c r="EH110" s="2">
        <f t="shared" ca="1" si="109"/>
        <v>1093358629.6743064</v>
      </c>
      <c r="EI110" s="17">
        <v>96182562.910494581</v>
      </c>
      <c r="EJ110" s="17">
        <f t="shared" ca="1" si="110"/>
        <v>95450208.370566949</v>
      </c>
      <c r="EL110" s="16">
        <f t="shared" ca="1" si="97"/>
        <v>-7.6142131979696215E-3</v>
      </c>
      <c r="EM110" s="32" t="str">
        <f>IF(VLOOKUP(BQ110,Fundamentus!A:U,3,FALSE)&lt;15,"Bom",IF(VLOOKUP(BQ110,Fundamentus!A:U,3,FALSE)&gt;15,"Ruim","n/a"))</f>
        <v>Bom</v>
      </c>
      <c r="EN110" s="28" t="str">
        <f>IF(VLOOKUP(BQ110,Fundamentus!A:U,4,FALSE)&lt;1,"Baixo",IF(VLOOKUP(BQ110,Fundamentus!A:U,4,FALSE)&lt;1.5,"Moderado",IF(VLOOKUP(BQ110,Fundamentus!A:U,4,FALSE)&gt;1.5,"Alto","n/a")))</f>
        <v>Baixo</v>
      </c>
      <c r="EO110" s="17" t="str">
        <f>IF(VLOOKUP(BQ110,Fundamentus!A:U,8,FALSE)&lt;0,"Risco elevado",IF(VLOOKUP(BQ110,Fundamentus!A:U,8,FALSE)&lt;1,"Saudável",IF(VLOOKUP(BQ110,Fundamentus!A:U,8,FALSE)&lt;3,"Estável",IF(VLOOKUP(BQ110,Fundamentus!A:U,8,FALSE)&gt;3,"Alerta","n/a"))))</f>
        <v>Alerta</v>
      </c>
      <c r="EP110" s="28" t="str">
        <f t="shared" si="111"/>
        <v>Ruim</v>
      </c>
      <c r="EQ110" s="17" t="str">
        <f>IF(VLOOKUP(BQ110,Fundamentus!A:U,12,FALSE)&lt;2,"Subvalorizada",IF(VLOOKUP(BQ110,Fundamentus!A:U,12,FALSE)&lt;6,"Muita barata",IF(VLOOKUP(BQ110,Fundamentus!A:U,12,FALSE)&lt;6,"Barata",IF(VLOOKUP(BQ110,Fundamentus!A:U,12,FALSE)&lt;8,"Atrativa",IF(VLOOKUP(BQ110,Fundamentus!A:U,12,FALSE)&gt;8,"Supervalorizada","n/a")))))</f>
        <v>Muita barata</v>
      </c>
      <c r="ES110" s="17" t="str">
        <f>IF(VLOOKUP(BQ110,Fundamentus!A:U,17,FALSE)&lt;0.1,"Fraco retorno",IF(VLOOKUP(BQ110,Fundamentus!A:U,17,FALSE)&gt;0.1,"Bom retorno","n/a"))</f>
        <v>Fraco retorno</v>
      </c>
      <c r="ET110" s="17" t="str">
        <f>IF(VLOOKUP(BQ110,Fundamentus!A:U,16,FALSE)&lt;0.1,"Ineficiente",IF(VLOOKUP(BQ110,Fundamentus!A:U,16,FALSE)&gt;0.1,"Eficiente","n/a"))</f>
        <v>Eficiente</v>
      </c>
      <c r="EU110" s="33" t="str">
        <f>IF(VLOOKUP(BQ110,Fundamentus!A:U,16,FALSE)&lt;0.1,"Oper. Ineficiente",IF(VLOOKUP(BQ110,Fundamentus!A:U,16,FALSE)&gt;0.1,"Oper.Eficiente","n/a"))</f>
        <v>Oper.Eficiente</v>
      </c>
      <c r="EV110" s="34">
        <f>VLOOKUP(BQ110,Fundamentus!A:U,14,FALSE)</f>
        <v>8.7300000000000003E-2</v>
      </c>
      <c r="EW110" s="17" t="str">
        <f>IF(VLOOKUP(BQ110,Fundamentus!A:U,21,FALSE)&lt;0,"Negativo",IF(VLOOKUP(BQ110,Fundamentus!A:U,21,FALSE)&lt;0.05,"Fraco",IF(VLOOKUP(BQ110,Fundamentus!A:U,21,FALSE)&lt;0.1,"Bom",IF(VLOOKUP(BQ110,Fundamentus!A:U,21,FALSE)&gt;0.1,"Muito bom","n/a"))))</f>
        <v>Muito bom</v>
      </c>
      <c r="EY110" s="29" t="str">
        <f>IF(VLOOKUP(BQ110,Fundamentus!A:U,15,FALSE)&gt;1,"Bom",IF(VLOOKUP(BQ110,Fundamentus!A:U,15,FALSE)&lt;1,"Ruim","n/a"))</f>
        <v>Bom</v>
      </c>
      <c r="EZ110" s="17" t="str">
        <f>IF(VLOOKUP(BQ110,Fundamentus!A:U,20,FALSE)&lt;0.5,"Baixa",IF(VLOOKUP(BQ110,Fundamentus!A:U,20,FALSE)&lt;1,"Moderada",IF(VLOOKUP(BQ110,Fundamentus!A:U,20,FALSE)&lt;2,"Alerta",IF(VLOOKUP(BQ110,Fundamentus!A:U,20,FALSE)&gt;2,"Alta","n/a"))))</f>
        <v>Alerta</v>
      </c>
      <c r="FA110" s="10"/>
    </row>
    <row r="111" spans="1:157" s="2" customFormat="1" ht="11.25" hidden="1" x14ac:dyDescent="0.2">
      <c r="A111" s="4">
        <v>2.97</v>
      </c>
      <c r="B111" s="4">
        <v>2.99</v>
      </c>
      <c r="C111" s="4">
        <v>2.95</v>
      </c>
      <c r="D111" s="4">
        <v>2.9</v>
      </c>
      <c r="E111" s="4">
        <v>2.86</v>
      </c>
      <c r="F111" s="4">
        <v>2.87</v>
      </c>
      <c r="G111" s="4">
        <v>2.67</v>
      </c>
      <c r="H111" s="4">
        <v>2.63</v>
      </c>
      <c r="I111" s="4">
        <v>2.62</v>
      </c>
      <c r="J111" s="4">
        <v>2.73</v>
      </c>
      <c r="K111" s="4">
        <v>2.72</v>
      </c>
      <c r="L111" s="4">
        <v>2.65</v>
      </c>
      <c r="M111" s="4">
        <v>2.63</v>
      </c>
      <c r="N111" s="4">
        <v>2.63</v>
      </c>
      <c r="O111" s="4">
        <v>2.85</v>
      </c>
      <c r="P111" s="4">
        <v>2.86</v>
      </c>
      <c r="Q111" s="4">
        <v>2.9</v>
      </c>
      <c r="R111" s="4">
        <v>2.78</v>
      </c>
      <c r="S111" s="4">
        <v>2.71</v>
      </c>
      <c r="T111" s="4">
        <v>2.72</v>
      </c>
      <c r="U111" s="4">
        <v>2.62</v>
      </c>
      <c r="V111" s="4">
        <v>2.65</v>
      </c>
      <c r="W111" s="4">
        <v>2.66</v>
      </c>
      <c r="X111" s="4">
        <v>2.57</v>
      </c>
      <c r="Y111" s="4">
        <v>2.56</v>
      </c>
      <c r="Z111" s="4">
        <v>2.5499999999999998</v>
      </c>
      <c r="AA111" s="4">
        <v>2.48</v>
      </c>
      <c r="AB111" s="4">
        <v>2.48</v>
      </c>
      <c r="AC111" s="4">
        <v>2.41</v>
      </c>
      <c r="AD111" s="4">
        <v>2.38</v>
      </c>
      <c r="AE111" s="4">
        <v>2.34</v>
      </c>
      <c r="AF111" s="4">
        <v>2.3199999999999998</v>
      </c>
      <c r="AG111" s="4">
        <v>2.2200000000000002</v>
      </c>
      <c r="AH111" s="4">
        <v>2.1</v>
      </c>
      <c r="AI111" s="4">
        <v>2.15</v>
      </c>
      <c r="AJ111" s="4">
        <v>2.12</v>
      </c>
      <c r="AK111" s="4">
        <v>2.06</v>
      </c>
      <c r="AL111" s="4">
        <v>2.1</v>
      </c>
      <c r="AM111" s="4">
        <v>2.0499999999999998</v>
      </c>
      <c r="AN111" s="4">
        <v>2.1800000000000002</v>
      </c>
      <c r="AO111" s="4">
        <v>2.33</v>
      </c>
      <c r="AP111" s="4">
        <v>2.41</v>
      </c>
      <c r="AQ111" s="4">
        <v>2.35</v>
      </c>
      <c r="AR111" s="4">
        <v>2.08</v>
      </c>
      <c r="AS111" s="4">
        <v>2.13</v>
      </c>
      <c r="AT111" s="4">
        <v>2.19</v>
      </c>
      <c r="AU111" s="4">
        <v>2.21</v>
      </c>
      <c r="AV111" s="4">
        <v>2.17</v>
      </c>
      <c r="AW111" s="4">
        <v>2.13</v>
      </c>
      <c r="AX111" s="4">
        <v>2.21</v>
      </c>
      <c r="AY111" s="12">
        <v>2.2400000000000002</v>
      </c>
      <c r="AZ111" s="12">
        <v>2.35</v>
      </c>
      <c r="BA111" s="12">
        <v>2.3199999999999998</v>
      </c>
      <c r="BB111" s="15">
        <v>2.4700000000000002</v>
      </c>
      <c r="BC111" s="52">
        <v>2.52</v>
      </c>
      <c r="BD111" s="52">
        <v>2.58</v>
      </c>
      <c r="BE111" s="52">
        <v>2.72</v>
      </c>
      <c r="BF111" s="52">
        <v>2.69</v>
      </c>
      <c r="BG111" s="67">
        <v>2.65</v>
      </c>
      <c r="BH111" s="52">
        <v>2.6</v>
      </c>
      <c r="BI111" s="52">
        <v>2.77</v>
      </c>
      <c r="BJ111" s="52">
        <v>2.8</v>
      </c>
      <c r="BK111" s="52">
        <v>2.64</v>
      </c>
      <c r="BL111" s="52">
        <v>2.48</v>
      </c>
      <c r="BM111" s="52">
        <v>2.5</v>
      </c>
      <c r="BN111" s="52">
        <v>2.44</v>
      </c>
      <c r="BO111" s="52">
        <v>2.56</v>
      </c>
      <c r="BP111" s="52" cm="1">
        <f t="array" aca="1" ref="BP111" ca="1">_FV(ED111,"Preço")</f>
        <v>2.71</v>
      </c>
      <c r="BQ111" s="69" t="s">
        <v>108</v>
      </c>
      <c r="BR111" s="36" cm="1">
        <f t="array" aca="1" ref="BR111" ca="1">_FV(ED111,"Média de volume",TRUE)</f>
        <v>73150</v>
      </c>
      <c r="BS111" s="36">
        <v>37900</v>
      </c>
      <c r="BT111" s="36" cm="1">
        <f t="array" aca="1" ref="BT111" ca="1">_FV(ED111,"Volume")</f>
        <v>36900</v>
      </c>
      <c r="BU111" s="24" cm="1">
        <f t="array" aca="1" ref="BU111" ca="1">_FV(ED111,"Beta")</f>
        <v>1.0396000000000001</v>
      </c>
      <c r="BV111" s="71" cm="1">
        <f t="array" aca="1" ref="BV111" ca="1">_FV(ED111,"Variação (%)",TRUE)</f>
        <v>3.0417999999999997E-2</v>
      </c>
      <c r="BX111" s="17" cm="1">
        <f t="array" aca="1" ref="BX111" ca="1">_FV(ED111,"Baixo")</f>
        <v>2.63</v>
      </c>
      <c r="BY111" s="17" cm="1">
        <f t="array" aca="1" ref="BY111" ca="1">_FV(ED111,"Alto")</f>
        <v>2.75</v>
      </c>
      <c r="BZ111" s="24"/>
      <c r="CA111" s="63">
        <f ca="1">SQRT(22.5*(BP111/VLOOKUP(BQ111,Fundamentus!A:U,3,FALSE))*(BP111/VLOOKUP(BQ111,Fundamentus!A:U,4,FALSE)))</f>
        <v>3.4468466632130883</v>
      </c>
      <c r="CC111" s="62">
        <f t="shared" ca="1" si="112"/>
        <v>5.8593749999999965E-2</v>
      </c>
      <c r="CD111" s="8"/>
      <c r="CE111" s="61">
        <f t="shared" si="113"/>
        <v>2.0499999999999998</v>
      </c>
      <c r="CF111" s="61">
        <f t="shared" si="114"/>
        <v>2.99</v>
      </c>
      <c r="CG111" s="61">
        <f t="shared" si="115"/>
        <v>2.5101492537313428</v>
      </c>
      <c r="CH111" s="14"/>
      <c r="CI111" s="35">
        <f t="shared" si="98"/>
        <v>2.4005152338067046</v>
      </c>
      <c r="CJ111" s="15">
        <f t="shared" si="116"/>
        <v>2.5400000000000063</v>
      </c>
      <c r="CK111" s="35">
        <f t="shared" si="99"/>
        <v>2.6794847661933079</v>
      </c>
      <c r="CM111" s="14"/>
      <c r="CN111" s="17">
        <f t="shared" si="100"/>
        <v>1.1366666666666658</v>
      </c>
      <c r="CO111" s="17">
        <f t="shared" si="101"/>
        <v>1.5933333333333328</v>
      </c>
      <c r="CP111" s="17">
        <f t="shared" si="102"/>
        <v>2.0766666666666662</v>
      </c>
      <c r="CQ111" s="38">
        <f t="shared" si="117"/>
        <v>2.5333333333333332</v>
      </c>
      <c r="CR111" s="17">
        <f t="shared" si="103"/>
        <v>3.0166666666666666</v>
      </c>
      <c r="CS111" s="17">
        <f t="shared" si="104"/>
        <v>3.4733333333333336</v>
      </c>
      <c r="CT111" s="17">
        <f t="shared" si="105"/>
        <v>3.956666666666667</v>
      </c>
      <c r="CU111" s="2" cm="1">
        <f t="array" aca="1" ref="CU111" ca="1">MAX(_xlfn._xlws.FILTER(CN111:CT111,CN111:CT111&lt;BP111))</f>
        <v>2.5333333333333332</v>
      </c>
      <c r="CV111" s="2" cm="1">
        <f t="array" aca="1" ref="CV111" ca="1">MIN(_xlfn._xlws.FILTER($CN111:$CT111,$CN111:$CT111&gt;BP111))</f>
        <v>3.0166666666666666</v>
      </c>
      <c r="CW111" s="16">
        <f t="shared" ca="1" si="119"/>
        <v>0.19078947368421062</v>
      </c>
      <c r="CX111" s="20">
        <f t="shared" ca="1" si="120"/>
        <v>-9.539473684210531E-2</v>
      </c>
      <c r="CY111" s="20">
        <f t="shared" ca="1" si="121"/>
        <v>-6.3596491228070207E-2</v>
      </c>
      <c r="CZ111" s="20">
        <f t="shared" ca="1" si="122"/>
        <v>-3.8157894736842127E-2</v>
      </c>
      <c r="DA111" s="20">
        <f t="shared" ca="1" si="123"/>
        <v>-2.1198830409356734E-2</v>
      </c>
      <c r="DB111" s="20">
        <f t="shared" ca="1" si="124"/>
        <v>-1.1222910216718271E-2</v>
      </c>
      <c r="DC111" s="20">
        <f t="shared" ca="1" si="125"/>
        <v>-5.7814992025518371E-3</v>
      </c>
      <c r="DD111" s="20">
        <f t="shared" ca="1" si="126"/>
        <v>-2.9352226720647787E-3</v>
      </c>
      <c r="DE111" s="21">
        <f t="shared" ca="1" si="127"/>
        <v>2.9352226720647787E-3</v>
      </c>
      <c r="DF111" s="21">
        <f t="shared" ca="1" si="128"/>
        <v>5.7814992025518371E-3</v>
      </c>
      <c r="DG111" s="21">
        <f t="shared" ca="1" si="129"/>
        <v>1.1222910216718271E-2</v>
      </c>
      <c r="DH111" s="21">
        <f t="shared" ca="1" si="130"/>
        <v>2.1198830409356734E-2</v>
      </c>
      <c r="DI111" s="21">
        <f t="shared" ca="1" si="131"/>
        <v>3.8157894736842127E-2</v>
      </c>
      <c r="DJ111" s="21">
        <f t="shared" ca="1" si="132"/>
        <v>6.3596491228070207E-2</v>
      </c>
      <c r="DK111" s="21">
        <f t="shared" ca="1" si="133"/>
        <v>9.539473684210531E-2</v>
      </c>
      <c r="DM111" s="16" cm="1">
        <f t="array" aca="1" ref="DM111" ca="1">MAX(_xlfn._xlws.FILTER(CX111:DK111,CX111:DK111&lt;BV111))</f>
        <v>2.1198830409356734E-2</v>
      </c>
      <c r="DN111" s="16" cm="1">
        <f t="array" aca="1" ref="DN111" ca="1">MIN(_xlfn._xlws.FILTER(CX111:DK111,CX111:DK111&gt;BV111))</f>
        <v>3.8157894736842127E-2</v>
      </c>
      <c r="DO111" s="2" cm="1">
        <f t="array" aca="1" ref="DO111" ca="1">_FV(ED111,"Fechamento anterior",TRUE)</f>
        <v>2.63</v>
      </c>
      <c r="DP111" s="28">
        <f t="shared" ca="1" si="106"/>
        <v>0.54362790087845692</v>
      </c>
      <c r="DQ111" s="15">
        <f t="shared" ca="1" si="134"/>
        <v>2.685752923976608</v>
      </c>
      <c r="DR111" s="15">
        <f t="shared" ca="1" si="135"/>
        <v>2.7303552631578949</v>
      </c>
      <c r="DS111" s="9"/>
      <c r="DT111" s="9"/>
      <c r="DU111" s="9"/>
      <c r="DV111" s="89">
        <v>5.4414110141664338E-3</v>
      </c>
      <c r="DW111" s="89">
        <f t="shared" ca="1" si="107"/>
        <v>1.6959064327485392E-2</v>
      </c>
      <c r="DX111" s="72">
        <f t="shared" ca="1" si="108"/>
        <v>1.2187710861873136</v>
      </c>
      <c r="DY111" s="37"/>
      <c r="DZ111" s="35">
        <f t="shared" si="118"/>
        <v>6.9742383096650845E-2</v>
      </c>
      <c r="EA111" s="56"/>
      <c r="EB111" s="56"/>
      <c r="ED111" s="2" t="e" vm="111">
        <v>#VALUE!</v>
      </c>
      <c r="EF111" s="10" cm="1">
        <f t="array" aca="1" ref="EF111" ca="1">_FV(ED111,"Ações em circulação",TRUE)</f>
        <v>1206361000</v>
      </c>
      <c r="EG111" s="18">
        <f>VLOOKUP(BQ111,Fundamentus!A:U,5,FALSE)</f>
        <v>4.0279999999999996</v>
      </c>
      <c r="EH111" s="2">
        <f t="shared" ca="1" si="109"/>
        <v>811628180.23833179</v>
      </c>
      <c r="EI111" s="17">
        <v>257612581.37040719</v>
      </c>
      <c r="EJ111" s="17">
        <f t="shared" ca="1" si="110"/>
        <v>272707068.56007951</v>
      </c>
      <c r="EL111" s="16">
        <f t="shared" ca="1" si="97"/>
        <v>5.859375E-2</v>
      </c>
      <c r="EM111" s="32" t="str">
        <f>IF(VLOOKUP(BQ111,Fundamentus!A:U,3,FALSE)&lt;15,"Bom",IF(VLOOKUP(BQ111,Fundamentus!A:U,3,FALSE)&gt;15,"Ruim","n/a"))</f>
        <v>Bom</v>
      </c>
      <c r="EN111" s="28" t="str">
        <f>IF(VLOOKUP(BQ111,Fundamentus!A:U,4,FALSE)&lt;1,"Baixo",IF(VLOOKUP(BQ111,Fundamentus!A:U,4,FALSE)&lt;1.5,"Moderado",IF(VLOOKUP(BQ111,Fundamentus!A:U,4,FALSE)&gt;1.5,"Alto","n/a")))</f>
        <v>Moderado</v>
      </c>
      <c r="EO111" s="17" t="str">
        <f>IF(VLOOKUP(BQ111,Fundamentus!A:U,8,FALSE)&lt;0,"Risco elevado",IF(VLOOKUP(BQ111,Fundamentus!A:U,8,FALSE)&lt;1,"Saudável",IF(VLOOKUP(BQ111,Fundamentus!A:U,8,FALSE)&lt;3,"Estável",IF(VLOOKUP(BQ111,Fundamentus!A:U,8,FALSE)&gt;3,"Alerta","n/a"))))</f>
        <v>Estável</v>
      </c>
      <c r="EP111" s="28" t="str">
        <f t="shared" si="111"/>
        <v>Bom</v>
      </c>
      <c r="EQ111" s="17" t="str">
        <f>IF(VLOOKUP(BQ111,Fundamentus!A:U,12,FALSE)&lt;2,"Subvalorizada",IF(VLOOKUP(BQ111,Fundamentus!A:U,12,FALSE)&lt;6,"Muita barata",IF(VLOOKUP(BQ111,Fundamentus!A:U,12,FALSE)&lt;6,"Barata",IF(VLOOKUP(BQ111,Fundamentus!A:U,12,FALSE)&lt;8,"Atrativa",IF(VLOOKUP(BQ111,Fundamentus!A:U,12,FALSE)&gt;8,"Supervalorizada","n/a")))))</f>
        <v>Atrativa</v>
      </c>
      <c r="ES111" s="17" t="str">
        <f>IF(VLOOKUP(BQ111,Fundamentus!A:U,17,FALSE)&lt;0.1,"Fraco retorno",IF(VLOOKUP(BQ111,Fundamentus!A:U,17,FALSE)&gt;0.1,"Bom retorno","n/a"))</f>
        <v>Fraco retorno</v>
      </c>
      <c r="ET111" s="17" t="str">
        <f>IF(VLOOKUP(BQ111,Fundamentus!A:U,16,FALSE)&lt;0.1,"Ineficiente",IF(VLOOKUP(BQ111,Fundamentus!A:U,16,FALSE)&gt;0.1,"Eficiente","n/a"))</f>
        <v>Eficiente</v>
      </c>
      <c r="EU111" s="33" t="str">
        <f>IF(VLOOKUP(BQ111,Fundamentus!A:U,16,FALSE)&lt;0.1,"Oper. Ineficiente",IF(VLOOKUP(BQ111,Fundamentus!A:U,16,FALSE)&gt;0.1,"Oper.Eficiente","n/a"))</f>
        <v>Oper.Eficiente</v>
      </c>
      <c r="EV111" s="34">
        <f>VLOOKUP(BQ111,Fundamentus!A:U,14,FALSE)</f>
        <v>0.33600000000000002</v>
      </c>
      <c r="EW111" s="17" t="str">
        <f>IF(VLOOKUP(BQ111,Fundamentus!A:U,21,FALSE)&lt;0,"Negativo",IF(VLOOKUP(BQ111,Fundamentus!A:U,21,FALSE)&lt;0.05,"Fraco",IF(VLOOKUP(BQ111,Fundamentus!A:U,21,FALSE)&lt;0.1,"Bom",IF(VLOOKUP(BQ111,Fundamentus!A:U,21,FALSE)&gt;0.1,"Muito bom","n/a"))))</f>
        <v>Muito bom</v>
      </c>
      <c r="EY111" s="29" t="str">
        <f>IF(VLOOKUP(BQ111,Fundamentus!A:U,15,FALSE)&gt;1,"Bom",IF(VLOOKUP(BQ111,Fundamentus!A:U,15,FALSE)&lt;1,"Ruim","n/a"))</f>
        <v>Bom</v>
      </c>
      <c r="EZ111" s="17" t="str">
        <f>IF(VLOOKUP(BQ111,Fundamentus!A:U,20,FALSE)&lt;0.5,"Baixa",IF(VLOOKUP(BQ111,Fundamentus!A:U,20,FALSE)&lt;1,"Moderada",IF(VLOOKUP(BQ111,Fundamentus!A:U,20,FALSE)&lt;2,"Alerta",IF(VLOOKUP(BQ111,Fundamentus!A:U,20,FALSE)&gt;2,"Alta","n/a"))))</f>
        <v>Moderada</v>
      </c>
      <c r="FA111" s="10"/>
    </row>
    <row r="112" spans="1:157" s="2" customFormat="1" ht="11.25" hidden="1" x14ac:dyDescent="0.2">
      <c r="A112" s="4">
        <v>2.97</v>
      </c>
      <c r="B112" s="4">
        <v>2.99</v>
      </c>
      <c r="C112" s="4">
        <v>2.95</v>
      </c>
      <c r="D112" s="4">
        <v>2.9</v>
      </c>
      <c r="E112" s="4">
        <v>2.86</v>
      </c>
      <c r="F112" s="4">
        <v>2.87</v>
      </c>
      <c r="G112" s="4">
        <v>2.67</v>
      </c>
      <c r="H112" s="4">
        <v>2.63</v>
      </c>
      <c r="I112" s="4">
        <v>2.62</v>
      </c>
      <c r="J112" s="4">
        <v>2.73</v>
      </c>
      <c r="K112" s="4">
        <v>2.72</v>
      </c>
      <c r="L112" s="4">
        <v>2.65</v>
      </c>
      <c r="M112" s="4">
        <v>2.63</v>
      </c>
      <c r="N112" s="4">
        <v>2.63</v>
      </c>
      <c r="O112" s="4">
        <v>2.85</v>
      </c>
      <c r="P112" s="4">
        <v>2.86</v>
      </c>
      <c r="Q112" s="4">
        <v>2.9</v>
      </c>
      <c r="R112" s="4">
        <v>2.78</v>
      </c>
      <c r="S112" s="4">
        <v>2.71</v>
      </c>
      <c r="T112" s="4">
        <v>2.72</v>
      </c>
      <c r="U112" s="4">
        <v>2.62</v>
      </c>
      <c r="V112" s="4">
        <v>2.65</v>
      </c>
      <c r="W112" s="4">
        <v>2.66</v>
      </c>
      <c r="X112" s="4">
        <v>2.57</v>
      </c>
      <c r="Y112" s="4">
        <v>2.56</v>
      </c>
      <c r="Z112" s="4">
        <v>2.5499999999999998</v>
      </c>
      <c r="AA112" s="4">
        <v>2.48</v>
      </c>
      <c r="AB112" s="4">
        <v>2.48</v>
      </c>
      <c r="AC112" s="4">
        <v>2.41</v>
      </c>
      <c r="AD112" s="4">
        <v>2.38</v>
      </c>
      <c r="AE112" s="4">
        <v>2.34</v>
      </c>
      <c r="AF112" s="4">
        <v>2.3199999999999998</v>
      </c>
      <c r="AG112" s="4">
        <v>2.2200000000000002</v>
      </c>
      <c r="AH112" s="4">
        <v>2.1</v>
      </c>
      <c r="AI112" s="4">
        <v>2.15</v>
      </c>
      <c r="AJ112" s="4">
        <v>2.12</v>
      </c>
      <c r="AK112" s="4">
        <v>2.06</v>
      </c>
      <c r="AL112" s="4">
        <v>2.1</v>
      </c>
      <c r="AM112" s="4">
        <v>2.0499999999999998</v>
      </c>
      <c r="AN112" s="4">
        <v>2.1800000000000002</v>
      </c>
      <c r="AO112" s="4">
        <v>2.33</v>
      </c>
      <c r="AP112" s="4">
        <v>2.41</v>
      </c>
      <c r="AQ112" s="4">
        <v>2.35</v>
      </c>
      <c r="AR112" s="4">
        <v>2.08</v>
      </c>
      <c r="AS112" s="4">
        <v>2.13</v>
      </c>
      <c r="AT112" s="4">
        <v>2.19</v>
      </c>
      <c r="AU112" s="4">
        <v>2.21</v>
      </c>
      <c r="AV112" s="4">
        <v>2.17</v>
      </c>
      <c r="AW112" s="4">
        <v>2.13</v>
      </c>
      <c r="AX112" s="4">
        <v>2.21</v>
      </c>
      <c r="AY112" s="12">
        <v>2.2400000000000002</v>
      </c>
      <c r="AZ112" s="12">
        <v>2.35</v>
      </c>
      <c r="BA112" s="12">
        <v>2.3199999999999998</v>
      </c>
      <c r="BB112" s="15">
        <v>2.4700000000000002</v>
      </c>
      <c r="BC112" s="52">
        <v>2.52</v>
      </c>
      <c r="BD112" s="52">
        <v>2.58</v>
      </c>
      <c r="BE112" s="52">
        <v>2.72</v>
      </c>
      <c r="BF112" s="52">
        <v>2.69</v>
      </c>
      <c r="BG112" s="67">
        <v>2.65</v>
      </c>
      <c r="BH112" s="52">
        <v>2.6</v>
      </c>
      <c r="BI112" s="52">
        <v>2.77</v>
      </c>
      <c r="BJ112" s="52">
        <v>2.8</v>
      </c>
      <c r="BK112" s="52">
        <v>2.64</v>
      </c>
      <c r="BL112" s="52">
        <v>2.48</v>
      </c>
      <c r="BM112" s="52">
        <v>2.5</v>
      </c>
      <c r="BN112" s="52">
        <v>2.44</v>
      </c>
      <c r="BO112" s="52">
        <v>2.56</v>
      </c>
      <c r="BP112" s="52" cm="1">
        <f t="array" aca="1" ref="BP112" ca="1">_FV(ED112,"Preço")</f>
        <v>2.71</v>
      </c>
      <c r="BQ112" s="69" t="s">
        <v>108</v>
      </c>
      <c r="BR112" s="36" cm="1">
        <f t="array" aca="1" ref="BR112" ca="1">_FV(ED112,"Média de volume",TRUE)</f>
        <v>73150</v>
      </c>
      <c r="BS112" s="36">
        <v>37900</v>
      </c>
      <c r="BT112" s="36" cm="1">
        <f t="array" aca="1" ref="BT112" ca="1">_FV(ED112,"Volume")</f>
        <v>36900</v>
      </c>
      <c r="BU112" s="24" cm="1">
        <f t="array" aca="1" ref="BU112" ca="1">_FV(ED112,"Beta")</f>
        <v>1.0396000000000001</v>
      </c>
      <c r="BV112" s="71" cm="1">
        <f t="array" aca="1" ref="BV112" ca="1">_FV(ED112,"Variação (%)",TRUE)</f>
        <v>3.0417999999999997E-2</v>
      </c>
      <c r="BX112" s="17" cm="1">
        <f t="array" aca="1" ref="BX112" ca="1">_FV(ED112,"Baixo")</f>
        <v>2.63</v>
      </c>
      <c r="BY112" s="17" cm="1">
        <f t="array" aca="1" ref="BY112" ca="1">_FV(ED112,"Alto")</f>
        <v>2.75</v>
      </c>
      <c r="BZ112" s="24"/>
      <c r="CA112" s="63">
        <f ca="1">SQRT(22.5*(BP112/VLOOKUP(BQ112,Fundamentus!A:U,3,FALSE))*(BP112/VLOOKUP(BQ112,Fundamentus!A:U,4,FALSE)))</f>
        <v>3.4468466632130883</v>
      </c>
      <c r="CC112" s="62">
        <f t="shared" ca="1" si="112"/>
        <v>5.8593749999999965E-2</v>
      </c>
      <c r="CD112" s="8"/>
      <c r="CE112" s="61">
        <f t="shared" si="113"/>
        <v>2.0499999999999998</v>
      </c>
      <c r="CF112" s="61">
        <f t="shared" si="114"/>
        <v>2.99</v>
      </c>
      <c r="CG112" s="61">
        <f t="shared" si="115"/>
        <v>2.5101492537313428</v>
      </c>
      <c r="CH112" s="14"/>
      <c r="CI112" s="35">
        <f t="shared" si="98"/>
        <v>2.4005152338067046</v>
      </c>
      <c r="CJ112" s="15">
        <f t="shared" si="116"/>
        <v>2.5400000000000063</v>
      </c>
      <c r="CK112" s="35">
        <f t="shared" si="99"/>
        <v>2.6794847661933079</v>
      </c>
      <c r="CM112" s="14"/>
      <c r="CN112" s="17">
        <f t="shared" si="100"/>
        <v>1.1366666666666658</v>
      </c>
      <c r="CO112" s="17">
        <f t="shared" si="101"/>
        <v>1.5933333333333328</v>
      </c>
      <c r="CP112" s="17">
        <f t="shared" si="102"/>
        <v>2.0766666666666662</v>
      </c>
      <c r="CQ112" s="38">
        <f t="shared" si="117"/>
        <v>2.5333333333333332</v>
      </c>
      <c r="CR112" s="17">
        <f t="shared" si="103"/>
        <v>3.0166666666666666</v>
      </c>
      <c r="CS112" s="17">
        <f t="shared" si="104"/>
        <v>3.4733333333333336</v>
      </c>
      <c r="CT112" s="17">
        <f t="shared" si="105"/>
        <v>3.956666666666667</v>
      </c>
      <c r="CU112" s="2" cm="1">
        <f t="array" aca="1" ref="CU112" ca="1">MAX(_xlfn._xlws.FILTER(CN112:CT112,CN112:CT112&lt;BP112))</f>
        <v>2.5333333333333332</v>
      </c>
      <c r="CV112" s="2" cm="1">
        <f t="array" aca="1" ref="CV112" ca="1">MIN(_xlfn._xlws.FILTER($CN112:$CT112,$CN112:$CT112&gt;BP112))</f>
        <v>3.0166666666666666</v>
      </c>
      <c r="CW112" s="16">
        <f t="shared" ca="1" si="119"/>
        <v>0.19078947368421062</v>
      </c>
      <c r="CX112" s="20">
        <f t="shared" ca="1" si="120"/>
        <v>-9.539473684210531E-2</v>
      </c>
      <c r="CY112" s="20">
        <f t="shared" ca="1" si="121"/>
        <v>-6.3596491228070207E-2</v>
      </c>
      <c r="CZ112" s="20">
        <f t="shared" ca="1" si="122"/>
        <v>-3.8157894736842127E-2</v>
      </c>
      <c r="DA112" s="20">
        <f t="shared" ca="1" si="123"/>
        <v>-2.1198830409356734E-2</v>
      </c>
      <c r="DB112" s="20">
        <f t="shared" ca="1" si="124"/>
        <v>-1.1222910216718271E-2</v>
      </c>
      <c r="DC112" s="20">
        <f t="shared" ca="1" si="125"/>
        <v>-5.7814992025518371E-3</v>
      </c>
      <c r="DD112" s="20">
        <f t="shared" ca="1" si="126"/>
        <v>-2.9352226720647787E-3</v>
      </c>
      <c r="DE112" s="21">
        <f t="shared" ca="1" si="127"/>
        <v>2.9352226720647787E-3</v>
      </c>
      <c r="DF112" s="21">
        <f t="shared" ca="1" si="128"/>
        <v>5.7814992025518371E-3</v>
      </c>
      <c r="DG112" s="21">
        <f t="shared" ca="1" si="129"/>
        <v>1.1222910216718271E-2</v>
      </c>
      <c r="DH112" s="21">
        <f t="shared" ca="1" si="130"/>
        <v>2.1198830409356734E-2</v>
      </c>
      <c r="DI112" s="21">
        <f t="shared" ca="1" si="131"/>
        <v>3.8157894736842127E-2</v>
      </c>
      <c r="DJ112" s="21">
        <f t="shared" ca="1" si="132"/>
        <v>6.3596491228070207E-2</v>
      </c>
      <c r="DK112" s="21">
        <f t="shared" ca="1" si="133"/>
        <v>9.539473684210531E-2</v>
      </c>
      <c r="DM112" s="16" cm="1">
        <f t="array" aca="1" ref="DM112" ca="1">MAX(_xlfn._xlws.FILTER(CX112:DK112,CX112:DK112&lt;BV112))</f>
        <v>2.1198830409356734E-2</v>
      </c>
      <c r="DN112" s="16" cm="1">
        <f t="array" aca="1" ref="DN112" ca="1">MIN(_xlfn._xlws.FILTER(CX112:DK112,CX112:DK112&gt;BV112))</f>
        <v>3.8157894736842127E-2</v>
      </c>
      <c r="DO112" s="2" cm="1">
        <f t="array" aca="1" ref="DO112" ca="1">_FV(ED112,"Fechamento anterior",TRUE)</f>
        <v>2.63</v>
      </c>
      <c r="DP112" s="28">
        <f t="shared" ca="1" si="106"/>
        <v>0.54362790087845692</v>
      </c>
      <c r="DQ112" s="15">
        <f t="shared" ca="1" si="134"/>
        <v>2.685752923976608</v>
      </c>
      <c r="DR112" s="15">
        <f t="shared" ca="1" si="135"/>
        <v>2.7303552631578949</v>
      </c>
      <c r="DS112" s="9"/>
      <c r="DT112" s="9"/>
      <c r="DU112" s="9"/>
      <c r="DV112" s="89">
        <v>5.4414110141664338E-3</v>
      </c>
      <c r="DW112" s="89">
        <f t="shared" ca="1" si="107"/>
        <v>1.6959064327485392E-2</v>
      </c>
      <c r="DX112" s="72">
        <f t="shared" ca="1" si="108"/>
        <v>1.2187710861873136</v>
      </c>
      <c r="DY112" s="37"/>
      <c r="DZ112" s="35">
        <f t="shared" si="118"/>
        <v>6.9742383096650845E-2</v>
      </c>
      <c r="EA112" s="56"/>
      <c r="EB112" s="56"/>
      <c r="ED112" s="2" t="e" vm="111">
        <v>#VALUE!</v>
      </c>
      <c r="EF112" s="10" cm="1">
        <f t="array" aca="1" ref="EF112" ca="1">_FV(ED112,"Ações em circulação",TRUE)</f>
        <v>1206361000</v>
      </c>
      <c r="EG112" s="18">
        <f>VLOOKUP(BQ112,Fundamentus!A:U,5,FALSE)</f>
        <v>4.0279999999999996</v>
      </c>
      <c r="EH112" s="2">
        <f t="shared" ca="1" si="109"/>
        <v>811628180.23833179</v>
      </c>
      <c r="EI112" s="17">
        <v>257612581.37040719</v>
      </c>
      <c r="EJ112" s="17">
        <f t="shared" ca="1" si="110"/>
        <v>272707068.56007951</v>
      </c>
      <c r="EL112" s="16">
        <f t="shared" ca="1" si="97"/>
        <v>5.859375E-2</v>
      </c>
      <c r="EM112" s="32" t="str">
        <f>IF(VLOOKUP(BQ112,Fundamentus!A:U,3,FALSE)&lt;15,"Bom",IF(VLOOKUP(BQ112,Fundamentus!A:U,3,FALSE)&gt;15,"Ruim","n/a"))</f>
        <v>Bom</v>
      </c>
      <c r="EN112" s="28" t="str">
        <f>IF(VLOOKUP(BQ112,Fundamentus!A:U,4,FALSE)&lt;1,"Baixo",IF(VLOOKUP(BQ112,Fundamentus!A:U,4,FALSE)&lt;1.5,"Moderado",IF(VLOOKUP(BQ112,Fundamentus!A:U,4,FALSE)&gt;1.5,"Alto","n/a")))</f>
        <v>Moderado</v>
      </c>
      <c r="EO112" s="17" t="str">
        <f>IF(VLOOKUP(BQ112,Fundamentus!A:U,8,FALSE)&lt;0,"Risco elevado",IF(VLOOKUP(BQ112,Fundamentus!A:U,8,FALSE)&lt;1,"Saudável",IF(VLOOKUP(BQ112,Fundamentus!A:U,8,FALSE)&lt;3,"Estável",IF(VLOOKUP(BQ112,Fundamentus!A:U,8,FALSE)&gt;3,"Alerta","n/a"))))</f>
        <v>Estável</v>
      </c>
      <c r="EP112" s="28" t="str">
        <f t="shared" si="111"/>
        <v>Bom</v>
      </c>
      <c r="EQ112" s="17" t="str">
        <f>IF(VLOOKUP(BQ112,Fundamentus!A:U,12,FALSE)&lt;2,"Subvalorizada",IF(VLOOKUP(BQ112,Fundamentus!A:U,12,FALSE)&lt;6,"Muita barata",IF(VLOOKUP(BQ112,Fundamentus!A:U,12,FALSE)&lt;6,"Barata",IF(VLOOKUP(BQ112,Fundamentus!A:U,12,FALSE)&lt;8,"Atrativa",IF(VLOOKUP(BQ112,Fundamentus!A:U,12,FALSE)&gt;8,"Supervalorizada","n/a")))))</f>
        <v>Atrativa</v>
      </c>
      <c r="ES112" s="17" t="str">
        <f>IF(VLOOKUP(BQ112,Fundamentus!A:U,17,FALSE)&lt;0.1,"Fraco retorno",IF(VLOOKUP(BQ112,Fundamentus!A:U,17,FALSE)&gt;0.1,"Bom retorno","n/a"))</f>
        <v>Fraco retorno</v>
      </c>
      <c r="ET112" s="17" t="str">
        <f>IF(VLOOKUP(BQ112,Fundamentus!A:U,16,FALSE)&lt;0.1,"Ineficiente",IF(VLOOKUP(BQ112,Fundamentus!A:U,16,FALSE)&gt;0.1,"Eficiente","n/a"))</f>
        <v>Eficiente</v>
      </c>
      <c r="EU112" s="33" t="str">
        <f>IF(VLOOKUP(BQ112,Fundamentus!A:U,16,FALSE)&lt;0.1,"Oper. Ineficiente",IF(VLOOKUP(BQ112,Fundamentus!A:U,16,FALSE)&gt;0.1,"Oper.Eficiente","n/a"))</f>
        <v>Oper.Eficiente</v>
      </c>
      <c r="EV112" s="34">
        <f>VLOOKUP(BQ112,Fundamentus!A:U,14,FALSE)</f>
        <v>0.33600000000000002</v>
      </c>
      <c r="EW112" s="17" t="str">
        <f>IF(VLOOKUP(BQ112,Fundamentus!A:U,21,FALSE)&lt;0,"Negativo",IF(VLOOKUP(BQ112,Fundamentus!A:U,21,FALSE)&lt;0.05,"Fraco",IF(VLOOKUP(BQ112,Fundamentus!A:U,21,FALSE)&lt;0.1,"Bom",IF(VLOOKUP(BQ112,Fundamentus!A:U,21,FALSE)&gt;0.1,"Muito bom","n/a"))))</f>
        <v>Muito bom</v>
      </c>
      <c r="EY112" s="29" t="str">
        <f>IF(VLOOKUP(BQ112,Fundamentus!A:U,15,FALSE)&gt;1,"Bom",IF(VLOOKUP(BQ112,Fundamentus!A:U,15,FALSE)&lt;1,"Ruim","n/a"))</f>
        <v>Bom</v>
      </c>
      <c r="EZ112" s="17" t="str">
        <f>IF(VLOOKUP(BQ112,Fundamentus!A:U,20,FALSE)&lt;0.5,"Baixa",IF(VLOOKUP(BQ112,Fundamentus!A:U,20,FALSE)&lt;1,"Moderada",IF(VLOOKUP(BQ112,Fundamentus!A:U,20,FALSE)&lt;2,"Alerta",IF(VLOOKUP(BQ112,Fundamentus!A:U,20,FALSE)&gt;2,"Alta","n/a"))))</f>
        <v>Moderada</v>
      </c>
      <c r="FA112" s="10"/>
    </row>
    <row r="113" spans="1:157" s="2" customFormat="1" ht="11.25" hidden="1" x14ac:dyDescent="0.2">
      <c r="A113" s="4">
        <v>10.25</v>
      </c>
      <c r="B113" s="4">
        <v>10.039999999999999</v>
      </c>
      <c r="C113" s="4">
        <v>9.89</v>
      </c>
      <c r="D113" s="4">
        <v>9.8800000000000008</v>
      </c>
      <c r="E113" s="4">
        <v>9.8800000000000008</v>
      </c>
      <c r="F113" s="4">
        <v>9.86</v>
      </c>
      <c r="G113" s="4">
        <v>9.8800000000000008</v>
      </c>
      <c r="H113" s="4">
        <v>9</v>
      </c>
      <c r="I113" s="4">
        <v>9.6</v>
      </c>
      <c r="J113" s="4">
        <v>9.8699999999999992</v>
      </c>
      <c r="K113" s="4">
        <v>10.06</v>
      </c>
      <c r="L113" s="4">
        <v>10.31</v>
      </c>
      <c r="M113" s="4">
        <v>10.57</v>
      </c>
      <c r="N113" s="4">
        <v>10.86</v>
      </c>
      <c r="O113" s="4">
        <v>11.5</v>
      </c>
      <c r="P113" s="4">
        <v>11.2</v>
      </c>
      <c r="Q113" s="4">
        <v>11.51</v>
      </c>
      <c r="R113" s="4">
        <v>11.17</v>
      </c>
      <c r="S113" s="4">
        <v>11.2</v>
      </c>
      <c r="T113" s="4">
        <v>11.07</v>
      </c>
      <c r="U113" s="4">
        <v>10.050000000000001</v>
      </c>
      <c r="V113" s="4">
        <v>9.99</v>
      </c>
      <c r="W113" s="4">
        <v>9.75</v>
      </c>
      <c r="X113" s="4">
        <v>9.41</v>
      </c>
      <c r="Y113" s="4">
        <v>9.15</v>
      </c>
      <c r="Z113" s="4">
        <v>9.4</v>
      </c>
      <c r="AA113" s="4">
        <v>9.89</v>
      </c>
      <c r="AB113" s="4">
        <v>9.9499999999999993</v>
      </c>
      <c r="AC113" s="4">
        <v>10.39</v>
      </c>
      <c r="AD113" s="4">
        <v>10.199999999999999</v>
      </c>
      <c r="AE113" s="4">
        <v>9.84</v>
      </c>
      <c r="AF113" s="4">
        <v>9.76</v>
      </c>
      <c r="AG113" s="4">
        <v>9.5500000000000007</v>
      </c>
      <c r="AH113" s="4">
        <v>9.4499999999999993</v>
      </c>
      <c r="AI113" s="4">
        <v>9.51</v>
      </c>
      <c r="AJ113" s="4">
        <v>9.11</v>
      </c>
      <c r="AK113" s="4">
        <v>9.42</v>
      </c>
      <c r="AL113" s="4">
        <v>9.49</v>
      </c>
      <c r="AM113" s="4">
        <v>9.9499999999999993</v>
      </c>
      <c r="AN113" s="4">
        <v>10.31</v>
      </c>
      <c r="AO113" s="4">
        <v>9.9499999999999993</v>
      </c>
      <c r="AP113" s="4">
        <v>9.9499999999999993</v>
      </c>
      <c r="AQ113" s="4">
        <v>9.61</v>
      </c>
      <c r="AR113" s="4">
        <v>7.83</v>
      </c>
      <c r="AS113" s="4">
        <v>7.62</v>
      </c>
      <c r="AT113" s="4">
        <v>7.81</v>
      </c>
      <c r="AU113" s="4">
        <v>7.86</v>
      </c>
      <c r="AV113" s="4">
        <v>7.8</v>
      </c>
      <c r="AW113" s="4">
        <v>7.51</v>
      </c>
      <c r="AX113" s="4">
        <v>7.43</v>
      </c>
      <c r="AY113" s="12">
        <v>7.55</v>
      </c>
      <c r="AZ113" s="12">
        <v>7.99</v>
      </c>
      <c r="BA113" s="12">
        <v>7.5</v>
      </c>
      <c r="BB113" s="15">
        <v>7.56</v>
      </c>
      <c r="BC113" s="52">
        <v>7.56</v>
      </c>
      <c r="BD113" s="52">
        <v>7.56</v>
      </c>
      <c r="BE113" s="52">
        <v>7.56</v>
      </c>
      <c r="BF113" s="52">
        <v>7.56</v>
      </c>
      <c r="BG113" s="67">
        <v>7.56</v>
      </c>
      <c r="BH113" s="52">
        <v>7.56</v>
      </c>
      <c r="BI113" s="52">
        <v>7.56</v>
      </c>
      <c r="BJ113" s="52">
        <v>7.56</v>
      </c>
      <c r="BK113" s="52">
        <v>7.56</v>
      </c>
      <c r="BL113" s="52">
        <v>7.56</v>
      </c>
      <c r="BM113" s="52">
        <v>7.56</v>
      </c>
      <c r="BN113" s="52">
        <v>7.56</v>
      </c>
      <c r="BO113" s="52">
        <v>7.56</v>
      </c>
      <c r="BP113" s="52">
        <v>7.56</v>
      </c>
      <c r="BQ113" s="69" t="s">
        <v>109</v>
      </c>
      <c r="BR113" s="36" cm="1">
        <f t="array" aca="1" ref="BR113" ca="1">_FV(ED113,"Média de volume",TRUE)</f>
        <v>1174700</v>
      </c>
      <c r="BS113" s="36">
        <v>2725800</v>
      </c>
      <c r="BT113" s="36" cm="1">
        <f t="array" aca="1" ref="BT113" ca="1">_FV(ED113,"Volume")</f>
        <v>1182600</v>
      </c>
      <c r="BU113" s="24" cm="1">
        <f t="array" aca="1" ref="BU113" ca="1">_FV(ED113,"Beta")</f>
        <v>0.95150000000000001</v>
      </c>
      <c r="BV113" s="71" cm="1">
        <f t="array" aca="1" ref="BV113" ca="1">_FV(ED113,"Variação (%)",TRUE)</f>
        <v>5.5560000000000002E-3</v>
      </c>
      <c r="BX113" s="17" cm="1">
        <f t="array" aca="1" ref="BX113" ca="1">_FV(ED113,"Baixo")</f>
        <v>7.1</v>
      </c>
      <c r="BY113" s="17" cm="1">
        <f t="array" aca="1" ref="BY113" ca="1">_FV(ED113,"Alto")</f>
        <v>7.26</v>
      </c>
      <c r="BZ113" s="24"/>
      <c r="CA113" s="63">
        <f>SQRT(22.5*(BP113/VLOOKUP(BQ113,Fundamentus!A:U,3,FALSE))*(BP113/VLOOKUP(BQ113,Fundamentus!A:U,4,FALSE)))</f>
        <v>9.6347304721501708</v>
      </c>
      <c r="CC113" s="62">
        <f t="shared" si="112"/>
        <v>0</v>
      </c>
      <c r="CD113" s="8"/>
      <c r="CE113" s="61">
        <f t="shared" si="113"/>
        <v>7.43</v>
      </c>
      <c r="CF113" s="61">
        <f t="shared" si="114"/>
        <v>11.51</v>
      </c>
      <c r="CG113" s="61">
        <f t="shared" si="115"/>
        <v>9.1704477611940174</v>
      </c>
      <c r="CH113" s="14"/>
      <c r="CI113" s="35">
        <f t="shared" si="98"/>
        <v>7.56</v>
      </c>
      <c r="CJ113" s="15">
        <f t="shared" si="116"/>
        <v>7.56</v>
      </c>
      <c r="CK113" s="35">
        <f t="shared" si="99"/>
        <v>7.56</v>
      </c>
      <c r="CM113" s="14"/>
      <c r="CN113" s="17">
        <f t="shared" si="100"/>
        <v>2.0766666666666644</v>
      </c>
      <c r="CO113" s="17">
        <f t="shared" si="101"/>
        <v>4.7533333333333321</v>
      </c>
      <c r="CP113" s="17">
        <f t="shared" si="102"/>
        <v>6.1566666666666645</v>
      </c>
      <c r="CQ113" s="38">
        <f t="shared" si="117"/>
        <v>8.8333333333333321</v>
      </c>
      <c r="CR113" s="17">
        <f t="shared" si="103"/>
        <v>10.236666666666665</v>
      </c>
      <c r="CS113" s="17">
        <f t="shared" si="104"/>
        <v>12.913333333333332</v>
      </c>
      <c r="CT113" s="17">
        <f t="shared" si="105"/>
        <v>14.316666666666665</v>
      </c>
      <c r="CU113" s="2" cm="1">
        <f t="array" ref="CU113">MAX(_xlfn._xlws.FILTER(CN113:CT113,CN113:CT113&lt;BP113))</f>
        <v>6.1566666666666645</v>
      </c>
      <c r="CV113" s="2" cm="1">
        <f t="array" ref="CV113">MIN(_xlfn._xlws.FILTER($CN113:$CT113,$CN113:$CT113&gt;BP113))</f>
        <v>8.8333333333333321</v>
      </c>
      <c r="CW113" s="16">
        <f t="shared" si="119"/>
        <v>0.43475906876015191</v>
      </c>
      <c r="CX113" s="20">
        <f t="shared" si="120"/>
        <v>-0.21737953438007596</v>
      </c>
      <c r="CY113" s="20">
        <f t="shared" si="121"/>
        <v>-0.1449196895867173</v>
      </c>
      <c r="CZ113" s="20">
        <f t="shared" si="122"/>
        <v>-8.6951813752030385E-2</v>
      </c>
      <c r="DA113" s="20">
        <f t="shared" si="123"/>
        <v>-4.8306563195572437E-2</v>
      </c>
      <c r="DB113" s="20">
        <f t="shared" si="124"/>
        <v>-2.5574062868244232E-2</v>
      </c>
      <c r="DC113" s="20">
        <f t="shared" si="125"/>
        <v>-1.3174517235156119E-2</v>
      </c>
      <c r="DD113" s="20">
        <f t="shared" si="126"/>
        <v>-6.6886010578484914E-3</v>
      </c>
      <c r="DE113" s="21">
        <f t="shared" si="127"/>
        <v>6.6886010578484914E-3</v>
      </c>
      <c r="DF113" s="21">
        <f t="shared" si="128"/>
        <v>1.3174517235156119E-2</v>
      </c>
      <c r="DG113" s="21">
        <f t="shared" si="129"/>
        <v>2.5574062868244232E-2</v>
      </c>
      <c r="DH113" s="21">
        <f t="shared" si="130"/>
        <v>4.8306563195572437E-2</v>
      </c>
      <c r="DI113" s="21">
        <f t="shared" si="131"/>
        <v>8.6951813752030385E-2</v>
      </c>
      <c r="DJ113" s="21">
        <f t="shared" si="132"/>
        <v>0.1449196895867173</v>
      </c>
      <c r="DK113" s="21">
        <f t="shared" si="133"/>
        <v>0.21737953438007596</v>
      </c>
      <c r="DM113" s="16" cm="1">
        <f t="array" aca="1" ref="DM113" ca="1">MAX(_xlfn._xlws.FILTER(CX113:DK113,CX113:DK113&lt;BV113))</f>
        <v>-6.6886010578484914E-3</v>
      </c>
      <c r="DN113" s="16" cm="1">
        <f t="array" aca="1" ref="DN113" ca="1">MIN(_xlfn._xlws.FILTER(CX113:DK113,CX113:DK113&gt;BV113))</f>
        <v>6.6886010578484914E-3</v>
      </c>
      <c r="DO113" s="2" cm="1">
        <f t="array" aca="1" ref="DO113" ca="1">_FV(ED113,"Fechamento anterior",TRUE)</f>
        <v>7.2</v>
      </c>
      <c r="DP113" s="28">
        <f t="shared" ca="1" si="106"/>
        <v>4.2377023661270474</v>
      </c>
      <c r="DQ113" s="15">
        <f t="shared" ca="1" si="134"/>
        <v>7.1518420723834915</v>
      </c>
      <c r="DR113" s="15">
        <f t="shared" ca="1" si="135"/>
        <v>7.2481579276165089</v>
      </c>
      <c r="DS113" s="9"/>
      <c r="DT113" s="9"/>
      <c r="DU113" s="9"/>
      <c r="DV113" s="89">
        <v>2.2732500327328205E-2</v>
      </c>
      <c r="DW113" s="89">
        <f t="shared" ca="1" si="107"/>
        <v>1.3377202115696983E-2</v>
      </c>
      <c r="DX113" s="72" t="e">
        <f t="shared" si="108"/>
        <v>#DIV/0!</v>
      </c>
      <c r="DY113" s="37"/>
      <c r="DZ113" s="35">
        <f t="shared" si="118"/>
        <v>0</v>
      </c>
      <c r="EA113" s="56"/>
      <c r="EB113" s="56"/>
      <c r="ED113" s="2" t="e" vm="112">
        <v>#VALUE!</v>
      </c>
      <c r="EF113" s="10" cm="1">
        <f t="array" aca="1" ref="EF113" ca="1">_FV(ED113,"Ações em circulação",TRUE)</f>
        <v>179720100</v>
      </c>
      <c r="EG113" s="18">
        <f>VLOOKUP(BQ113,Fundamentus!A:U,5,FALSE)</f>
        <v>0.82499999999999996</v>
      </c>
      <c r="EH113" s="2">
        <f t="shared" ca="1" si="109"/>
        <v>1646889643.6363637</v>
      </c>
      <c r="EI113" s="17">
        <v>179346282.192</v>
      </c>
      <c r="EJ113" s="17">
        <f t="shared" ca="1" si="110"/>
        <v>179346282.192</v>
      </c>
      <c r="EL113" s="16">
        <f t="shared" ca="1" si="97"/>
        <v>0</v>
      </c>
      <c r="EM113" s="32" t="str">
        <f>IF(VLOOKUP(BQ113,Fundamentus!A:U,3,FALSE)&lt;15,"Bom",IF(VLOOKUP(BQ113,Fundamentus!A:U,3,FALSE)&gt;15,"Ruim","n/a"))</f>
        <v>Bom</v>
      </c>
      <c r="EN113" s="28" t="str">
        <f>IF(VLOOKUP(BQ113,Fundamentus!A:U,4,FALSE)&lt;1,"Baixo",IF(VLOOKUP(BQ113,Fundamentus!A:U,4,FALSE)&lt;1.5,"Moderado",IF(VLOOKUP(BQ113,Fundamentus!A:U,4,FALSE)&gt;1.5,"Alto","n/a")))</f>
        <v>Alto</v>
      </c>
      <c r="EO113" s="17" t="str">
        <f>IF(VLOOKUP(BQ113,Fundamentus!A:U,8,FALSE)&lt;0,"Risco elevado",IF(VLOOKUP(BQ113,Fundamentus!A:U,8,FALSE)&lt;1,"Saudável",IF(VLOOKUP(BQ113,Fundamentus!A:U,8,FALSE)&lt;3,"Estável",IF(VLOOKUP(BQ113,Fundamentus!A:U,8,FALSE)&gt;3,"Alerta","n/a"))))</f>
        <v>Estável</v>
      </c>
      <c r="EP113" s="28" t="str">
        <f t="shared" si="111"/>
        <v>Ruim</v>
      </c>
      <c r="EQ113" s="17" t="str">
        <f>IF(VLOOKUP(BQ113,Fundamentus!A:U,12,FALSE)&lt;2,"Subvalorizada",IF(VLOOKUP(BQ113,Fundamentus!A:U,12,FALSE)&lt;6,"Muita barata",IF(VLOOKUP(BQ113,Fundamentus!A:U,12,FALSE)&lt;6,"Barata",IF(VLOOKUP(BQ113,Fundamentus!A:U,12,FALSE)&lt;8,"Atrativa",IF(VLOOKUP(BQ113,Fundamentus!A:U,12,FALSE)&gt;8,"Supervalorizada","n/a")))))</f>
        <v>Muita barata</v>
      </c>
      <c r="ES113" s="17" t="str">
        <f>IF(VLOOKUP(BQ113,Fundamentus!A:U,17,FALSE)&lt;0.1,"Fraco retorno",IF(VLOOKUP(BQ113,Fundamentus!A:U,17,FALSE)&gt;0.1,"Bom retorno","n/a"))</f>
        <v>Bom retorno</v>
      </c>
      <c r="ET113" s="17" t="str">
        <f>IF(VLOOKUP(BQ113,Fundamentus!A:U,16,FALSE)&lt;0.1,"Ineficiente",IF(VLOOKUP(BQ113,Fundamentus!A:U,16,FALSE)&gt;0.1,"Eficiente","n/a"))</f>
        <v>Eficiente</v>
      </c>
      <c r="EU113" s="33" t="str">
        <f>IF(VLOOKUP(BQ113,Fundamentus!A:U,16,FALSE)&lt;0.1,"Oper. Ineficiente",IF(VLOOKUP(BQ113,Fundamentus!A:U,16,FALSE)&gt;0.1,"Oper.Eficiente","n/a"))</f>
        <v>Oper.Eficiente</v>
      </c>
      <c r="EV113" s="34">
        <f>VLOOKUP(BQ113,Fundamentus!A:U,14,FALSE)</f>
        <v>0.1089</v>
      </c>
      <c r="EW113" s="17" t="str">
        <f>IF(VLOOKUP(BQ113,Fundamentus!A:U,21,FALSE)&lt;0,"Negativo",IF(VLOOKUP(BQ113,Fundamentus!A:U,21,FALSE)&lt;0.05,"Fraco",IF(VLOOKUP(BQ113,Fundamentus!A:U,21,FALSE)&lt;0.1,"Bom",IF(VLOOKUP(BQ113,Fundamentus!A:U,21,FALSE)&gt;0.1,"Muito bom","n/a"))))</f>
        <v>Muito bom</v>
      </c>
      <c r="EY113" s="29" t="str">
        <f>IF(VLOOKUP(BQ113,Fundamentus!A:U,15,FALSE)&gt;1,"Bom",IF(VLOOKUP(BQ113,Fundamentus!A:U,15,FALSE)&lt;1,"Ruim","n/a"))</f>
        <v>Bom</v>
      </c>
      <c r="EZ113" s="17" t="str">
        <f>IF(VLOOKUP(BQ113,Fundamentus!A:U,20,FALSE)&lt;0.5,"Baixa",IF(VLOOKUP(BQ113,Fundamentus!A:U,20,FALSE)&lt;1,"Moderada",IF(VLOOKUP(BQ113,Fundamentus!A:U,20,FALSE)&lt;2,"Alerta",IF(VLOOKUP(BQ113,Fundamentus!A:U,20,FALSE)&gt;2,"Alta","n/a"))))</f>
        <v>Baixa</v>
      </c>
      <c r="FA113" s="10"/>
    </row>
    <row r="114" spans="1:157" s="2" customFormat="1" ht="11.25" hidden="1" x14ac:dyDescent="0.2">
      <c r="A114" s="4">
        <v>16.399999999999999</v>
      </c>
      <c r="B114" s="4">
        <v>15.76</v>
      </c>
      <c r="C114" s="4">
        <v>14.73</v>
      </c>
      <c r="D114" s="4">
        <v>13.36</v>
      </c>
      <c r="E114" s="4">
        <v>13.12</v>
      </c>
      <c r="F114" s="4">
        <v>13.17</v>
      </c>
      <c r="G114" s="4">
        <v>12.79</v>
      </c>
      <c r="H114" s="4">
        <v>12.53</v>
      </c>
      <c r="I114" s="4">
        <v>12.53</v>
      </c>
      <c r="J114" s="4">
        <v>13.35</v>
      </c>
      <c r="K114" s="4">
        <v>13.55</v>
      </c>
      <c r="L114" s="4">
        <v>13.05</v>
      </c>
      <c r="M114" s="4">
        <v>13.33</v>
      </c>
      <c r="N114" s="4">
        <v>13.76</v>
      </c>
      <c r="O114" s="4">
        <v>15.45</v>
      </c>
      <c r="P114" s="4">
        <v>16.03</v>
      </c>
      <c r="Q114" s="4">
        <v>17.75</v>
      </c>
      <c r="R114" s="4">
        <v>17.010000000000002</v>
      </c>
      <c r="S114" s="4">
        <v>17.72</v>
      </c>
      <c r="T114" s="4">
        <v>18.940000000000001</v>
      </c>
      <c r="U114" s="4">
        <v>18.04</v>
      </c>
      <c r="V114" s="4">
        <v>17.829999999999998</v>
      </c>
      <c r="W114" s="4">
        <v>18.11</v>
      </c>
      <c r="X114" s="4">
        <v>18.71</v>
      </c>
      <c r="Y114" s="4">
        <v>18.100000000000001</v>
      </c>
      <c r="Z114" s="4">
        <v>18.47</v>
      </c>
      <c r="AA114" s="4">
        <v>18.11</v>
      </c>
      <c r="AB114" s="4">
        <v>16.97</v>
      </c>
      <c r="AC114" s="4">
        <v>16.489999999999998</v>
      </c>
      <c r="AD114" s="4">
        <v>16.149999999999999</v>
      </c>
      <c r="AE114" s="4">
        <v>15.07</v>
      </c>
      <c r="AF114" s="4">
        <v>15.63</v>
      </c>
      <c r="AG114" s="4">
        <v>13.66</v>
      </c>
      <c r="AH114" s="4">
        <v>12.63</v>
      </c>
      <c r="AI114" s="4">
        <v>12.22</v>
      </c>
      <c r="AJ114" s="4">
        <v>12.15</v>
      </c>
      <c r="AK114" s="4">
        <v>12.84</v>
      </c>
      <c r="AL114" s="4">
        <v>12.33</v>
      </c>
      <c r="AM114" s="4">
        <v>13.17</v>
      </c>
      <c r="AN114" s="4">
        <v>13.65</v>
      </c>
      <c r="AO114" s="4">
        <v>12.83</v>
      </c>
      <c r="AP114" s="4">
        <v>13.65</v>
      </c>
      <c r="AQ114" s="4">
        <v>11.79</v>
      </c>
      <c r="AR114" s="4">
        <v>11.33</v>
      </c>
      <c r="AS114" s="4">
        <v>11.92</v>
      </c>
      <c r="AT114" s="4">
        <v>12.03</v>
      </c>
      <c r="AU114" s="4">
        <v>12.265000000000001</v>
      </c>
      <c r="AV114" s="4">
        <v>12.54</v>
      </c>
      <c r="AW114" s="4">
        <v>12.65</v>
      </c>
      <c r="AX114" s="4">
        <v>12.8</v>
      </c>
      <c r="AY114" s="12">
        <v>12.8</v>
      </c>
      <c r="AZ114" s="12">
        <v>13.84</v>
      </c>
      <c r="BA114" s="12">
        <v>14.61</v>
      </c>
      <c r="BB114" s="15">
        <v>15.44</v>
      </c>
      <c r="BC114" s="52">
        <v>17.420000000000002</v>
      </c>
      <c r="BD114" s="52">
        <v>17.600000000000001</v>
      </c>
      <c r="BE114" s="52">
        <v>18.16</v>
      </c>
      <c r="BF114" s="52">
        <v>17.559999999999999</v>
      </c>
      <c r="BG114" s="67">
        <v>18.36</v>
      </c>
      <c r="BH114" s="52">
        <v>18.559999999999999</v>
      </c>
      <c r="BI114" s="52">
        <v>19.559999999999999</v>
      </c>
      <c r="BJ114" s="52">
        <v>19.34</v>
      </c>
      <c r="BK114" s="52">
        <v>18.600000000000001</v>
      </c>
      <c r="BL114" s="52">
        <v>17.73</v>
      </c>
      <c r="BM114" s="52">
        <v>16.72</v>
      </c>
      <c r="BN114" s="52">
        <v>16.489999999999998</v>
      </c>
      <c r="BO114" s="52">
        <v>16.68</v>
      </c>
      <c r="BP114" s="52" cm="1">
        <f t="array" aca="1" ref="BP114" ca="1">_FV(ED114,"Preço")</f>
        <v>16.13</v>
      </c>
      <c r="BQ114" s="69" t="s">
        <v>205</v>
      </c>
      <c r="BR114" s="36" cm="1">
        <f t="array" aca="1" ref="BR114" ca="1">_FV(ED114,"Média de volume",TRUE)</f>
        <v>17943000</v>
      </c>
      <c r="BS114" s="36">
        <v>34800000</v>
      </c>
      <c r="BT114" s="36" cm="1">
        <f t="array" aca="1" ref="BT114" ca="1">_FV(ED114,"Volume")</f>
        <v>18079100</v>
      </c>
      <c r="BU114" s="24" cm="1">
        <f t="array" aca="1" ref="BU114" ca="1">_FV(ED114,"Beta")</f>
        <v>1.7876000000000001</v>
      </c>
      <c r="BV114" s="71" cm="1">
        <f t="array" aca="1" ref="BV114" ca="1">_FV(ED114,"Variação (%)",TRUE)</f>
        <v>6.8659999999999997E-3</v>
      </c>
      <c r="BX114" s="17" cm="1">
        <f t="array" aca="1" ref="BX114" ca="1">_FV(ED114,"Baixo")</f>
        <v>15.71</v>
      </c>
      <c r="BY114" s="17" cm="1">
        <f t="array" aca="1" ref="BY114" ca="1">_FV(ED114,"Alto")</f>
        <v>16.13</v>
      </c>
      <c r="BZ114" s="24"/>
      <c r="CA114" s="63">
        <f ca="1">SQRT(22.5*(BP114/VLOOKUP(BQ114,Fundamentus!A:U,3,FALSE))*(BP114/VLOOKUP(BQ114,Fundamentus!A:U,4,FALSE)))</f>
        <v>14.837639820072331</v>
      </c>
      <c r="CC114" s="62">
        <f t="shared" ca="1" si="112"/>
        <v>-3.2973621103117551E-2</v>
      </c>
      <c r="CD114" s="8"/>
      <c r="CE114" s="61">
        <f t="shared" si="113"/>
        <v>11.33</v>
      </c>
      <c r="CF114" s="61">
        <f t="shared" si="114"/>
        <v>19.559999999999999</v>
      </c>
      <c r="CG114" s="61">
        <f t="shared" si="115"/>
        <v>15.193059701492535</v>
      </c>
      <c r="CH114" s="14"/>
      <c r="CI114" s="35">
        <f t="shared" si="98"/>
        <v>14.450995338726852</v>
      </c>
      <c r="CJ114" s="15">
        <f t="shared" si="116"/>
        <v>16.0600000000004</v>
      </c>
      <c r="CK114" s="35">
        <f t="shared" si="99"/>
        <v>17.669004661273949</v>
      </c>
      <c r="CM114" s="14"/>
      <c r="CN114" s="17">
        <f t="shared" si="100"/>
        <v>3.9233333333333373</v>
      </c>
      <c r="CO114" s="17">
        <f t="shared" si="101"/>
        <v>7.6266666666666687</v>
      </c>
      <c r="CP114" s="17">
        <f t="shared" si="102"/>
        <v>12.153333333333336</v>
      </c>
      <c r="CQ114" s="38">
        <f t="shared" si="117"/>
        <v>15.856666666666667</v>
      </c>
      <c r="CR114" s="17">
        <f t="shared" si="103"/>
        <v>20.383333333333333</v>
      </c>
      <c r="CS114" s="17">
        <f t="shared" si="104"/>
        <v>24.086666666666666</v>
      </c>
      <c r="CT114" s="17">
        <f t="shared" si="105"/>
        <v>28.613333333333333</v>
      </c>
      <c r="CU114" s="2" cm="1">
        <f t="array" aca="1" ref="CU114" ca="1">MAX(_xlfn._xlws.FILTER(CN114:CT114,CN114:CT114&lt;BP114))</f>
        <v>15.856666666666667</v>
      </c>
      <c r="CV114" s="2" cm="1">
        <f t="array" aca="1" ref="CV114" ca="1">MIN(_xlfn._xlws.FILTER($CN114:$CT114,$CN114:$CT114&gt;BP114))</f>
        <v>20.383333333333333</v>
      </c>
      <c r="CW114" s="16">
        <f t="shared" ca="1" si="119"/>
        <v>0.2854740382594072</v>
      </c>
      <c r="CX114" s="20">
        <f t="shared" ca="1" si="120"/>
        <v>-0.1427370191297036</v>
      </c>
      <c r="CY114" s="20">
        <f t="shared" ca="1" si="121"/>
        <v>-9.5158012753135734E-2</v>
      </c>
      <c r="CZ114" s="20">
        <f t="shared" ca="1" si="122"/>
        <v>-5.7094807651881442E-2</v>
      </c>
      <c r="DA114" s="20">
        <f t="shared" ca="1" si="123"/>
        <v>-3.171933758437858E-2</v>
      </c>
      <c r="DB114" s="20">
        <f t="shared" ca="1" si="124"/>
        <v>-1.6792590485847483E-2</v>
      </c>
      <c r="DC114" s="20">
        <f t="shared" ca="1" si="125"/>
        <v>-8.6507284321032489E-3</v>
      </c>
      <c r="DD114" s="20">
        <f t="shared" ca="1" si="126"/>
        <v>-4.3919082809139569E-3</v>
      </c>
      <c r="DE114" s="21">
        <f t="shared" ca="1" si="127"/>
        <v>4.3919082809139569E-3</v>
      </c>
      <c r="DF114" s="21">
        <f t="shared" ca="1" si="128"/>
        <v>8.6507284321032489E-3</v>
      </c>
      <c r="DG114" s="21">
        <f t="shared" ca="1" si="129"/>
        <v>1.6792590485847483E-2</v>
      </c>
      <c r="DH114" s="21">
        <f t="shared" ca="1" si="130"/>
        <v>3.171933758437858E-2</v>
      </c>
      <c r="DI114" s="21">
        <f t="shared" ca="1" si="131"/>
        <v>5.7094807651881442E-2</v>
      </c>
      <c r="DJ114" s="21">
        <f t="shared" ca="1" si="132"/>
        <v>9.5158012753135734E-2</v>
      </c>
      <c r="DK114" s="21">
        <f t="shared" ca="1" si="133"/>
        <v>0.1427370191297036</v>
      </c>
      <c r="DM114" s="16" cm="1">
        <f t="array" aca="1" ref="DM114" ca="1">MAX(_xlfn._xlws.FILTER(CX114:DK114,CX114:DK114&lt;BV114))</f>
        <v>4.3919082809139569E-3</v>
      </c>
      <c r="DN114" s="16" cm="1">
        <f t="array" aca="1" ref="DN114" ca="1">MIN(_xlfn._xlws.FILTER(CX114:DK114,CX114:DK114&gt;BV114))</f>
        <v>8.6507284321032489E-3</v>
      </c>
      <c r="DO114" s="2" cm="1">
        <f t="array" aca="1" ref="DO114" ca="1">_FV(ED114,"Fechamento anterior",TRUE)</f>
        <v>16.02</v>
      </c>
      <c r="DP114" s="28">
        <f t="shared" ca="1" si="106"/>
        <v>0.58103150873170784</v>
      </c>
      <c r="DQ114" s="15">
        <f t="shared" ca="1" si="134"/>
        <v>16.09035837066024</v>
      </c>
      <c r="DR114" s="15">
        <f t="shared" ca="1" si="135"/>
        <v>16.158584669482295</v>
      </c>
      <c r="DS114" s="9"/>
      <c r="DT114" s="9"/>
      <c r="DU114" s="9"/>
      <c r="DV114" s="89">
        <v>3.8063205101254292E-2</v>
      </c>
      <c r="DW114" s="89">
        <f t="shared" ca="1" si="107"/>
        <v>4.258820151189292E-3</v>
      </c>
      <c r="DX114" s="72">
        <f t="shared" ca="1" si="108"/>
        <v>4.3505156749634837E-2</v>
      </c>
      <c r="DY114" s="37"/>
      <c r="DZ114" s="35">
        <f t="shared" si="118"/>
        <v>0.80450233063677423</v>
      </c>
      <c r="EA114" s="56"/>
      <c r="EB114" s="56"/>
      <c r="ED114" s="2" t="e" vm="113">
        <v>#VALUE!</v>
      </c>
      <c r="EF114" s="10" cm="1">
        <f t="array" aca="1" ref="EF114" ca="1">_FV(ED114,"Ações em circulação",TRUE)</f>
        <v>1059715000</v>
      </c>
      <c r="EG114" s="18">
        <f>VLOOKUP(BQ114,Fundamentus!A:U,5,FALSE)</f>
        <v>1.264</v>
      </c>
      <c r="EH114" s="2">
        <f t="shared" ca="1" si="109"/>
        <v>13523103599.683542</v>
      </c>
      <c r="EI114" s="17">
        <v>1209634490.7436707</v>
      </c>
      <c r="EJ114" s="17">
        <f t="shared" ca="1" si="110"/>
        <v>1169748461.3726263</v>
      </c>
      <c r="EL114" s="16">
        <f t="shared" ca="1" si="97"/>
        <v>-3.2973621103117634E-2</v>
      </c>
      <c r="EM114" s="32" t="str">
        <f>IF(VLOOKUP(BQ114,Fundamentus!A:U,3,FALSE)&lt;15,"Bom",IF(VLOOKUP(BQ114,Fundamentus!A:U,3,FALSE)&gt;15,"Ruim","n/a"))</f>
        <v>Bom</v>
      </c>
      <c r="EN114" s="28" t="str">
        <f>IF(VLOOKUP(BQ114,Fundamentus!A:U,4,FALSE)&lt;1,"Baixo",IF(VLOOKUP(BQ114,Fundamentus!A:U,4,FALSE)&lt;1.5,"Moderado",IF(VLOOKUP(BQ114,Fundamentus!A:U,4,FALSE)&gt;1.5,"Alto","n/a")))</f>
        <v>Alto</v>
      </c>
      <c r="EO114" s="17" t="str">
        <f>IF(VLOOKUP(BQ114,Fundamentus!A:U,8,FALSE)&lt;0,"Risco elevado",IF(VLOOKUP(BQ114,Fundamentus!A:U,8,FALSE)&lt;1,"Saudável",IF(VLOOKUP(BQ114,Fundamentus!A:U,8,FALSE)&lt;3,"Estável",IF(VLOOKUP(BQ114,Fundamentus!A:U,8,FALSE)&gt;3,"Alerta","n/a"))))</f>
        <v>Alerta</v>
      </c>
      <c r="EP114" s="28" t="str">
        <f t="shared" si="111"/>
        <v>Bom</v>
      </c>
      <c r="EQ114" s="17" t="str">
        <f>IF(VLOOKUP(BQ114,Fundamentus!A:U,12,FALSE)&lt;2,"Subvalorizada",IF(VLOOKUP(BQ114,Fundamentus!A:U,12,FALSE)&lt;6,"Muita barata",IF(VLOOKUP(BQ114,Fundamentus!A:U,12,FALSE)&lt;6,"Barata",IF(VLOOKUP(BQ114,Fundamentus!A:U,12,FALSE)&lt;8,"Atrativa",IF(VLOOKUP(BQ114,Fundamentus!A:U,12,FALSE)&gt;8,"Supervalorizada","n/a")))))</f>
        <v>Muita barata</v>
      </c>
      <c r="ES114" s="17" t="str">
        <f>IF(VLOOKUP(BQ114,Fundamentus!A:U,17,FALSE)&lt;0.1,"Fraco retorno",IF(VLOOKUP(BQ114,Fundamentus!A:U,17,FALSE)&gt;0.1,"Bom retorno","n/a"))</f>
        <v>Bom retorno</v>
      </c>
      <c r="ET114" s="17" t="str">
        <f>IF(VLOOKUP(BQ114,Fundamentus!A:U,16,FALSE)&lt;0.1,"Ineficiente",IF(VLOOKUP(BQ114,Fundamentus!A:U,16,FALSE)&gt;0.1,"Eficiente","n/a"))</f>
        <v>Eficiente</v>
      </c>
      <c r="EU114" s="33" t="str">
        <f>IF(VLOOKUP(BQ114,Fundamentus!A:U,16,FALSE)&lt;0.1,"Oper. Ineficiente",IF(VLOOKUP(BQ114,Fundamentus!A:U,16,FALSE)&gt;0.1,"Oper.Eficiente","n/a"))</f>
        <v>Oper.Eficiente</v>
      </c>
      <c r="EV114" s="34">
        <f>VLOOKUP(BQ114,Fundamentus!A:U,14,FALSE)</f>
        <v>8.6499999999999994E-2</v>
      </c>
      <c r="EW114" s="17" t="str">
        <f>IF(VLOOKUP(BQ114,Fundamentus!A:U,21,FALSE)&lt;0,"Negativo",IF(VLOOKUP(BQ114,Fundamentus!A:U,21,FALSE)&lt;0.05,"Fraco",IF(VLOOKUP(BQ114,Fundamentus!A:U,21,FALSE)&lt;0.1,"Bom",IF(VLOOKUP(BQ114,Fundamentus!A:U,21,FALSE)&gt;0.1,"Muito bom","n/a"))))</f>
        <v>Muito bom</v>
      </c>
      <c r="EY114" s="29" t="str">
        <f>IF(VLOOKUP(BQ114,Fundamentus!A:U,15,FALSE)&gt;1,"Bom",IF(VLOOKUP(BQ114,Fundamentus!A:U,15,FALSE)&lt;1,"Ruim","n/a"))</f>
        <v>Bom</v>
      </c>
      <c r="EZ114" s="17" t="str">
        <f>IF(VLOOKUP(BQ114,Fundamentus!A:U,20,FALSE)&lt;0.5,"Baixa",IF(VLOOKUP(BQ114,Fundamentus!A:U,20,FALSE)&lt;1,"Moderada",IF(VLOOKUP(BQ114,Fundamentus!A:U,20,FALSE)&lt;2,"Alerta",IF(VLOOKUP(BQ114,Fundamentus!A:U,20,FALSE)&gt;2,"Alta","n/a"))))</f>
        <v>Baixa</v>
      </c>
      <c r="FA114" s="10">
        <v>1</v>
      </c>
    </row>
    <row r="115" spans="1:157" s="2" customFormat="1" ht="11.25" hidden="1" x14ac:dyDescent="0.2">
      <c r="A115" s="4">
        <v>9.56</v>
      </c>
      <c r="B115" s="4">
        <v>10.4</v>
      </c>
      <c r="C115" s="4">
        <v>11.52</v>
      </c>
      <c r="D115" s="4">
        <v>11.68</v>
      </c>
      <c r="E115" s="4">
        <v>11.23</v>
      </c>
      <c r="F115" s="4">
        <v>11.12</v>
      </c>
      <c r="G115" s="4">
        <v>10.52</v>
      </c>
      <c r="H115" s="4">
        <v>11.25</v>
      </c>
      <c r="I115" s="4">
        <v>12.27</v>
      </c>
      <c r="J115" s="4">
        <v>12.33</v>
      </c>
      <c r="K115" s="4">
        <v>12.26</v>
      </c>
      <c r="L115" s="4">
        <v>11.2</v>
      </c>
      <c r="M115" s="4">
        <v>11.35</v>
      </c>
      <c r="N115" s="4">
        <v>11.52</v>
      </c>
      <c r="O115" s="4">
        <v>12.12</v>
      </c>
      <c r="P115" s="4">
        <v>12.88</v>
      </c>
      <c r="Q115" s="4">
        <v>14.56</v>
      </c>
      <c r="R115" s="4">
        <v>14.56</v>
      </c>
      <c r="S115" s="4">
        <v>14.48</v>
      </c>
      <c r="T115" s="4">
        <v>14.42</v>
      </c>
      <c r="U115" s="4">
        <v>14.26</v>
      </c>
      <c r="V115" s="4">
        <v>13.84</v>
      </c>
      <c r="W115" s="4">
        <v>13.46</v>
      </c>
      <c r="X115" s="4">
        <v>12.7</v>
      </c>
      <c r="Y115" s="4">
        <v>14.5</v>
      </c>
      <c r="Z115" s="4">
        <v>14.45</v>
      </c>
      <c r="AA115" s="4">
        <v>15.37</v>
      </c>
      <c r="AB115" s="4">
        <v>15.08</v>
      </c>
      <c r="AC115" s="4">
        <v>16.899999999999999</v>
      </c>
      <c r="AD115" s="4">
        <v>18.2</v>
      </c>
      <c r="AE115" s="4">
        <v>18.77</v>
      </c>
      <c r="AF115" s="4">
        <v>19.489999999999998</v>
      </c>
      <c r="AG115" s="4">
        <v>16.64</v>
      </c>
      <c r="AH115" s="4">
        <v>16.66</v>
      </c>
      <c r="AI115" s="4">
        <v>16.600000000000001</v>
      </c>
      <c r="AJ115" s="4">
        <v>16.850000000000001</v>
      </c>
      <c r="AK115" s="4">
        <v>16.86</v>
      </c>
      <c r="AL115" s="4">
        <v>15.48</v>
      </c>
      <c r="AM115" s="4">
        <v>15.65</v>
      </c>
      <c r="AN115" s="4">
        <v>15.89</v>
      </c>
      <c r="AO115" s="4">
        <v>14.84</v>
      </c>
      <c r="AP115" s="4">
        <v>14.44</v>
      </c>
      <c r="AQ115" s="4">
        <v>13.79</v>
      </c>
      <c r="AR115" s="4">
        <v>13.63</v>
      </c>
      <c r="AS115" s="4">
        <v>14.85</v>
      </c>
      <c r="AT115" s="4">
        <v>15.26</v>
      </c>
      <c r="AU115" s="4">
        <v>17.484999999999999</v>
      </c>
      <c r="AV115" s="4">
        <v>18.059999999999999</v>
      </c>
      <c r="AW115" s="4">
        <v>18.55</v>
      </c>
      <c r="AX115" s="4">
        <v>20.16</v>
      </c>
      <c r="AY115" s="12">
        <v>20.7</v>
      </c>
      <c r="AZ115" s="12">
        <v>22.85</v>
      </c>
      <c r="BA115" s="12">
        <v>21.48</v>
      </c>
      <c r="BB115" s="15">
        <v>20.45</v>
      </c>
      <c r="BC115" s="52">
        <v>20.66</v>
      </c>
      <c r="BD115" s="52">
        <v>24.84</v>
      </c>
      <c r="BE115" s="52">
        <v>25.41</v>
      </c>
      <c r="BF115" s="52">
        <v>24.53</v>
      </c>
      <c r="BG115" s="67">
        <v>25.18</v>
      </c>
      <c r="BH115" s="52">
        <v>23.32</v>
      </c>
      <c r="BI115" s="52">
        <v>22.5</v>
      </c>
      <c r="BJ115" s="52">
        <v>22.23</v>
      </c>
      <c r="BK115" s="52">
        <v>23</v>
      </c>
      <c r="BL115" s="52">
        <v>22.64</v>
      </c>
      <c r="BM115" s="52">
        <v>23.26</v>
      </c>
      <c r="BN115" s="52">
        <v>21.42</v>
      </c>
      <c r="BO115" s="52">
        <v>22.31</v>
      </c>
      <c r="BP115" s="52" cm="1">
        <f t="array" aca="1" ref="BP115" ca="1">_FV(ED115,"Preço")</f>
        <v>23.36</v>
      </c>
      <c r="BQ115" s="69" t="s">
        <v>111</v>
      </c>
      <c r="BR115" s="36" cm="1">
        <f t="array" aca="1" ref="BR115" ca="1">_FV(ED115,"Média de volume",TRUE)</f>
        <v>4558540</v>
      </c>
      <c r="BS115" s="36">
        <v>5689800</v>
      </c>
      <c r="BT115" s="36" cm="1">
        <f t="array" aca="1" ref="BT115" ca="1">_FV(ED115,"Volume")</f>
        <v>11066700</v>
      </c>
      <c r="BU115" s="24" cm="1">
        <f t="array" aca="1" ref="BU115" ca="1">_FV(ED115,"Beta")</f>
        <v>0.9859</v>
      </c>
      <c r="BV115" s="71" cm="1">
        <f t="array" aca="1" ref="BV115" ca="1">_FV(ED115,"Variação (%)",TRUE)</f>
        <v>8.7523000000000004E-2</v>
      </c>
      <c r="BX115" s="17" cm="1">
        <f t="array" aca="1" ref="BX115" ca="1">_FV(ED115,"Baixo")</f>
        <v>21.54</v>
      </c>
      <c r="BY115" s="17" cm="1">
        <f t="array" aca="1" ref="BY115" ca="1">_FV(ED115,"Alto")</f>
        <v>23.41</v>
      </c>
      <c r="BZ115" s="24"/>
      <c r="CA115" s="63">
        <f ca="1">SQRT(22.5*(BP115/VLOOKUP(BQ115,Fundamentus!A:U,3,FALSE))*(BP115/VLOOKUP(BQ115,Fundamentus!A:U,4,FALSE)))</f>
        <v>15.683826887681022</v>
      </c>
      <c r="CC115" s="62">
        <f t="shared" ca="1" si="112"/>
        <v>4.7064096817570629E-2</v>
      </c>
      <c r="CD115" s="8"/>
      <c r="CE115" s="61">
        <f t="shared" si="113"/>
        <v>9.56</v>
      </c>
      <c r="CF115" s="61">
        <f t="shared" si="114"/>
        <v>25.41</v>
      </c>
      <c r="CG115" s="61">
        <f t="shared" si="115"/>
        <v>16.518283582089552</v>
      </c>
      <c r="CH115" s="14"/>
      <c r="CI115" s="35">
        <f t="shared" si="98"/>
        <v>20.420525107710244</v>
      </c>
      <c r="CJ115" s="15">
        <f t="shared" si="116"/>
        <v>21.700000000000045</v>
      </c>
      <c r="CK115" s="35">
        <f t="shared" si="99"/>
        <v>22.979474892289847</v>
      </c>
      <c r="CM115" s="14"/>
      <c r="CN115" s="17">
        <f t="shared" si="100"/>
        <v>-3.0733333333333324</v>
      </c>
      <c r="CO115" s="17">
        <f t="shared" si="101"/>
        <v>3.2433333333333341</v>
      </c>
      <c r="CP115" s="17">
        <f t="shared" si="102"/>
        <v>12.776666666666667</v>
      </c>
      <c r="CQ115" s="38">
        <f t="shared" si="117"/>
        <v>19.093333333333334</v>
      </c>
      <c r="CR115" s="17">
        <f t="shared" si="103"/>
        <v>28.626666666666665</v>
      </c>
      <c r="CS115" s="17">
        <f t="shared" si="104"/>
        <v>34.943333333333335</v>
      </c>
      <c r="CT115" s="17">
        <f t="shared" si="105"/>
        <v>44.476666666666667</v>
      </c>
      <c r="CU115" s="2" cm="1">
        <f t="array" aca="1" ref="CU115" ca="1">MAX(_xlfn._xlws.FILTER(CN115:CT115,CN115:CT115&lt;BP115))</f>
        <v>19.093333333333334</v>
      </c>
      <c r="CV115" s="2" cm="1">
        <f t="array" aca="1" ref="CV115" ca="1">MIN(_xlfn._xlws.FILTER($CN115:$CT115,$CN115:$CT115&gt;BP115))</f>
        <v>28.626666666666665</v>
      </c>
      <c r="CW115" s="16">
        <f t="shared" ref="CW115:CW146" ca="1" si="136">(CV115/CU115)-1</f>
        <v>0.49930167597765363</v>
      </c>
      <c r="CX115" s="20">
        <f t="shared" ref="CX115:CX146" ca="1" si="137">-$CW115/2</f>
        <v>-0.24965083798882681</v>
      </c>
      <c r="CY115" s="20">
        <f t="shared" ref="CY115:CY146" ca="1" si="138">-$CW115/3</f>
        <v>-0.16643389199255121</v>
      </c>
      <c r="CZ115" s="20">
        <f t="shared" ref="CZ115:CZ146" ca="1" si="139">-$CW115/5</f>
        <v>-9.9860335195530725E-2</v>
      </c>
      <c r="DA115" s="20">
        <f t="shared" ref="DA115:DA146" ca="1" si="140">-$CW115/9</f>
        <v>-5.5477963997517067E-2</v>
      </c>
      <c r="DB115" s="20">
        <f t="shared" ref="DB115:DB146" ca="1" si="141">-$CW115/17</f>
        <v>-2.9370686822214918E-2</v>
      </c>
      <c r="DC115" s="20">
        <f t="shared" ref="DC115:DC146" ca="1" si="142">-$CW115/33</f>
        <v>-1.5130353817504655E-2</v>
      </c>
      <c r="DD115" s="20">
        <f t="shared" ref="DD115:DD146" ca="1" si="143">-$CW115/65</f>
        <v>-7.6815642458100556E-3</v>
      </c>
      <c r="DE115" s="21">
        <f t="shared" ref="DE115:DE146" ca="1" si="144">-$CW115/65*-1</f>
        <v>7.6815642458100556E-3</v>
      </c>
      <c r="DF115" s="21">
        <f t="shared" ref="DF115:DF146" ca="1" si="145">-$CW115/33*-1</f>
        <v>1.5130353817504655E-2</v>
      </c>
      <c r="DG115" s="21">
        <f t="shared" ref="DG115:DG146" ca="1" si="146">-$CW115/17*-1</f>
        <v>2.9370686822214918E-2</v>
      </c>
      <c r="DH115" s="21">
        <f t="shared" ref="DH115:DH146" ca="1" si="147">-$CW115/9*-1</f>
        <v>5.5477963997517067E-2</v>
      </c>
      <c r="DI115" s="21">
        <f t="shared" ref="DI115:DI146" ca="1" si="148">-$CW115/5*-1</f>
        <v>9.9860335195530725E-2</v>
      </c>
      <c r="DJ115" s="21">
        <f t="shared" ref="DJ115:DJ146" ca="1" si="149">-$CW115/3*-1</f>
        <v>0.16643389199255121</v>
      </c>
      <c r="DK115" s="21">
        <f t="shared" ref="DK115:DK146" ca="1" si="150">-$CW115/2*-1</f>
        <v>0.24965083798882681</v>
      </c>
      <c r="DM115" s="16" cm="1">
        <f t="array" aca="1" ref="DM115" ca="1">MAX(_xlfn._xlws.FILTER(CX115:DK115,CX115:DK115&lt;BV115))</f>
        <v>5.5477963997517067E-2</v>
      </c>
      <c r="DN115" s="16" cm="1">
        <f t="array" aca="1" ref="DN115" ca="1">MIN(_xlfn._xlws.FILTER(CX115:DK115,CX115:DK115&gt;BV115))</f>
        <v>9.9860335195530725E-2</v>
      </c>
      <c r="DO115" s="2" cm="1">
        <f t="array" aca="1" ref="DO115" ca="1">_FV(ED115,"Fechamento anterior",TRUE)</f>
        <v>21.48</v>
      </c>
      <c r="DP115" s="28">
        <f t="shared" ca="1" si="106"/>
        <v>0.72202797202797142</v>
      </c>
      <c r="DQ115" s="15">
        <f t="shared" ref="DQ115:DQ146" ca="1" si="151">DO115+(DO115*DM115)</f>
        <v>22.671666666666667</v>
      </c>
      <c r="DR115" s="15">
        <f t="shared" ref="DR115:DR146" ca="1" si="152">DO115+(DO115*DN115)</f>
        <v>23.625</v>
      </c>
      <c r="DS115" s="9"/>
      <c r="DT115" s="9"/>
      <c r="DU115" s="9"/>
      <c r="DV115" s="89">
        <v>7.4487895716945996E-3</v>
      </c>
      <c r="DW115" s="89">
        <f t="shared" ca="1" si="107"/>
        <v>4.4382371198013658E-2</v>
      </c>
      <c r="DX115" s="72">
        <f t="shared" ca="1" si="108"/>
        <v>1.297407248866876</v>
      </c>
      <c r="DY115" s="37"/>
      <c r="DZ115" s="35">
        <f t="shared" si="118"/>
        <v>0.63973744614490069</v>
      </c>
      <c r="EA115" s="56"/>
      <c r="EB115" s="56"/>
      <c r="ED115" s="2" t="e" vm="114">
        <v>#VALUE!</v>
      </c>
      <c r="EF115" s="10" cm="1">
        <f t="array" aca="1" ref="EF115" ca="1">_FV(ED115,"Ações em circulação",TRUE)</f>
        <v>857928100</v>
      </c>
      <c r="EG115" s="18">
        <f>VLOOKUP(BQ115,Fundamentus!A:U,5,FALSE)</f>
        <v>0.127</v>
      </c>
      <c r="EH115" s="2">
        <f t="shared" ca="1" si="109"/>
        <v>157804727685.03937</v>
      </c>
      <c r="EI115" s="17">
        <v>3978786803.5464568</v>
      </c>
      <c r="EJ115" s="17">
        <f t="shared" ca="1" si="110"/>
        <v>4166044810.8850393</v>
      </c>
      <c r="EL115" s="16">
        <f t="shared" ca="1" si="97"/>
        <v>4.7064096817570622E-2</v>
      </c>
      <c r="EM115" s="32" t="str">
        <f>IF(VLOOKUP(BQ115,Fundamentus!A:U,3,FALSE)&lt;15,"Bom",IF(VLOOKUP(BQ115,Fundamentus!A:U,3,FALSE)&gt;15,"Ruim","n/a"))</f>
        <v>Bom</v>
      </c>
      <c r="EN115" s="28" t="str">
        <f>IF(VLOOKUP(BQ115,Fundamentus!A:U,4,FALSE)&lt;1,"Baixo",IF(VLOOKUP(BQ115,Fundamentus!A:U,4,FALSE)&lt;1.5,"Moderado",IF(VLOOKUP(BQ115,Fundamentus!A:U,4,FALSE)&gt;1.5,"Alto","n/a")))</f>
        <v>Alto</v>
      </c>
      <c r="EO115" s="17" t="str">
        <f>IF(VLOOKUP(BQ115,Fundamentus!A:U,8,FALSE)&lt;0,"Risco elevado",IF(VLOOKUP(BQ115,Fundamentus!A:U,8,FALSE)&lt;1,"Saudável",IF(VLOOKUP(BQ115,Fundamentus!A:U,8,FALSE)&lt;3,"Estável",IF(VLOOKUP(BQ115,Fundamentus!A:U,8,FALSE)&gt;3,"Alerta","n/a"))))</f>
        <v>Estável</v>
      </c>
      <c r="EP115" s="28" t="str">
        <f t="shared" si="111"/>
        <v>Ruim</v>
      </c>
      <c r="EQ115" s="17" t="str">
        <f>IF(VLOOKUP(BQ115,Fundamentus!A:U,12,FALSE)&lt;2,"Subvalorizada",IF(VLOOKUP(BQ115,Fundamentus!A:U,12,FALSE)&lt;6,"Muita barata",IF(VLOOKUP(BQ115,Fundamentus!A:U,12,FALSE)&lt;6,"Barata",IF(VLOOKUP(BQ115,Fundamentus!A:U,12,FALSE)&lt;8,"Atrativa",IF(VLOOKUP(BQ115,Fundamentus!A:U,12,FALSE)&gt;8,"Supervalorizada","n/a")))))</f>
        <v>Muita barata</v>
      </c>
      <c r="ES115" s="17" t="str">
        <f>IF(VLOOKUP(BQ115,Fundamentus!A:U,17,FALSE)&lt;0.1,"Fraco retorno",IF(VLOOKUP(BQ115,Fundamentus!A:U,17,FALSE)&gt;0.1,"Bom retorno","n/a"))</f>
        <v>Bom retorno</v>
      </c>
      <c r="ET115" s="17" t="str">
        <f>IF(VLOOKUP(BQ115,Fundamentus!A:U,16,FALSE)&lt;0.1,"Ineficiente",IF(VLOOKUP(BQ115,Fundamentus!A:U,16,FALSE)&gt;0.1,"Eficiente","n/a"))</f>
        <v>Ineficiente</v>
      </c>
      <c r="EU115" s="33" t="str">
        <f>IF(VLOOKUP(BQ115,Fundamentus!A:U,16,FALSE)&lt;0.1,"Oper. Ineficiente",IF(VLOOKUP(BQ115,Fundamentus!A:U,16,FALSE)&gt;0.1,"Oper.Eficiente","n/a"))</f>
        <v>Oper. Ineficiente</v>
      </c>
      <c r="EV115" s="34">
        <f>VLOOKUP(BQ115,Fundamentus!A:U,14,FALSE)</f>
        <v>2.64E-2</v>
      </c>
      <c r="EW115" s="17" t="str">
        <f>IF(VLOOKUP(BQ115,Fundamentus!A:U,21,FALSE)&lt;0,"Negativo",IF(VLOOKUP(BQ115,Fundamentus!A:U,21,FALSE)&lt;0.05,"Fraco",IF(VLOOKUP(BQ115,Fundamentus!A:U,21,FALSE)&lt;0.1,"Bom",IF(VLOOKUP(BQ115,Fundamentus!A:U,21,FALSE)&gt;0.1,"Muito bom","n/a"))))</f>
        <v>Muito bom</v>
      </c>
      <c r="EY115" s="29" t="str">
        <f>IF(VLOOKUP(BQ115,Fundamentus!A:U,15,FALSE)&gt;1,"Bom",IF(VLOOKUP(BQ115,Fundamentus!A:U,15,FALSE)&lt;1,"Ruim","n/a"))</f>
        <v>Bom</v>
      </c>
      <c r="EZ115" s="17" t="str">
        <f>IF(VLOOKUP(BQ115,Fundamentus!A:U,20,FALSE)&lt;0.5,"Baixa",IF(VLOOKUP(BQ115,Fundamentus!A:U,20,FALSE)&lt;1,"Moderada",IF(VLOOKUP(BQ115,Fundamentus!A:U,20,FALSE)&lt;2,"Alerta",IF(VLOOKUP(BQ115,Fundamentus!A:U,20,FALSE)&gt;2,"Alta","n/a"))))</f>
        <v>Alta</v>
      </c>
      <c r="FA115" s="10"/>
    </row>
    <row r="116" spans="1:157" s="2" customFormat="1" ht="11.25" hidden="1" x14ac:dyDescent="0.2">
      <c r="A116" s="4">
        <v>1.53</v>
      </c>
      <c r="B116" s="4">
        <v>1.51</v>
      </c>
      <c r="C116" s="4">
        <v>1.34</v>
      </c>
      <c r="D116" s="4">
        <v>1.43</v>
      </c>
      <c r="E116" s="4">
        <v>1.33</v>
      </c>
      <c r="F116" s="4">
        <v>1.31</v>
      </c>
      <c r="G116" s="4">
        <v>1.1000000000000001</v>
      </c>
      <c r="H116" s="4">
        <v>0.9</v>
      </c>
      <c r="I116" s="4">
        <v>0.51</v>
      </c>
      <c r="J116" s="4">
        <v>0.36</v>
      </c>
      <c r="K116" s="4">
        <v>0.32</v>
      </c>
      <c r="L116" s="4">
        <v>0.18</v>
      </c>
      <c r="M116" s="4">
        <v>0.37</v>
      </c>
      <c r="N116" s="4">
        <v>0.34</v>
      </c>
      <c r="O116" s="4">
        <v>0.31</v>
      </c>
      <c r="P116" s="4">
        <v>0.23</v>
      </c>
      <c r="Q116" s="4">
        <v>0.24</v>
      </c>
      <c r="R116" s="4">
        <v>0.21</v>
      </c>
      <c r="S116" s="4">
        <v>0.2</v>
      </c>
      <c r="T116" s="4">
        <v>0.28000000000000003</v>
      </c>
      <c r="U116" s="4">
        <v>0.3</v>
      </c>
      <c r="V116" s="4">
        <v>0.28999999999999998</v>
      </c>
      <c r="W116" s="4">
        <v>0.27</v>
      </c>
      <c r="X116" s="4">
        <v>0.26</v>
      </c>
      <c r="Y116" s="4">
        <v>0.28000000000000003</v>
      </c>
      <c r="Z116" s="4">
        <v>0.27</v>
      </c>
      <c r="AA116" s="4">
        <v>0.25</v>
      </c>
      <c r="AB116" s="4">
        <v>0.22</v>
      </c>
      <c r="AC116" s="4">
        <v>0.21</v>
      </c>
      <c r="AD116" s="4">
        <v>4</v>
      </c>
      <c r="AE116" s="4">
        <v>3.18</v>
      </c>
      <c r="AF116" s="4">
        <v>3.16</v>
      </c>
      <c r="AG116" s="4">
        <v>3.06</v>
      </c>
      <c r="AH116" s="4">
        <v>2.38</v>
      </c>
      <c r="AI116" s="4">
        <v>2.36</v>
      </c>
      <c r="AJ116" s="4">
        <v>2.71</v>
      </c>
      <c r="AK116" s="4">
        <v>2.59</v>
      </c>
      <c r="AL116" s="4">
        <v>2.48</v>
      </c>
      <c r="AM116" s="4">
        <v>2.4500000000000002</v>
      </c>
      <c r="AN116" s="4">
        <v>2.41</v>
      </c>
      <c r="AO116" s="4">
        <v>2.2999999999999998</v>
      </c>
      <c r="AP116" s="4">
        <v>2.27</v>
      </c>
      <c r="AQ116" s="4">
        <v>2.4</v>
      </c>
      <c r="AR116" s="4">
        <v>2.4</v>
      </c>
      <c r="AS116" s="4">
        <v>3.09</v>
      </c>
      <c r="AT116" s="4">
        <v>2.65</v>
      </c>
      <c r="AU116" s="4">
        <v>2.44</v>
      </c>
      <c r="AV116" s="4">
        <v>2.36</v>
      </c>
      <c r="AW116" s="4">
        <v>2.3199999999999998</v>
      </c>
      <c r="AX116" s="4">
        <v>2.37</v>
      </c>
      <c r="AY116" s="12">
        <v>2.25</v>
      </c>
      <c r="AZ116" s="12">
        <v>2.2400000000000002</v>
      </c>
      <c r="BA116" s="12">
        <v>2.16</v>
      </c>
      <c r="BB116" s="15">
        <v>2.16</v>
      </c>
      <c r="BC116" s="52">
        <v>2.0499999999999998</v>
      </c>
      <c r="BD116" s="52">
        <v>2</v>
      </c>
      <c r="BE116" s="52">
        <v>1.94</v>
      </c>
      <c r="BF116" s="52">
        <v>1.93</v>
      </c>
      <c r="BG116" s="67">
        <v>1.94</v>
      </c>
      <c r="BH116" s="52">
        <v>1.91</v>
      </c>
      <c r="BI116" s="52">
        <v>1.85</v>
      </c>
      <c r="BJ116" s="52">
        <v>1.83</v>
      </c>
      <c r="BK116" s="52">
        <v>1.74</v>
      </c>
      <c r="BL116" s="52">
        <v>1.56</v>
      </c>
      <c r="BM116" s="52">
        <v>1.53</v>
      </c>
      <c r="BN116" s="52">
        <v>1.56</v>
      </c>
      <c r="BO116" s="52">
        <v>1.51</v>
      </c>
      <c r="BP116" s="52" cm="1">
        <f t="array" aca="1" ref="BP116" ca="1">_FV(ED116,"Preço")</f>
        <v>1.49</v>
      </c>
      <c r="BQ116" s="69" t="s">
        <v>112</v>
      </c>
      <c r="BR116" s="36" cm="1">
        <f t="array" aca="1" ref="BR116" ca="1">_FV(ED116,"Média de volume",TRUE)</f>
        <v>7320</v>
      </c>
      <c r="BS116" s="36">
        <v>4500</v>
      </c>
      <c r="BT116" s="36" cm="1">
        <f t="array" aca="1" ref="BT116" ca="1">_FV(ED116,"Volume")</f>
        <v>5500</v>
      </c>
      <c r="BU116" s="24" cm="1">
        <f t="array" aca="1" ref="BU116" ca="1">_FV(ED116,"Beta")</f>
        <v>1.4709000000000001</v>
      </c>
      <c r="BV116" s="71" cm="1">
        <f t="array" aca="1" ref="BV116" ca="1">_FV(ED116,"Variação (%)",TRUE)</f>
        <v>-3.2467999999999997E-2</v>
      </c>
      <c r="BX116" s="17" cm="1">
        <f t="array" aca="1" ref="BX116" ca="1">_FV(ED116,"Baixo")</f>
        <v>1.49</v>
      </c>
      <c r="BY116" s="17" cm="1">
        <f t="array" aca="1" ref="BY116" ca="1">_FV(ED116,"Alto")</f>
        <v>1.58</v>
      </c>
      <c r="BZ116" s="24"/>
      <c r="CA116" s="63">
        <f ca="1">SQRT(22.5*(BP116/VLOOKUP(BQ116,Fundamentus!A:U,3,FALSE))*(BP116/VLOOKUP(BQ116,Fundamentus!A:U,4,FALSE)))</f>
        <v>36.067157411556572</v>
      </c>
      <c r="CC116" s="62">
        <f t="shared" ca="1" si="112"/>
        <v>-1.3245033112582794E-2</v>
      </c>
      <c r="CD116" s="8"/>
      <c r="CE116" s="61">
        <f t="shared" si="113"/>
        <v>0.18</v>
      </c>
      <c r="CF116" s="61">
        <f t="shared" si="114"/>
        <v>4</v>
      </c>
      <c r="CG116" s="61">
        <f t="shared" si="115"/>
        <v>1.5505970149253727</v>
      </c>
      <c r="CH116" s="14"/>
      <c r="CI116" s="35">
        <f t="shared" si="98"/>
        <v>1.3455615616712495</v>
      </c>
      <c r="CJ116" s="15">
        <f t="shared" si="116"/>
        <v>1.5100000000000051</v>
      </c>
      <c r="CK116" s="35">
        <f t="shared" si="99"/>
        <v>1.6744384383287607</v>
      </c>
      <c r="CM116" s="14"/>
      <c r="CN116" s="17">
        <f t="shared" si="100"/>
        <v>-4.0266666666666673</v>
      </c>
      <c r="CO116" s="17">
        <f t="shared" si="101"/>
        <v>-1.9233333333333333</v>
      </c>
      <c r="CP116" s="17">
        <f t="shared" si="102"/>
        <v>-0.206666666666667</v>
      </c>
      <c r="CQ116" s="38">
        <f t="shared" si="117"/>
        <v>1.8966666666666665</v>
      </c>
      <c r="CR116" s="17">
        <f t="shared" si="103"/>
        <v>3.6133333333333328</v>
      </c>
      <c r="CS116" s="17">
        <f t="shared" si="104"/>
        <v>5.7166666666666668</v>
      </c>
      <c r="CT116" s="17">
        <f t="shared" si="105"/>
        <v>7.4333333333333336</v>
      </c>
      <c r="CU116" s="2" cm="1">
        <f t="array" aca="1" ref="CU116" ca="1">MAX(_xlfn._xlws.FILTER(CN116:CT116,CN116:CT116&lt;BP116))</f>
        <v>-0.206666666666667</v>
      </c>
      <c r="CV116" s="2" cm="1">
        <f t="array" aca="1" ref="CV116" ca="1">MIN(_xlfn._xlws.FILTER($CN116:$CT116,$CN116:$CT116&gt;BP116))</f>
        <v>1.8966666666666665</v>
      </c>
      <c r="CW116" s="16">
        <f t="shared" ca="1" si="136"/>
        <v>-10.177419354838694</v>
      </c>
      <c r="CX116" s="20">
        <f t="shared" ca="1" si="137"/>
        <v>5.088709677419347</v>
      </c>
      <c r="CY116" s="20">
        <f t="shared" ca="1" si="138"/>
        <v>3.3924731182795647</v>
      </c>
      <c r="CZ116" s="20">
        <f t="shared" ca="1" si="139"/>
        <v>2.035483870967739</v>
      </c>
      <c r="DA116" s="20">
        <f t="shared" ca="1" si="140"/>
        <v>1.1308243727598548</v>
      </c>
      <c r="DB116" s="20">
        <f t="shared" ca="1" si="141"/>
        <v>0.59867172675521729</v>
      </c>
      <c r="DC116" s="20">
        <f t="shared" ca="1" si="142"/>
        <v>0.30840664711632404</v>
      </c>
      <c r="DD116" s="20">
        <f t="shared" ca="1" si="143"/>
        <v>0.15657568238213376</v>
      </c>
      <c r="DE116" s="21">
        <f t="shared" ca="1" si="144"/>
        <v>-0.15657568238213376</v>
      </c>
      <c r="DF116" s="21">
        <f t="shared" ca="1" si="145"/>
        <v>-0.30840664711632404</v>
      </c>
      <c r="DG116" s="21">
        <f t="shared" ca="1" si="146"/>
        <v>-0.59867172675521729</v>
      </c>
      <c r="DH116" s="21">
        <f t="shared" ca="1" si="147"/>
        <v>-1.1308243727598548</v>
      </c>
      <c r="DI116" s="21">
        <f t="shared" ca="1" si="148"/>
        <v>-2.035483870967739</v>
      </c>
      <c r="DJ116" s="21">
        <f t="shared" ca="1" si="149"/>
        <v>-3.3924731182795647</v>
      </c>
      <c r="DK116" s="21">
        <f t="shared" ca="1" si="150"/>
        <v>-5.088709677419347</v>
      </c>
      <c r="DM116" s="16" cm="1">
        <f t="array" aca="1" ref="DM116" ca="1">MAX(_xlfn._xlws.FILTER(CX116:DK116,CX116:DK116&lt;BV116))</f>
        <v>-0.15657568238213376</v>
      </c>
      <c r="DN116" s="16" cm="1">
        <f t="array" aca="1" ref="DN116" ca="1">MIN(_xlfn._xlws.FILTER(CX116:DK116,CX116:DK116&gt;BV116))</f>
        <v>0.15657568238213376</v>
      </c>
      <c r="DO116" s="2" cm="1">
        <f t="array" aca="1" ref="DO116" ca="1">_FV(ED116,"Fechamento anterior",TRUE)</f>
        <v>1.54</v>
      </c>
      <c r="DP116" s="28">
        <f t="shared" ca="1" si="106"/>
        <v>0.39632000329306166</v>
      </c>
      <c r="DQ116" s="15">
        <f t="shared" ca="1" si="151"/>
        <v>1.2988734491315141</v>
      </c>
      <c r="DR116" s="15">
        <f t="shared" ca="1" si="152"/>
        <v>1.7811265508684859</v>
      </c>
      <c r="DS116" s="9"/>
      <c r="DT116" s="9"/>
      <c r="DU116" s="9"/>
      <c r="DV116" s="89">
        <v>0.31315136476426753</v>
      </c>
      <c r="DW116" s="89">
        <f t="shared" ca="1" si="107"/>
        <v>0.31315136476426753</v>
      </c>
      <c r="DX116" s="72">
        <f t="shared" ca="1" si="108"/>
        <v>-0.12162606385266124</v>
      </c>
      <c r="DY116" s="37"/>
      <c r="DZ116" s="35">
        <f t="shared" si="118"/>
        <v>8.2219219164377855E-2</v>
      </c>
      <c r="EA116" s="56"/>
      <c r="EB116" s="56"/>
      <c r="ED116" s="2" t="e" vm="115">
        <v>#VALUE!</v>
      </c>
      <c r="EF116" s="10" cm="1">
        <f t="array" aca="1" ref="EF116" ca="1">_FV(ED116,"Ações em circulação",TRUE)</f>
        <v>12318800</v>
      </c>
      <c r="EG116" s="18">
        <f>VLOOKUP(BQ116,Fundamentus!A:U,5,FALSE)</f>
        <v>8.2000000000000003E-2</v>
      </c>
      <c r="EH116" s="2">
        <f t="shared" ca="1" si="109"/>
        <v>223841609.75609756</v>
      </c>
      <c r="EI116" s="17">
        <v>-251624271.30512193</v>
      </c>
      <c r="EJ116" s="17">
        <f t="shared" ca="1" si="110"/>
        <v>-238906150.0926829</v>
      </c>
      <c r="EL116" s="16">
        <f t="shared" ca="1" si="97"/>
        <v>-5.0544095553552215E-2</v>
      </c>
      <c r="EM116" s="32" t="str">
        <f>IF(VLOOKUP(BQ116,Fundamentus!A:U,3,FALSE)&lt;15,"Bom",IF(VLOOKUP(BQ116,Fundamentus!A:U,3,FALSE)&gt;15,"Ruim","n/a"))</f>
        <v>Bom</v>
      </c>
      <c r="EN116" s="28" t="str">
        <f>IF(VLOOKUP(BQ116,Fundamentus!A:U,4,FALSE)&lt;1,"Baixo",IF(VLOOKUP(BQ116,Fundamentus!A:U,4,FALSE)&lt;1.5,"Moderado",IF(VLOOKUP(BQ116,Fundamentus!A:U,4,FALSE)&gt;1.5,"Alto","n/a")))</f>
        <v>Baixo</v>
      </c>
      <c r="EO116" s="17" t="str">
        <f>IF(VLOOKUP(BQ116,Fundamentus!A:U,8,FALSE)&lt;0,"Risco elevado",IF(VLOOKUP(BQ116,Fundamentus!A:U,8,FALSE)&lt;1,"Saudável",IF(VLOOKUP(BQ116,Fundamentus!A:U,8,FALSE)&lt;3,"Estável",IF(VLOOKUP(BQ116,Fundamentus!A:U,8,FALSE)&gt;3,"Alerta","n/a"))))</f>
        <v>Saudável</v>
      </c>
      <c r="EP116" s="28" t="str">
        <f t="shared" si="111"/>
        <v>Ruim</v>
      </c>
      <c r="EQ116" s="17" t="str">
        <f>IF(VLOOKUP(BQ116,Fundamentus!A:U,12,FALSE)&lt;2,"Subvalorizada",IF(VLOOKUP(BQ116,Fundamentus!A:U,12,FALSE)&lt;6,"Muita barata",IF(VLOOKUP(BQ116,Fundamentus!A:U,12,FALSE)&lt;6,"Barata",IF(VLOOKUP(BQ116,Fundamentus!A:U,12,FALSE)&lt;8,"Atrativa",IF(VLOOKUP(BQ116,Fundamentus!A:U,12,FALSE)&gt;8,"Supervalorizada","n/a")))))</f>
        <v>Subvalorizada</v>
      </c>
      <c r="ES116" s="17" t="str">
        <f>IF(VLOOKUP(BQ116,Fundamentus!A:U,17,FALSE)&lt;0.1,"Fraco retorno",IF(VLOOKUP(BQ116,Fundamentus!A:U,17,FALSE)&gt;0.1,"Bom retorno","n/a"))</f>
        <v>Bom retorno</v>
      </c>
      <c r="ET116" s="17" t="str">
        <f>IF(VLOOKUP(BQ116,Fundamentus!A:U,16,FALSE)&lt;0.1,"Ineficiente",IF(VLOOKUP(BQ116,Fundamentus!A:U,16,FALSE)&gt;0.1,"Eficiente","n/a"))</f>
        <v>Ineficiente</v>
      </c>
      <c r="EU116" s="33" t="str">
        <f>IF(VLOOKUP(BQ116,Fundamentus!A:U,16,FALSE)&lt;0.1,"Oper. Ineficiente",IF(VLOOKUP(BQ116,Fundamentus!A:U,16,FALSE)&gt;0.1,"Oper.Eficiente","n/a"))</f>
        <v>Oper. Ineficiente</v>
      </c>
      <c r="EV116" s="34">
        <f>VLOOKUP(BQ116,Fundamentus!A:U,14,FALSE)</f>
        <v>-1.0672999999999999</v>
      </c>
      <c r="EW116" s="17" t="str">
        <f>IF(VLOOKUP(BQ116,Fundamentus!A:U,21,FALSE)&lt;0,"Negativo",IF(VLOOKUP(BQ116,Fundamentus!A:U,21,FALSE)&lt;0.05,"Fraco",IF(VLOOKUP(BQ116,Fundamentus!A:U,21,FALSE)&lt;0.1,"Bom",IF(VLOOKUP(BQ116,Fundamentus!A:U,21,FALSE)&gt;0.1,"Muito bom","n/a"))))</f>
        <v>Muito bom</v>
      </c>
      <c r="EY116" s="29" t="str">
        <f>IF(VLOOKUP(BQ116,Fundamentus!A:U,15,FALSE)&gt;1,"Bom",IF(VLOOKUP(BQ116,Fundamentus!A:U,15,FALSE)&lt;1,"Ruim","n/a"))</f>
        <v>Bom</v>
      </c>
      <c r="EZ116" s="17" t="str">
        <f>IF(VLOOKUP(BQ116,Fundamentus!A:U,20,FALSE)&lt;0.5,"Baixa",IF(VLOOKUP(BQ116,Fundamentus!A:U,20,FALSE)&lt;1,"Moderada",IF(VLOOKUP(BQ116,Fundamentus!A:U,20,FALSE)&lt;2,"Alerta",IF(VLOOKUP(BQ116,Fundamentus!A:U,20,FALSE)&gt;2,"Alta","n/a"))))</f>
        <v>Baixa</v>
      </c>
      <c r="FA116" s="10"/>
    </row>
    <row r="117" spans="1:157" s="2" customFormat="1" ht="11.25" hidden="1" x14ac:dyDescent="0.2">
      <c r="A117" s="4">
        <v>7.66</v>
      </c>
      <c r="B117" s="4">
        <v>7.5</v>
      </c>
      <c r="C117" s="4">
        <v>7.35</v>
      </c>
      <c r="D117" s="4">
        <v>7.29</v>
      </c>
      <c r="E117" s="4">
        <v>7</v>
      </c>
      <c r="F117" s="4">
        <v>6.63</v>
      </c>
      <c r="G117" s="4">
        <v>6.71</v>
      </c>
      <c r="H117" s="4">
        <v>7.17</v>
      </c>
      <c r="I117" s="4">
        <v>7.6</v>
      </c>
      <c r="J117" s="4">
        <v>7.71</v>
      </c>
      <c r="K117" s="4">
        <v>7.64</v>
      </c>
      <c r="L117" s="4">
        <v>7.96</v>
      </c>
      <c r="M117" s="4">
        <v>6.05</v>
      </c>
      <c r="N117" s="4">
        <v>5.88</v>
      </c>
      <c r="O117" s="4">
        <v>5.85</v>
      </c>
      <c r="P117" s="4">
        <v>6.02</v>
      </c>
      <c r="Q117" s="4">
        <v>6.41</v>
      </c>
      <c r="R117" s="4">
        <v>6.09</v>
      </c>
      <c r="S117" s="4">
        <v>5.87</v>
      </c>
      <c r="T117" s="4">
        <v>6.06</v>
      </c>
      <c r="U117" s="4">
        <v>5.75</v>
      </c>
      <c r="V117" s="4">
        <v>6.01</v>
      </c>
      <c r="W117" s="4">
        <v>6.09</v>
      </c>
      <c r="X117" s="4">
        <v>6.08</v>
      </c>
      <c r="Y117" s="4">
        <v>5.99</v>
      </c>
      <c r="Z117" s="4">
        <v>6.46</v>
      </c>
      <c r="AA117" s="4">
        <v>6.08</v>
      </c>
      <c r="AB117" s="4">
        <v>6.16</v>
      </c>
      <c r="AC117" s="4">
        <v>5.95</v>
      </c>
      <c r="AD117" s="4">
        <v>6.14</v>
      </c>
      <c r="AE117" s="4">
        <v>6.1</v>
      </c>
      <c r="AF117" s="4">
        <v>5.9</v>
      </c>
      <c r="AG117" s="4">
        <v>5.85</v>
      </c>
      <c r="AH117" s="4">
        <v>5.3</v>
      </c>
      <c r="AI117" s="4">
        <v>5.25</v>
      </c>
      <c r="AJ117" s="4">
        <v>4.9800000000000004</v>
      </c>
      <c r="AK117" s="4">
        <v>4.8099999999999996</v>
      </c>
      <c r="AL117" s="4">
        <v>5.0999999999999996</v>
      </c>
      <c r="AM117" s="4">
        <v>5.31</v>
      </c>
      <c r="AN117" s="4">
        <v>5.44</v>
      </c>
      <c r="AO117" s="4">
        <v>5.5</v>
      </c>
      <c r="AP117" s="4">
        <v>5.9</v>
      </c>
      <c r="AQ117" s="4">
        <v>5.9</v>
      </c>
      <c r="AR117" s="4">
        <v>5.66</v>
      </c>
      <c r="AS117" s="4">
        <v>5.92</v>
      </c>
      <c r="AT117" s="4">
        <v>5.85</v>
      </c>
      <c r="AU117" s="4">
        <v>5.83</v>
      </c>
      <c r="AV117" s="4">
        <v>5.7</v>
      </c>
      <c r="AW117" s="4">
        <v>5.31</v>
      </c>
      <c r="AX117" s="4">
        <v>5.36</v>
      </c>
      <c r="AY117" s="12">
        <v>5.65</v>
      </c>
      <c r="AZ117" s="12">
        <v>5.74</v>
      </c>
      <c r="BA117" s="12">
        <v>5.51</v>
      </c>
      <c r="BB117" s="15">
        <v>5.51</v>
      </c>
      <c r="BC117" s="52">
        <v>5.53</v>
      </c>
      <c r="BD117" s="52">
        <v>5.25</v>
      </c>
      <c r="BE117" s="52">
        <v>5.0999999999999996</v>
      </c>
      <c r="BF117" s="52">
        <v>5.13</v>
      </c>
      <c r="BG117" s="67">
        <v>4.76</v>
      </c>
      <c r="BH117" s="52">
        <v>4.4400000000000004</v>
      </c>
      <c r="BI117" s="52">
        <v>4.2</v>
      </c>
      <c r="BJ117" s="52">
        <v>4.45</v>
      </c>
      <c r="BK117" s="52">
        <v>4.37</v>
      </c>
      <c r="BL117" s="52">
        <v>4.0199999999999996</v>
      </c>
      <c r="BM117" s="52">
        <v>4.2699999999999996</v>
      </c>
      <c r="BN117" s="52">
        <v>4.59</v>
      </c>
      <c r="BO117" s="52">
        <v>4.68</v>
      </c>
      <c r="BP117" s="52" cm="1">
        <f t="array" aca="1" ref="BP117" ca="1">_FV(ED117,"Preço")</f>
        <v>4.18</v>
      </c>
      <c r="BQ117" s="69" t="s">
        <v>113</v>
      </c>
      <c r="BR117" s="36" cm="1">
        <f t="array" aca="1" ref="BR117" ca="1">_FV(ED117,"Média de volume",TRUE)</f>
        <v>13754030</v>
      </c>
      <c r="BS117" s="36">
        <v>636100</v>
      </c>
      <c r="BT117" s="36" cm="1">
        <f t="array" aca="1" ref="BT117" ca="1">_FV(ED117,"Volume")</f>
        <v>138100</v>
      </c>
      <c r="BU117" s="24" cm="1">
        <f t="array" aca="1" ref="BU117" ca="1">_FV(ED117,"Beta")</f>
        <v>0.91479999999999995</v>
      </c>
      <c r="BV117" s="71" cm="1">
        <f t="array" aca="1" ref="BV117" ca="1">_FV(ED117,"Variação (%)",TRUE)</f>
        <v>-2.3869999999999998E-3</v>
      </c>
      <c r="BX117" s="17" cm="1">
        <f t="array" aca="1" ref="BX117" ca="1">_FV(ED117,"Baixo")</f>
        <v>4.13</v>
      </c>
      <c r="BY117" s="17" cm="1">
        <f t="array" aca="1" ref="BY117" ca="1">_FV(ED117,"Alto")</f>
        <v>4.2</v>
      </c>
      <c r="BZ117" s="24"/>
      <c r="CA117" s="63">
        <f ca="1">SQRT(22.5*(BP117/VLOOKUP(BQ117,Fundamentus!A:U,3,FALSE))*(BP117/VLOOKUP(BQ117,Fundamentus!A:U,4,FALSE)))</f>
        <v>6.5117425786075387</v>
      </c>
      <c r="CC117" s="62">
        <f t="shared" ca="1" si="112"/>
        <v>-0.10683760683760685</v>
      </c>
      <c r="CD117" s="8"/>
      <c r="CE117" s="61">
        <f t="shared" si="113"/>
        <v>4.0199999999999996</v>
      </c>
      <c r="CF117" s="61">
        <f t="shared" si="114"/>
        <v>7.96</v>
      </c>
      <c r="CG117" s="61">
        <f t="shared" si="115"/>
        <v>5.840746268656714</v>
      </c>
      <c r="CH117" s="14"/>
      <c r="CI117" s="35">
        <f t="shared" si="98"/>
        <v>4.4953448073319349</v>
      </c>
      <c r="CJ117" s="15">
        <f t="shared" si="116"/>
        <v>4.9649999999999181</v>
      </c>
      <c r="CK117" s="35">
        <f t="shared" si="99"/>
        <v>5.4346551926679014</v>
      </c>
      <c r="CM117" s="14"/>
      <c r="CN117" s="17">
        <f t="shared" si="100"/>
        <v>-0.793333333333333</v>
      </c>
      <c r="CO117" s="17">
        <f t="shared" si="101"/>
        <v>1.6133333333333333</v>
      </c>
      <c r="CP117" s="17">
        <f t="shared" si="102"/>
        <v>3.1466666666666674</v>
      </c>
      <c r="CQ117" s="38">
        <f t="shared" si="117"/>
        <v>5.5533333333333337</v>
      </c>
      <c r="CR117" s="17">
        <f t="shared" si="103"/>
        <v>7.0866666666666678</v>
      </c>
      <c r="CS117" s="17">
        <f t="shared" si="104"/>
        <v>9.4933333333333341</v>
      </c>
      <c r="CT117" s="17">
        <f t="shared" si="105"/>
        <v>11.026666666666667</v>
      </c>
      <c r="CU117" s="2" cm="1">
        <f t="array" aca="1" ref="CU117" ca="1">MAX(_xlfn._xlws.FILTER(CN117:CT117,CN117:CT117&lt;BP117))</f>
        <v>3.1466666666666674</v>
      </c>
      <c r="CV117" s="2" cm="1">
        <f t="array" aca="1" ref="CV117" ca="1">MIN(_xlfn._xlws.FILTER($CN117:$CT117,$CN117:$CT117&gt;BP117))</f>
        <v>5.5533333333333337</v>
      </c>
      <c r="CW117" s="16">
        <f t="shared" ca="1" si="136"/>
        <v>0.7648305084745759</v>
      </c>
      <c r="CX117" s="20">
        <f t="shared" ca="1" si="137"/>
        <v>-0.38241525423728795</v>
      </c>
      <c r="CY117" s="20">
        <f t="shared" ca="1" si="138"/>
        <v>-0.25494350282485861</v>
      </c>
      <c r="CZ117" s="20">
        <f t="shared" ca="1" si="139"/>
        <v>-0.15296610169491517</v>
      </c>
      <c r="DA117" s="20">
        <f t="shared" ca="1" si="140"/>
        <v>-8.4981167608286209E-2</v>
      </c>
      <c r="DB117" s="20">
        <f t="shared" ca="1" si="141"/>
        <v>-4.4990029910269173E-2</v>
      </c>
      <c r="DC117" s="20">
        <f t="shared" ca="1" si="142"/>
        <v>-2.3176682074987149E-2</v>
      </c>
      <c r="DD117" s="20">
        <f t="shared" ca="1" si="143"/>
        <v>-1.1766623207301168E-2</v>
      </c>
      <c r="DE117" s="21">
        <f t="shared" ca="1" si="144"/>
        <v>1.1766623207301168E-2</v>
      </c>
      <c r="DF117" s="21">
        <f t="shared" ca="1" si="145"/>
        <v>2.3176682074987149E-2</v>
      </c>
      <c r="DG117" s="21">
        <f t="shared" ca="1" si="146"/>
        <v>4.4990029910269173E-2</v>
      </c>
      <c r="DH117" s="21">
        <f t="shared" ca="1" si="147"/>
        <v>8.4981167608286209E-2</v>
      </c>
      <c r="DI117" s="21">
        <f t="shared" ca="1" si="148"/>
        <v>0.15296610169491517</v>
      </c>
      <c r="DJ117" s="21">
        <f t="shared" ca="1" si="149"/>
        <v>0.25494350282485861</v>
      </c>
      <c r="DK117" s="21">
        <f t="shared" ca="1" si="150"/>
        <v>0.38241525423728795</v>
      </c>
      <c r="DM117" s="16" cm="1">
        <f t="array" aca="1" ref="DM117" ca="1">MAX(_xlfn._xlws.FILTER(CX117:DK117,CX117:DK117&lt;BV117))</f>
        <v>-1.1766623207301168E-2</v>
      </c>
      <c r="DN117" s="16" cm="1">
        <f t="array" aca="1" ref="DN117" ca="1">MIN(_xlfn._xlws.FILTER(CX117:DK117,CX117:DK117&gt;BV117))</f>
        <v>1.1766623207301168E-2</v>
      </c>
      <c r="DO117" s="2" cm="1">
        <f t="array" aca="1" ref="DO117" ca="1">_FV(ED117,"Fechamento anterior",TRUE)</f>
        <v>4.1900000000000004</v>
      </c>
      <c r="DP117" s="28">
        <f t="shared" ca="1" si="106"/>
        <v>0.39858454703521162</v>
      </c>
      <c r="DQ117" s="15">
        <f t="shared" ca="1" si="151"/>
        <v>4.1406978487614081</v>
      </c>
      <c r="DR117" s="15">
        <f t="shared" ca="1" si="152"/>
        <v>4.2393021512385927</v>
      </c>
      <c r="DS117" s="9"/>
      <c r="DT117" s="9"/>
      <c r="DU117" s="9"/>
      <c r="DV117" s="89">
        <v>2.3533246414602336E-2</v>
      </c>
      <c r="DW117" s="89">
        <f t="shared" ca="1" si="107"/>
        <v>2.3533246414602336E-2</v>
      </c>
      <c r="DX117" s="72">
        <f t="shared" ca="1" si="108"/>
        <v>-1.6714389881234937</v>
      </c>
      <c r="DY117" s="37"/>
      <c r="DZ117" s="35">
        <f t="shared" si="118"/>
        <v>0.23482759633399147</v>
      </c>
      <c r="EA117" s="56"/>
      <c r="EB117" s="56"/>
      <c r="ED117" s="2" t="e" vm="116">
        <v>#VALUE!</v>
      </c>
      <c r="EF117" s="10" cm="1">
        <f t="array" aca="1" ref="EF117" ca="1">_FV(ED117,"Ações em circulação",TRUE)</f>
        <v>1253079000</v>
      </c>
      <c r="EG117" s="18">
        <f>VLOOKUP(BQ117,Fundamentus!A:U,5,FALSE)</f>
        <v>0.214</v>
      </c>
      <c r="EH117" s="2">
        <f t="shared" ca="1" si="109"/>
        <v>24476029065.420563</v>
      </c>
      <c r="EI117" s="17">
        <v>315143512.99065417</v>
      </c>
      <c r="EJ117" s="17">
        <f t="shared" ca="1" si="110"/>
        <v>281474334.25233644</v>
      </c>
      <c r="EL117" s="16">
        <f t="shared" ca="1" si="97"/>
        <v>-0.10683760683760679</v>
      </c>
      <c r="EM117" s="32" t="str">
        <f>IF(VLOOKUP(BQ117,Fundamentus!A:U,3,FALSE)&lt;15,"Bom",IF(VLOOKUP(BQ117,Fundamentus!A:U,3,FALSE)&gt;15,"Ruim","n/a"))</f>
        <v>Ruim</v>
      </c>
      <c r="EN117" s="28" t="str">
        <f>IF(VLOOKUP(BQ117,Fundamentus!A:U,4,FALSE)&lt;1,"Baixo",IF(VLOOKUP(BQ117,Fundamentus!A:U,4,FALSE)&lt;1.5,"Moderado",IF(VLOOKUP(BQ117,Fundamentus!A:U,4,FALSE)&gt;1.5,"Alto","n/a")))</f>
        <v>Baixo</v>
      </c>
      <c r="EO117" s="17" t="str">
        <f>IF(VLOOKUP(BQ117,Fundamentus!A:U,8,FALSE)&lt;0,"Risco elevado",IF(VLOOKUP(BQ117,Fundamentus!A:U,8,FALSE)&lt;1,"Saudável",IF(VLOOKUP(BQ117,Fundamentus!A:U,8,FALSE)&lt;3,"Estável",IF(VLOOKUP(BQ117,Fundamentus!A:U,8,FALSE)&gt;3,"Alerta","n/a"))))</f>
        <v>Saudável</v>
      </c>
      <c r="EP117" s="28" t="str">
        <f t="shared" si="111"/>
        <v>Ruim</v>
      </c>
      <c r="EQ117" s="17" t="str">
        <f>IF(VLOOKUP(BQ117,Fundamentus!A:U,12,FALSE)&lt;2,"Subvalorizada",IF(VLOOKUP(BQ117,Fundamentus!A:U,12,FALSE)&lt;6,"Muita barata",IF(VLOOKUP(BQ117,Fundamentus!A:U,12,FALSE)&lt;6,"Barata",IF(VLOOKUP(BQ117,Fundamentus!A:U,12,FALSE)&lt;8,"Atrativa",IF(VLOOKUP(BQ117,Fundamentus!A:U,12,FALSE)&gt;8,"Supervalorizada","n/a")))))</f>
        <v>Muita barata</v>
      </c>
      <c r="ES117" s="17" t="str">
        <f>IF(VLOOKUP(BQ117,Fundamentus!A:U,17,FALSE)&lt;0.1,"Fraco retorno",IF(VLOOKUP(BQ117,Fundamentus!A:U,17,FALSE)&gt;0.1,"Bom retorno","n/a"))</f>
        <v>Fraco retorno</v>
      </c>
      <c r="ET117" s="17" t="str">
        <f>IF(VLOOKUP(BQ117,Fundamentus!A:U,16,FALSE)&lt;0.1,"Ineficiente",IF(VLOOKUP(BQ117,Fundamentus!A:U,16,FALSE)&gt;0.1,"Eficiente","n/a"))</f>
        <v>Ineficiente</v>
      </c>
      <c r="EU117" s="33" t="str">
        <f>IF(VLOOKUP(BQ117,Fundamentus!A:U,16,FALSE)&lt;0.1,"Oper. Ineficiente",IF(VLOOKUP(BQ117,Fundamentus!A:U,16,FALSE)&gt;0.1,"Oper.Eficiente","n/a"))</f>
        <v>Oper. Ineficiente</v>
      </c>
      <c r="EV117" s="34">
        <f>VLOOKUP(BQ117,Fundamentus!A:U,14,FALSE)</f>
        <v>1.15E-2</v>
      </c>
      <c r="EW117" s="17" t="str">
        <f>IF(VLOOKUP(BQ117,Fundamentus!A:U,21,FALSE)&lt;0,"Negativo",IF(VLOOKUP(BQ117,Fundamentus!A:U,21,FALSE)&lt;0.05,"Fraco",IF(VLOOKUP(BQ117,Fundamentus!A:U,21,FALSE)&lt;0.1,"Bom",IF(VLOOKUP(BQ117,Fundamentus!A:U,21,FALSE)&gt;0.1,"Muito bom","n/a"))))</f>
        <v>Fraco</v>
      </c>
      <c r="EY117" s="29" t="str">
        <f>IF(VLOOKUP(BQ117,Fundamentus!A:U,15,FALSE)&gt;1,"Bom",IF(VLOOKUP(BQ117,Fundamentus!A:U,15,FALSE)&lt;1,"Ruim","n/a"))</f>
        <v>Bom</v>
      </c>
      <c r="EZ117" s="17" t="str">
        <f>IF(VLOOKUP(BQ117,Fundamentus!A:U,20,FALSE)&lt;0.5,"Baixa",IF(VLOOKUP(BQ117,Fundamentus!A:U,20,FALSE)&lt;1,"Moderada",IF(VLOOKUP(BQ117,Fundamentus!A:U,20,FALSE)&lt;2,"Alerta",IF(VLOOKUP(BQ117,Fundamentus!A:U,20,FALSE)&gt;2,"Alta","n/a"))))</f>
        <v>Baixa</v>
      </c>
      <c r="FA117" s="10"/>
    </row>
    <row r="118" spans="1:157" s="2" customFormat="1" ht="11.25" hidden="1" x14ac:dyDescent="0.2">
      <c r="A118" s="4">
        <v>20.61</v>
      </c>
      <c r="B118" s="4">
        <v>18.97</v>
      </c>
      <c r="C118" s="4">
        <v>18.850000000000001</v>
      </c>
      <c r="D118" s="4">
        <v>18.78</v>
      </c>
      <c r="E118" s="4">
        <v>18.32</v>
      </c>
      <c r="F118" s="4">
        <v>19.3</v>
      </c>
      <c r="G118" s="4">
        <v>18.55</v>
      </c>
      <c r="H118" s="4">
        <v>18.95</v>
      </c>
      <c r="I118" s="4">
        <v>20.78</v>
      </c>
      <c r="J118" s="4">
        <v>21.72</v>
      </c>
      <c r="K118" s="4">
        <v>21.01</v>
      </c>
      <c r="L118" s="4">
        <v>21.66</v>
      </c>
      <c r="M118" s="4">
        <v>21.58</v>
      </c>
      <c r="N118" s="4">
        <v>21.93</v>
      </c>
      <c r="O118" s="4">
        <v>23.31</v>
      </c>
      <c r="P118" s="4">
        <v>23.37</v>
      </c>
      <c r="Q118" s="4">
        <v>24</v>
      </c>
      <c r="R118" s="4">
        <v>23.82</v>
      </c>
      <c r="S118" s="4">
        <v>24.49</v>
      </c>
      <c r="T118" s="4">
        <v>25.49</v>
      </c>
      <c r="U118" s="4">
        <v>24.39</v>
      </c>
      <c r="V118" s="4">
        <v>22.7</v>
      </c>
      <c r="W118" s="4">
        <v>22.64</v>
      </c>
      <c r="X118" s="4">
        <v>22.21</v>
      </c>
      <c r="Y118" s="4">
        <v>23.63</v>
      </c>
      <c r="Z118" s="4">
        <v>24.55</v>
      </c>
      <c r="AA118" s="4">
        <v>23.96</v>
      </c>
      <c r="AB118" s="4">
        <v>22.7</v>
      </c>
      <c r="AC118" s="4">
        <v>22.66</v>
      </c>
      <c r="AD118" s="4">
        <v>22.75</v>
      </c>
      <c r="AE118" s="4">
        <v>20.56</v>
      </c>
      <c r="AF118" s="4">
        <v>20.71</v>
      </c>
      <c r="AG118" s="4">
        <v>19.52</v>
      </c>
      <c r="AH118" s="4">
        <v>18.3</v>
      </c>
      <c r="AI118" s="4">
        <v>17.989999999999998</v>
      </c>
      <c r="AJ118" s="4">
        <v>17.3</v>
      </c>
      <c r="AK118" s="4">
        <v>18.100000000000001</v>
      </c>
      <c r="AL118" s="4">
        <v>19.52</v>
      </c>
      <c r="AM118" s="4">
        <v>20.399999999999999</v>
      </c>
      <c r="AN118" s="4">
        <v>21.62</v>
      </c>
      <c r="AO118" s="4">
        <v>22.35</v>
      </c>
      <c r="AP118" s="4">
        <v>23.24</v>
      </c>
      <c r="AQ118" s="4">
        <v>23.75</v>
      </c>
      <c r="AR118" s="4">
        <v>21.21</v>
      </c>
      <c r="AS118" s="4">
        <v>22.16</v>
      </c>
      <c r="AT118" s="4">
        <v>23.33</v>
      </c>
      <c r="AU118" s="4">
        <v>24.004999999999999</v>
      </c>
      <c r="AV118" s="4">
        <v>24.79</v>
      </c>
      <c r="AW118" s="4">
        <v>25.36</v>
      </c>
      <c r="AX118" s="4">
        <v>25.93</v>
      </c>
      <c r="AY118" s="12">
        <v>27.34</v>
      </c>
      <c r="AZ118" s="12">
        <v>27.25</v>
      </c>
      <c r="BA118" s="12">
        <v>27.55</v>
      </c>
      <c r="BB118" s="15">
        <v>29.65</v>
      </c>
      <c r="BC118" s="52">
        <v>29.73</v>
      </c>
      <c r="BD118" s="52">
        <v>29.81</v>
      </c>
      <c r="BE118" s="52">
        <v>28.66</v>
      </c>
      <c r="BF118" s="52">
        <v>29.61</v>
      </c>
      <c r="BG118" s="67">
        <v>29.09</v>
      </c>
      <c r="BH118" s="52">
        <v>29.15</v>
      </c>
      <c r="BI118" s="52">
        <v>29.2</v>
      </c>
      <c r="BJ118" s="52">
        <v>29.95</v>
      </c>
      <c r="BK118" s="52">
        <v>29.75</v>
      </c>
      <c r="BL118" s="52">
        <v>29.81</v>
      </c>
      <c r="BM118" s="52">
        <v>29.09</v>
      </c>
      <c r="BN118" s="52">
        <v>30.1</v>
      </c>
      <c r="BO118" s="52">
        <v>32</v>
      </c>
      <c r="BP118" s="52" cm="1">
        <f t="array" aca="1" ref="BP118" ca="1">_FV(ED118,"Preço")</f>
        <v>32</v>
      </c>
      <c r="BQ118" s="69" t="s">
        <v>114</v>
      </c>
      <c r="BR118" s="36" cm="1">
        <f t="array" aca="1" ref="BR118" ca="1">_FV(ED118,"Média de volume",TRUE)</f>
        <v>2692970</v>
      </c>
      <c r="BS118" s="36">
        <v>4876100</v>
      </c>
      <c r="BT118" s="36" cm="1">
        <f t="array" aca="1" ref="BT118" ca="1">_FV(ED118,"Volume")</f>
        <v>2397100</v>
      </c>
      <c r="BU118" s="24" cm="1">
        <f t="array" aca="1" ref="BU118" ca="1">_FV(ED118,"Beta")</f>
        <v>1.0406</v>
      </c>
      <c r="BV118" s="71" cm="1">
        <f t="array" aca="1" ref="BV118" ca="1">_FV(ED118,"Variação (%)",TRUE)</f>
        <v>-6.2109999999999995E-3</v>
      </c>
      <c r="BX118" s="17" cm="1">
        <f t="array" aca="1" ref="BX118" ca="1">_FV(ED118,"Baixo")</f>
        <v>32</v>
      </c>
      <c r="BY118" s="17" cm="1">
        <f t="array" aca="1" ref="BY118" ca="1">_FV(ED118,"Alto")</f>
        <v>32.65</v>
      </c>
      <c r="BZ118" s="24"/>
      <c r="CA118" s="63">
        <f ca="1">SQRT(22.5*(BP118/VLOOKUP(BQ118,Fundamentus!A:U,3,FALSE))*(BP118/VLOOKUP(BQ118,Fundamentus!A:U,4,FALSE)))</f>
        <v>16.124277553284685</v>
      </c>
      <c r="CC118" s="62">
        <f t="shared" ca="1" si="112"/>
        <v>0</v>
      </c>
      <c r="CD118" s="8"/>
      <c r="CE118" s="61">
        <f t="shared" si="113"/>
        <v>17.3</v>
      </c>
      <c r="CF118" s="61">
        <f t="shared" si="114"/>
        <v>32</v>
      </c>
      <c r="CG118" s="61">
        <f t="shared" si="115"/>
        <v>23.665149253731336</v>
      </c>
      <c r="CH118" s="14"/>
      <c r="CI118" s="35">
        <f t="shared" si="98"/>
        <v>30.180474612025009</v>
      </c>
      <c r="CJ118" s="15">
        <f t="shared" si="116"/>
        <v>32.145000000000437</v>
      </c>
      <c r="CK118" s="35">
        <f t="shared" si="99"/>
        <v>34.109525387975864</v>
      </c>
      <c r="CM118" s="14"/>
      <c r="CN118" s="17">
        <f t="shared" si="100"/>
        <v>7.4999999999999964</v>
      </c>
      <c r="CO118" s="17">
        <f t="shared" si="101"/>
        <v>12.399999999999999</v>
      </c>
      <c r="CP118" s="17">
        <f t="shared" si="102"/>
        <v>22.199999999999996</v>
      </c>
      <c r="CQ118" s="38">
        <f t="shared" si="117"/>
        <v>27.099999999999998</v>
      </c>
      <c r="CR118" s="17">
        <f t="shared" si="103"/>
        <v>36.899999999999991</v>
      </c>
      <c r="CS118" s="17">
        <f t="shared" si="104"/>
        <v>41.8</v>
      </c>
      <c r="CT118" s="17">
        <f t="shared" si="105"/>
        <v>51.599999999999994</v>
      </c>
      <c r="CU118" s="2" cm="1">
        <f t="array" aca="1" ref="CU118" ca="1">MAX(_xlfn._xlws.FILTER(CN118:CT118,CN118:CT118&lt;BP118))</f>
        <v>27.099999999999998</v>
      </c>
      <c r="CV118" s="2" cm="1">
        <f t="array" aca="1" ref="CV118" ca="1">MIN(_xlfn._xlws.FILTER($CN118:$CT118,$CN118:$CT118&gt;BP118))</f>
        <v>36.899999999999991</v>
      </c>
      <c r="CW118" s="16">
        <f t="shared" ca="1" si="136"/>
        <v>0.36162361623616213</v>
      </c>
      <c r="CX118" s="20">
        <f t="shared" ca="1" si="137"/>
        <v>-0.18081180811808106</v>
      </c>
      <c r="CY118" s="20">
        <f t="shared" ca="1" si="138"/>
        <v>-0.12054120541205404</v>
      </c>
      <c r="CZ118" s="20">
        <f t="shared" ca="1" si="139"/>
        <v>-7.2324723247232423E-2</v>
      </c>
      <c r="DA118" s="20">
        <f t="shared" ca="1" si="140"/>
        <v>-4.0180401804018016E-2</v>
      </c>
      <c r="DB118" s="20">
        <f t="shared" ca="1" si="141"/>
        <v>-2.1271977425656594E-2</v>
      </c>
      <c r="DC118" s="20">
        <f t="shared" ca="1" si="142"/>
        <v>-1.0958291401095822E-2</v>
      </c>
      <c r="DD118" s="20">
        <f t="shared" ca="1" si="143"/>
        <v>-5.5634402497871096E-3</v>
      </c>
      <c r="DE118" s="21">
        <f t="shared" ca="1" si="144"/>
        <v>5.5634402497871096E-3</v>
      </c>
      <c r="DF118" s="21">
        <f t="shared" ca="1" si="145"/>
        <v>1.0958291401095822E-2</v>
      </c>
      <c r="DG118" s="21">
        <f t="shared" ca="1" si="146"/>
        <v>2.1271977425656594E-2</v>
      </c>
      <c r="DH118" s="21">
        <f t="shared" ca="1" si="147"/>
        <v>4.0180401804018016E-2</v>
      </c>
      <c r="DI118" s="21">
        <f t="shared" ca="1" si="148"/>
        <v>7.2324723247232423E-2</v>
      </c>
      <c r="DJ118" s="21">
        <f t="shared" ca="1" si="149"/>
        <v>0.12054120541205404</v>
      </c>
      <c r="DK118" s="21">
        <f t="shared" ca="1" si="150"/>
        <v>0.18081180811808106</v>
      </c>
      <c r="DM118" s="16" cm="1">
        <f t="array" aca="1" ref="DM118" ca="1">MAX(_xlfn._xlws.FILTER(CX118:DK118,CX118:DK118&lt;BV118))</f>
        <v>-1.0958291401095822E-2</v>
      </c>
      <c r="DN118" s="16" cm="1">
        <f t="array" aca="1" ref="DN118" ca="1">MIN(_xlfn._xlws.FILTER(CX118:DK118,CX118:DK118&gt;BV118))</f>
        <v>-5.5634402497871096E-3</v>
      </c>
      <c r="DO118" s="2" cm="1">
        <f t="array" aca="1" ref="DO118" ca="1">_FV(ED118,"Fechamento anterior",TRUE)</f>
        <v>32.200000000000003</v>
      </c>
      <c r="DP118" s="28">
        <f t="shared" ca="1" si="106"/>
        <v>0.87993368931420846</v>
      </c>
      <c r="DQ118" s="15">
        <f t="shared" ca="1" si="151"/>
        <v>31.847143016884718</v>
      </c>
      <c r="DR118" s="15">
        <f t="shared" ca="1" si="152"/>
        <v>32.02085722395686</v>
      </c>
      <c r="DS118" s="9"/>
      <c r="DT118" s="9"/>
      <c r="DU118" s="9"/>
      <c r="DV118" s="89">
        <v>1.8908424378361422E-2</v>
      </c>
      <c r="DW118" s="89">
        <f t="shared" ca="1" si="107"/>
        <v>5.3948511513087121E-3</v>
      </c>
      <c r="DX118" s="72">
        <f t="shared" ca="1" si="108"/>
        <v>-7.3809175940387592E-2</v>
      </c>
      <c r="DY118" s="37"/>
      <c r="DZ118" s="35">
        <f t="shared" si="118"/>
        <v>0.98226269398771338</v>
      </c>
      <c r="EA118" s="56"/>
      <c r="EB118" s="56"/>
      <c r="ED118" s="2" t="e" vm="117">
        <v>#VALUE!</v>
      </c>
      <c r="EF118" s="10" cm="1">
        <f t="array" aca="1" ref="EF118" ca="1">_FV(ED118,"Ações em circulação",TRUE)</f>
        <v>291875100</v>
      </c>
      <c r="EG118" s="18">
        <f>VLOOKUP(BQ118,Fundamentus!A:U,5,FALSE)</f>
        <v>1.978</v>
      </c>
      <c r="EH118" s="2">
        <f t="shared" ca="1" si="109"/>
        <v>4721942972.6996965</v>
      </c>
      <c r="EI118" s="17">
        <v>853727289.46410513</v>
      </c>
      <c r="EJ118" s="17">
        <f t="shared" ca="1" si="110"/>
        <v>853727289.46410513</v>
      </c>
      <c r="EL118" s="16">
        <f t="shared" ca="1" si="97"/>
        <v>0</v>
      </c>
      <c r="EM118" s="32" t="str">
        <f>IF(VLOOKUP(BQ118,Fundamentus!A:U,3,FALSE)&lt;15,"Bom",IF(VLOOKUP(BQ118,Fundamentus!A:U,3,FALSE)&gt;15,"Ruim","n/a"))</f>
        <v>Bom</v>
      </c>
      <c r="EN118" s="28" t="str">
        <f>IF(VLOOKUP(BQ118,Fundamentus!A:U,4,FALSE)&lt;1,"Baixo",IF(VLOOKUP(BQ118,Fundamentus!A:U,4,FALSE)&lt;1.5,"Moderado",IF(VLOOKUP(BQ118,Fundamentus!A:U,4,FALSE)&gt;1.5,"Alto","n/a")))</f>
        <v>Alto</v>
      </c>
      <c r="EO118" s="17" t="str">
        <f>IF(VLOOKUP(BQ118,Fundamentus!A:U,8,FALSE)&lt;0,"Risco elevado",IF(VLOOKUP(BQ118,Fundamentus!A:U,8,FALSE)&lt;1,"Saudável",IF(VLOOKUP(BQ118,Fundamentus!A:U,8,FALSE)&lt;3,"Estável",IF(VLOOKUP(BQ118,Fundamentus!A:U,8,FALSE)&gt;3,"Alerta","n/a"))))</f>
        <v>Alerta</v>
      </c>
      <c r="EP118" s="28" t="str">
        <f t="shared" si="111"/>
        <v>Bom</v>
      </c>
      <c r="EQ118" s="17" t="str">
        <f>IF(VLOOKUP(BQ118,Fundamentus!A:U,12,FALSE)&lt;2,"Subvalorizada",IF(VLOOKUP(BQ118,Fundamentus!A:U,12,FALSE)&lt;6,"Muita barata",IF(VLOOKUP(BQ118,Fundamentus!A:U,12,FALSE)&lt;6,"Barata",IF(VLOOKUP(BQ118,Fundamentus!A:U,12,FALSE)&lt;8,"Atrativa",IF(VLOOKUP(BQ118,Fundamentus!A:U,12,FALSE)&gt;8,"Supervalorizada","n/a")))))</f>
        <v>Atrativa</v>
      </c>
      <c r="ES118" s="17" t="str">
        <f>IF(VLOOKUP(BQ118,Fundamentus!A:U,17,FALSE)&lt;0.1,"Fraco retorno",IF(VLOOKUP(BQ118,Fundamentus!A:U,17,FALSE)&gt;0.1,"Bom retorno","n/a"))</f>
        <v>Bom retorno</v>
      </c>
      <c r="ET118" s="17" t="str">
        <f>IF(VLOOKUP(BQ118,Fundamentus!A:U,16,FALSE)&lt;0.1,"Ineficiente",IF(VLOOKUP(BQ118,Fundamentus!A:U,16,FALSE)&gt;0.1,"Eficiente","n/a"))</f>
        <v>Eficiente</v>
      </c>
      <c r="EU118" s="33" t="str">
        <f>IF(VLOOKUP(BQ118,Fundamentus!A:U,16,FALSE)&lt;0.1,"Oper. Ineficiente",IF(VLOOKUP(BQ118,Fundamentus!A:U,16,FALSE)&gt;0.1,"Oper.Eficiente","n/a"))</f>
        <v>Oper.Eficiente</v>
      </c>
      <c r="EV118" s="34">
        <f>VLOOKUP(BQ118,Fundamentus!A:U,14,FALSE)</f>
        <v>0.18079999999999999</v>
      </c>
      <c r="EW118" s="17" t="str">
        <f>IF(VLOOKUP(BQ118,Fundamentus!A:U,21,FALSE)&lt;0,"Negativo",IF(VLOOKUP(BQ118,Fundamentus!A:U,21,FALSE)&lt;0.05,"Fraco",IF(VLOOKUP(BQ118,Fundamentus!A:U,21,FALSE)&lt;0.1,"Bom",IF(VLOOKUP(BQ118,Fundamentus!A:U,21,FALSE)&gt;0.1,"Muito bom","n/a"))))</f>
        <v>Muito bom</v>
      </c>
      <c r="EY118" s="29" t="str">
        <f>IF(VLOOKUP(BQ118,Fundamentus!A:U,15,FALSE)&gt;1,"Bom",IF(VLOOKUP(BQ118,Fundamentus!A:U,15,FALSE)&lt;1,"Ruim","n/a"))</f>
        <v>Bom</v>
      </c>
      <c r="EZ118" s="17" t="str">
        <f>IF(VLOOKUP(BQ118,Fundamentus!A:U,20,FALSE)&lt;0.5,"Baixa",IF(VLOOKUP(BQ118,Fundamentus!A:U,20,FALSE)&lt;1,"Moderada",IF(VLOOKUP(BQ118,Fundamentus!A:U,20,FALSE)&lt;2,"Alerta",IF(VLOOKUP(BQ118,Fundamentus!A:U,20,FALSE)&gt;2,"Alta","n/a"))))</f>
        <v>Alerta</v>
      </c>
      <c r="FA118" s="10"/>
    </row>
    <row r="119" spans="1:157" s="2" customFormat="1" ht="11.25" hidden="1" x14ac:dyDescent="0.2">
      <c r="A119" s="4">
        <v>26.63</v>
      </c>
      <c r="B119" s="4">
        <v>25.1</v>
      </c>
      <c r="C119" s="4">
        <v>24.84</v>
      </c>
      <c r="D119" s="4">
        <v>23.7</v>
      </c>
      <c r="E119" s="4">
        <v>23.17</v>
      </c>
      <c r="F119" s="4">
        <v>22.16</v>
      </c>
      <c r="G119" s="4">
        <v>21.75</v>
      </c>
      <c r="H119" s="4">
        <v>21.59</v>
      </c>
      <c r="I119" s="4">
        <v>21.57</v>
      </c>
      <c r="J119" s="4">
        <v>22.1</v>
      </c>
      <c r="K119" s="4">
        <v>22.7</v>
      </c>
      <c r="L119" s="4">
        <v>23.22</v>
      </c>
      <c r="M119" s="4">
        <v>22.9</v>
      </c>
      <c r="N119" s="4">
        <v>22.84</v>
      </c>
      <c r="O119" s="4">
        <v>23.05</v>
      </c>
      <c r="P119" s="4">
        <v>24.06</v>
      </c>
      <c r="Q119" s="4">
        <v>23.65</v>
      </c>
      <c r="R119" s="4">
        <v>23.36</v>
      </c>
      <c r="S119" s="4">
        <v>23.02</v>
      </c>
      <c r="T119" s="4">
        <v>22.8</v>
      </c>
      <c r="U119" s="4">
        <v>21.35</v>
      </c>
      <c r="V119" s="4">
        <v>21.34</v>
      </c>
      <c r="W119" s="4">
        <v>21.18</v>
      </c>
      <c r="X119" s="4">
        <v>20.84</v>
      </c>
      <c r="Y119" s="4">
        <v>20.46</v>
      </c>
      <c r="Z119" s="4">
        <v>20.100000000000001</v>
      </c>
      <c r="AA119" s="4">
        <v>20.5</v>
      </c>
      <c r="AB119" s="4">
        <v>20.43</v>
      </c>
      <c r="AC119" s="4">
        <v>19.29</v>
      </c>
      <c r="AD119" s="4">
        <v>18.32</v>
      </c>
      <c r="AE119" s="4">
        <v>17.940000000000001</v>
      </c>
      <c r="AF119" s="4">
        <v>17.670000000000002</v>
      </c>
      <c r="AG119" s="4">
        <v>16.86</v>
      </c>
      <c r="AH119" s="4">
        <v>16.25</v>
      </c>
      <c r="AI119" s="4">
        <v>15.85</v>
      </c>
      <c r="AJ119" s="4">
        <v>15.55</v>
      </c>
      <c r="AK119" s="4">
        <v>15.57</v>
      </c>
      <c r="AL119" s="4">
        <v>15.9</v>
      </c>
      <c r="AM119" s="4">
        <v>16.079999999999998</v>
      </c>
      <c r="AN119" s="4">
        <v>16.54</v>
      </c>
      <c r="AO119" s="4">
        <v>16.09</v>
      </c>
      <c r="AP119" s="4">
        <v>17.350000000000001</v>
      </c>
      <c r="AQ119" s="4">
        <v>16.399999999999999</v>
      </c>
      <c r="AR119" s="4">
        <v>16.63</v>
      </c>
      <c r="AS119" s="4">
        <v>15.98</v>
      </c>
      <c r="AT119" s="4">
        <v>17.12</v>
      </c>
      <c r="AU119" s="4">
        <v>17.795000000000002</v>
      </c>
      <c r="AV119" s="4">
        <v>17.57</v>
      </c>
      <c r="AW119" s="4">
        <v>17</v>
      </c>
      <c r="AX119" s="4">
        <v>16.78</v>
      </c>
      <c r="AY119" s="12">
        <v>17.25</v>
      </c>
      <c r="AZ119" s="12">
        <v>18.010000000000002</v>
      </c>
      <c r="BA119" s="12">
        <v>17.829999999999998</v>
      </c>
      <c r="BB119" s="15">
        <v>16.2</v>
      </c>
      <c r="BC119" s="52">
        <v>17.36</v>
      </c>
      <c r="BD119" s="52">
        <v>16.63</v>
      </c>
      <c r="BE119" s="52">
        <v>16.29</v>
      </c>
      <c r="BF119" s="52">
        <v>16.190000000000001</v>
      </c>
      <c r="BG119" s="67">
        <v>16.989999999999998</v>
      </c>
      <c r="BH119" s="52">
        <v>17.09</v>
      </c>
      <c r="BI119" s="52">
        <v>16.86</v>
      </c>
      <c r="BJ119" s="52">
        <v>17.989999999999998</v>
      </c>
      <c r="BK119" s="52">
        <v>17.100000000000001</v>
      </c>
      <c r="BL119" s="52">
        <v>15.7</v>
      </c>
      <c r="BM119" s="52">
        <v>16.54</v>
      </c>
      <c r="BN119" s="52">
        <v>16.920000000000002</v>
      </c>
      <c r="BO119" s="52">
        <v>16.46</v>
      </c>
      <c r="BP119" s="52" cm="1">
        <f t="array" aca="1" ref="BP119" ca="1">_FV(ED119,"Preço")</f>
        <v>17.59</v>
      </c>
      <c r="BQ119" s="69" t="s">
        <v>115</v>
      </c>
      <c r="BR119" s="36" cm="1">
        <f t="array" aca="1" ref="BR119" ca="1">_FV(ED119,"Média de volume",TRUE)</f>
        <v>5142250</v>
      </c>
      <c r="BS119" s="36">
        <v>9485600</v>
      </c>
      <c r="BT119" s="36" cm="1">
        <f t="array" aca="1" ref="BT119" ca="1">_FV(ED119,"Volume")</f>
        <v>7478300</v>
      </c>
      <c r="BU119" s="24" cm="1">
        <f t="array" aca="1" ref="BU119" ca="1">_FV(ED119,"Beta")</f>
        <v>1.1591</v>
      </c>
      <c r="BV119" s="71" cm="1">
        <f t="array" aca="1" ref="BV119" ca="1">_FV(ED119,"Variação (%)",TRUE)</f>
        <v>-2.8339999999999997E-3</v>
      </c>
      <c r="BX119" s="17" cm="1">
        <f t="array" aca="1" ref="BX119" ca="1">_FV(ED119,"Baixo")</f>
        <v>17.25</v>
      </c>
      <c r="BY119" s="17" cm="1">
        <f t="array" aca="1" ref="BY119" ca="1">_FV(ED119,"Alto")</f>
        <v>17.8</v>
      </c>
      <c r="BZ119" s="24"/>
      <c r="CA119" s="63">
        <f ca="1">SQRT(22.5*(BP119/VLOOKUP(BQ119,Fundamentus!A:U,3,FALSE))*(BP119/VLOOKUP(BQ119,Fundamentus!A:U,4,FALSE)))</f>
        <v>27.025103120233215</v>
      </c>
      <c r="CC119" s="62">
        <f t="shared" ca="1" si="112"/>
        <v>6.8651275820170041E-2</v>
      </c>
      <c r="CD119" s="8"/>
      <c r="CE119" s="61">
        <f t="shared" si="113"/>
        <v>15.55</v>
      </c>
      <c r="CF119" s="61">
        <f t="shared" si="114"/>
        <v>26.63</v>
      </c>
      <c r="CG119" s="61">
        <f t="shared" si="115"/>
        <v>19.229179104477613</v>
      </c>
      <c r="CH119" s="14"/>
      <c r="CI119" s="35">
        <f t="shared" si="98"/>
        <v>16.102562146698752</v>
      </c>
      <c r="CJ119" s="15">
        <f t="shared" si="116"/>
        <v>17.069999999999936</v>
      </c>
      <c r="CK119" s="35">
        <f t="shared" si="99"/>
        <v>18.037437853301121</v>
      </c>
      <c r="CM119" s="14"/>
      <c r="CN119" s="17">
        <f t="shared" si="100"/>
        <v>1.3833333333333364</v>
      </c>
      <c r="CO119" s="17">
        <f t="shared" si="101"/>
        <v>8.4666666666666686</v>
      </c>
      <c r="CP119" s="17">
        <f t="shared" si="102"/>
        <v>12.463333333333335</v>
      </c>
      <c r="CQ119" s="38">
        <f t="shared" si="117"/>
        <v>19.546666666666667</v>
      </c>
      <c r="CR119" s="17">
        <f t="shared" si="103"/>
        <v>23.543333333333333</v>
      </c>
      <c r="CS119" s="17">
        <f t="shared" si="104"/>
        <v>30.626666666666665</v>
      </c>
      <c r="CT119" s="17">
        <f t="shared" si="105"/>
        <v>34.623333333333335</v>
      </c>
      <c r="CU119" s="2" cm="1">
        <f t="array" aca="1" ref="CU119" ca="1">MAX(_xlfn._xlws.FILTER(CN119:CT119,CN119:CT119&lt;BP119))</f>
        <v>12.463333333333335</v>
      </c>
      <c r="CV119" s="2" cm="1">
        <f t="array" aca="1" ref="CV119" ca="1">MIN(_xlfn._xlws.FILTER($CN119:$CT119,$CN119:$CT119&gt;BP119))</f>
        <v>19.546666666666667</v>
      </c>
      <c r="CW119" s="16">
        <f t="shared" ca="1" si="136"/>
        <v>0.56833377908531668</v>
      </c>
      <c r="CX119" s="20">
        <f t="shared" ca="1" si="137"/>
        <v>-0.28416688954265834</v>
      </c>
      <c r="CY119" s="20">
        <f t="shared" ca="1" si="138"/>
        <v>-0.18944459302843888</v>
      </c>
      <c r="CZ119" s="20">
        <f t="shared" ca="1" si="139"/>
        <v>-0.11366675581706334</v>
      </c>
      <c r="DA119" s="20">
        <f t="shared" ca="1" si="140"/>
        <v>-6.3148197676146295E-2</v>
      </c>
      <c r="DB119" s="20">
        <f t="shared" ca="1" si="141"/>
        <v>-3.3431398769724507E-2</v>
      </c>
      <c r="DC119" s="20">
        <f t="shared" ca="1" si="142"/>
        <v>-1.7222235729858083E-2</v>
      </c>
      <c r="DD119" s="20">
        <f t="shared" ca="1" si="143"/>
        <v>-8.743596601312565E-3</v>
      </c>
      <c r="DE119" s="21">
        <f t="shared" ca="1" si="144"/>
        <v>8.743596601312565E-3</v>
      </c>
      <c r="DF119" s="21">
        <f t="shared" ca="1" si="145"/>
        <v>1.7222235729858083E-2</v>
      </c>
      <c r="DG119" s="21">
        <f t="shared" ca="1" si="146"/>
        <v>3.3431398769724507E-2</v>
      </c>
      <c r="DH119" s="21">
        <f t="shared" ca="1" si="147"/>
        <v>6.3148197676146295E-2</v>
      </c>
      <c r="DI119" s="21">
        <f t="shared" ca="1" si="148"/>
        <v>0.11366675581706334</v>
      </c>
      <c r="DJ119" s="21">
        <f t="shared" ca="1" si="149"/>
        <v>0.18944459302843888</v>
      </c>
      <c r="DK119" s="21">
        <f t="shared" ca="1" si="150"/>
        <v>0.28416688954265834</v>
      </c>
      <c r="DM119" s="16" cm="1">
        <f t="array" aca="1" ref="DM119" ca="1">MAX(_xlfn._xlws.FILTER(CX119:DK119,CX119:DK119&lt;BV119))</f>
        <v>-8.743596601312565E-3</v>
      </c>
      <c r="DN119" s="16" cm="1">
        <f t="array" aca="1" ref="DN119" ca="1">MIN(_xlfn._xlws.FILTER(CX119:DK119,CX119:DK119&gt;BV119))</f>
        <v>8.743596601312565E-3</v>
      </c>
      <c r="DO119" s="2" cm="1">
        <f t="array" aca="1" ref="DO119" ca="1">_FV(ED119,"Fechamento anterior",TRUE)</f>
        <v>17.64</v>
      </c>
      <c r="DP119" s="28">
        <f t="shared" ca="1" si="106"/>
        <v>0.33791183139922398</v>
      </c>
      <c r="DQ119" s="15">
        <f t="shared" ca="1" si="151"/>
        <v>17.485762955952847</v>
      </c>
      <c r="DR119" s="15">
        <f t="shared" ca="1" si="152"/>
        <v>17.794237044047154</v>
      </c>
      <c r="DS119" s="9"/>
      <c r="DT119" s="9"/>
      <c r="DU119" s="9"/>
      <c r="DV119" s="89">
        <v>2.9716798906421787E-2</v>
      </c>
      <c r="DW119" s="89">
        <f t="shared" ca="1" si="107"/>
        <v>1.748719320262513E-2</v>
      </c>
      <c r="DX119" s="72">
        <f t="shared" ca="1" si="108"/>
        <v>0.53750222634525757</v>
      </c>
      <c r="DY119" s="37"/>
      <c r="DZ119" s="35">
        <f t="shared" si="118"/>
        <v>0.48371892665059196</v>
      </c>
      <c r="EA119" s="56"/>
      <c r="EB119" s="56"/>
      <c r="ED119" s="2" t="e" vm="118">
        <v>#VALUE!</v>
      </c>
      <c r="EF119" s="10" cm="1">
        <f t="array" aca="1" ref="EF119" ca="1">_FV(ED119,"Ações em circulação",TRUE)</f>
        <v>1115507000</v>
      </c>
      <c r="EG119" s="18">
        <f>VLOOKUP(BQ119,Fundamentus!A:U,5,FALSE)</f>
        <v>0.13300000000000001</v>
      </c>
      <c r="EH119" s="2">
        <f t="shared" ca="1" si="109"/>
        <v>147532091203.00751</v>
      </c>
      <c r="EI119" s="17">
        <v>2457369661.0225563</v>
      </c>
      <c r="EJ119" s="17">
        <f t="shared" ca="1" si="110"/>
        <v>2626071223.4135337</v>
      </c>
      <c r="EL119" s="16">
        <f t="shared" ca="1" si="97"/>
        <v>6.8651275820170055E-2</v>
      </c>
      <c r="EM119" s="32" t="str">
        <f>IF(VLOOKUP(BQ119,Fundamentus!A:U,3,FALSE)&lt;15,"Bom",IF(VLOOKUP(BQ119,Fundamentus!A:U,3,FALSE)&gt;15,"Ruim","n/a"))</f>
        <v>Bom</v>
      </c>
      <c r="EN119" s="28" t="str">
        <f>IF(VLOOKUP(BQ119,Fundamentus!A:U,4,FALSE)&lt;1,"Baixo",IF(VLOOKUP(BQ119,Fundamentus!A:U,4,FALSE)&lt;1.5,"Moderado",IF(VLOOKUP(BQ119,Fundamentus!A:U,4,FALSE)&gt;1.5,"Alto","n/a")))</f>
        <v>Moderado</v>
      </c>
      <c r="EO119" s="17" t="str">
        <f>IF(VLOOKUP(BQ119,Fundamentus!A:U,8,FALSE)&lt;0,"Risco elevado",IF(VLOOKUP(BQ119,Fundamentus!A:U,8,FALSE)&lt;1,"Saudável",IF(VLOOKUP(BQ119,Fundamentus!A:U,8,FALSE)&lt;3,"Estável",IF(VLOOKUP(BQ119,Fundamentus!A:U,8,FALSE)&gt;3,"Alerta","n/a"))))</f>
        <v>Estável</v>
      </c>
      <c r="EP119" s="28" t="str">
        <f t="shared" si="111"/>
        <v>Ruim</v>
      </c>
      <c r="EQ119" s="17" t="str">
        <f>IF(VLOOKUP(BQ119,Fundamentus!A:U,12,FALSE)&lt;2,"Subvalorizada",IF(VLOOKUP(BQ119,Fundamentus!A:U,12,FALSE)&lt;6,"Muita barata",IF(VLOOKUP(BQ119,Fundamentus!A:U,12,FALSE)&lt;6,"Barata",IF(VLOOKUP(BQ119,Fundamentus!A:U,12,FALSE)&lt;8,"Atrativa",IF(VLOOKUP(BQ119,Fundamentus!A:U,12,FALSE)&gt;8,"Supervalorizada","n/a")))))</f>
        <v>Muita barata</v>
      </c>
      <c r="ES119" s="17" t="str">
        <f>IF(VLOOKUP(BQ119,Fundamentus!A:U,17,FALSE)&lt;0.1,"Fraco retorno",IF(VLOOKUP(BQ119,Fundamentus!A:U,17,FALSE)&gt;0.1,"Bom retorno","n/a"))</f>
        <v>Bom retorno</v>
      </c>
      <c r="ET119" s="17" t="str">
        <f>IF(VLOOKUP(BQ119,Fundamentus!A:U,16,FALSE)&lt;0.1,"Ineficiente",IF(VLOOKUP(BQ119,Fundamentus!A:U,16,FALSE)&gt;0.1,"Eficiente","n/a"))</f>
        <v>Eficiente</v>
      </c>
      <c r="EU119" s="33" t="str">
        <f>IF(VLOOKUP(BQ119,Fundamentus!A:U,16,FALSE)&lt;0.1,"Oper. Ineficiente",IF(VLOOKUP(BQ119,Fundamentus!A:U,16,FALSE)&gt;0.1,"Oper.Eficiente","n/a"))</f>
        <v>Oper.Eficiente</v>
      </c>
      <c r="EV119" s="34">
        <f>VLOOKUP(BQ119,Fundamentus!A:U,14,FALSE)</f>
        <v>1.78E-2</v>
      </c>
      <c r="EW119" s="17" t="str">
        <f>IF(VLOOKUP(BQ119,Fundamentus!A:U,21,FALSE)&lt;0,"Negativo",IF(VLOOKUP(BQ119,Fundamentus!A:U,21,FALSE)&lt;0.05,"Fraco",IF(VLOOKUP(BQ119,Fundamentus!A:U,21,FALSE)&lt;0.1,"Bom",IF(VLOOKUP(BQ119,Fundamentus!A:U,21,FALSE)&gt;0.1,"Muito bom","n/a"))))</f>
        <v>Muito bom</v>
      </c>
      <c r="EY119" s="29" t="str">
        <f>IF(VLOOKUP(BQ119,Fundamentus!A:U,15,FALSE)&gt;1,"Bom",IF(VLOOKUP(BQ119,Fundamentus!A:U,15,FALSE)&lt;1,"Ruim","n/a"))</f>
        <v>Bom</v>
      </c>
      <c r="EZ119" s="17" t="str">
        <f>IF(VLOOKUP(BQ119,Fundamentus!A:U,20,FALSE)&lt;0.5,"Baixa",IF(VLOOKUP(BQ119,Fundamentus!A:U,20,FALSE)&lt;1,"Moderada",IF(VLOOKUP(BQ119,Fundamentus!A:U,20,FALSE)&lt;2,"Alerta",IF(VLOOKUP(BQ119,Fundamentus!A:U,20,FALSE)&gt;2,"Alta","n/a"))))</f>
        <v>Moderada</v>
      </c>
      <c r="FA119" s="10"/>
    </row>
    <row r="120" spans="1:157" s="2" customFormat="1" ht="11.25" hidden="1" x14ac:dyDescent="0.2">
      <c r="A120" s="4">
        <v>7.83</v>
      </c>
      <c r="B120" s="4">
        <v>7.67</v>
      </c>
      <c r="C120" s="4">
        <v>7.7</v>
      </c>
      <c r="D120" s="4">
        <v>7.54</v>
      </c>
      <c r="E120" s="4">
        <v>7.21</v>
      </c>
      <c r="F120" s="4">
        <v>7.01</v>
      </c>
      <c r="G120" s="4">
        <v>6.7</v>
      </c>
      <c r="H120" s="4">
        <v>6.6</v>
      </c>
      <c r="I120" s="4">
        <v>6.59</v>
      </c>
      <c r="J120" s="4">
        <v>6.85</v>
      </c>
      <c r="K120" s="4">
        <v>7.18</v>
      </c>
      <c r="L120" s="4">
        <v>7.08</v>
      </c>
      <c r="M120" s="4">
        <v>7.19</v>
      </c>
      <c r="N120" s="4">
        <v>7.16</v>
      </c>
      <c r="O120" s="4">
        <v>8.0500000000000007</v>
      </c>
      <c r="P120" s="4">
        <v>7.69</v>
      </c>
      <c r="Q120" s="4">
        <v>8.41</v>
      </c>
      <c r="R120" s="4">
        <v>8.2100000000000009</v>
      </c>
      <c r="S120" s="4">
        <v>7.84</v>
      </c>
      <c r="T120" s="4">
        <v>8.09</v>
      </c>
      <c r="U120" s="4">
        <v>7.89</v>
      </c>
      <c r="V120" s="4">
        <v>8.25</v>
      </c>
      <c r="W120" s="4">
        <v>8.65</v>
      </c>
      <c r="X120" s="4">
        <v>8.0299999999999994</v>
      </c>
      <c r="Y120" s="4">
        <v>8.0399999999999991</v>
      </c>
      <c r="Z120" s="4">
        <v>8.4499999999999993</v>
      </c>
      <c r="AA120" s="4">
        <v>8.06</v>
      </c>
      <c r="AB120" s="4">
        <v>7.94</v>
      </c>
      <c r="AC120" s="4">
        <v>7.66</v>
      </c>
      <c r="AD120" s="4">
        <v>7.56</v>
      </c>
      <c r="AE120" s="4">
        <v>7.25</v>
      </c>
      <c r="AF120" s="4">
        <v>7</v>
      </c>
      <c r="AG120" s="4">
        <v>6.49</v>
      </c>
      <c r="AH120" s="4">
        <v>6.11</v>
      </c>
      <c r="AI120" s="4">
        <v>6.07</v>
      </c>
      <c r="AJ120" s="4">
        <v>5.78</v>
      </c>
      <c r="AK120" s="4">
        <v>5.91</v>
      </c>
      <c r="AL120" s="4">
        <v>5.9</v>
      </c>
      <c r="AM120" s="4">
        <v>5.92</v>
      </c>
      <c r="AN120" s="4">
        <v>5.9</v>
      </c>
      <c r="AO120" s="4">
        <v>6.05</v>
      </c>
      <c r="AP120" s="4">
        <v>6.31</v>
      </c>
      <c r="AQ120" s="4">
        <v>6.21</v>
      </c>
      <c r="AR120" s="4">
        <v>5.65</v>
      </c>
      <c r="AS120" s="4">
        <v>5.79</v>
      </c>
      <c r="AT120" s="4">
        <v>5.59</v>
      </c>
      <c r="AU120" s="4">
        <v>5.6550000000000002</v>
      </c>
      <c r="AV120" s="4">
        <v>5.51</v>
      </c>
      <c r="AW120" s="4">
        <v>5.38</v>
      </c>
      <c r="AX120" s="4">
        <v>5.2</v>
      </c>
      <c r="AY120" s="12">
        <v>5.16</v>
      </c>
      <c r="AZ120" s="12">
        <v>5.47</v>
      </c>
      <c r="BA120" s="12">
        <v>5.53</v>
      </c>
      <c r="BB120" s="15">
        <v>5.22</v>
      </c>
      <c r="BC120" s="52">
        <v>5.34</v>
      </c>
      <c r="BD120" s="52">
        <v>5.45</v>
      </c>
      <c r="BE120" s="52">
        <v>5.55</v>
      </c>
      <c r="BF120" s="52">
        <v>5.68</v>
      </c>
      <c r="BG120" s="67">
        <v>5.55</v>
      </c>
      <c r="BH120" s="52">
        <v>5.68</v>
      </c>
      <c r="BI120" s="52">
        <v>5.68</v>
      </c>
      <c r="BJ120" s="52">
        <v>5.72</v>
      </c>
      <c r="BK120" s="52">
        <v>5.35</v>
      </c>
      <c r="BL120" s="52">
        <v>5.14</v>
      </c>
      <c r="BM120" s="52">
        <v>5.8</v>
      </c>
      <c r="BN120" s="52">
        <v>5.61</v>
      </c>
      <c r="BO120" s="52">
        <v>5.76</v>
      </c>
      <c r="BP120" s="52" cm="1">
        <f t="array" aca="1" ref="BP120" ca="1">_FV(ED120,"Preço")</f>
        <v>5.68</v>
      </c>
      <c r="BQ120" s="69" t="s">
        <v>149</v>
      </c>
      <c r="BR120" s="36" cm="1">
        <f t="array" aca="1" ref="BR120" ca="1">_FV(ED120,"Média de volume",TRUE)</f>
        <v>1941270</v>
      </c>
      <c r="BS120" s="36">
        <v>1694200</v>
      </c>
      <c r="BT120" s="36" cm="1">
        <f t="array" aca="1" ref="BT120" ca="1">_FV(ED120,"Volume")</f>
        <v>1549800</v>
      </c>
      <c r="BU120" s="24" cm="1">
        <f t="array" aca="1" ref="BU120" ca="1">_FV(ED120,"Beta")</f>
        <v>0.7399</v>
      </c>
      <c r="BV120" s="71" cm="1">
        <f t="array" aca="1" ref="BV120" ca="1">_FV(ED120,"Variação (%)",TRUE)</f>
        <v>-6.9930000000000001E-3</v>
      </c>
      <c r="BX120" s="17" cm="1">
        <f t="array" aca="1" ref="BX120" ca="1">_FV(ED120,"Baixo")</f>
        <v>5.65</v>
      </c>
      <c r="BY120" s="17" cm="1">
        <f t="array" aca="1" ref="BY120" ca="1">_FV(ED120,"Alto")</f>
        <v>5.82</v>
      </c>
      <c r="BZ120" s="24"/>
      <c r="CA120" s="63">
        <f ca="1">SQRT(22.5*(BP120/VLOOKUP(BQ120,Fundamentus!A:U,3,FALSE))*(BP120/VLOOKUP(BQ120,Fundamentus!A:U,4,FALSE)))</f>
        <v>8.1229105247238902</v>
      </c>
      <c r="CC120" s="62">
        <f t="shared" ca="1" si="112"/>
        <v>-1.3888888888888902E-2</v>
      </c>
      <c r="CD120" s="8"/>
      <c r="CE120" s="61">
        <f t="shared" si="113"/>
        <v>5.14</v>
      </c>
      <c r="CF120" s="61">
        <f t="shared" si="114"/>
        <v>8.65</v>
      </c>
      <c r="CG120" s="61">
        <f t="shared" si="115"/>
        <v>6.6044029850746266</v>
      </c>
      <c r="CH120" s="14"/>
      <c r="CI120" s="35">
        <f t="shared" si="98"/>
        <v>5.4916671081680821</v>
      </c>
      <c r="CJ120" s="15">
        <f t="shared" si="116"/>
        <v>5.9950000000001182</v>
      </c>
      <c r="CK120" s="35">
        <f t="shared" si="99"/>
        <v>6.4983328918321543</v>
      </c>
      <c r="CM120" s="14"/>
      <c r="CN120" s="17">
        <f t="shared" si="100"/>
        <v>0.87333333333333041</v>
      </c>
      <c r="CO120" s="17">
        <f t="shared" si="101"/>
        <v>3.006666666666665</v>
      </c>
      <c r="CP120" s="17">
        <f t="shared" si="102"/>
        <v>4.3833333333333311</v>
      </c>
      <c r="CQ120" s="38">
        <f t="shared" si="117"/>
        <v>6.5166666666666657</v>
      </c>
      <c r="CR120" s="17">
        <f t="shared" si="103"/>
        <v>7.8933333333333318</v>
      </c>
      <c r="CS120" s="17">
        <f t="shared" si="104"/>
        <v>10.026666666666667</v>
      </c>
      <c r="CT120" s="17">
        <f t="shared" si="105"/>
        <v>11.403333333333332</v>
      </c>
      <c r="CU120" s="2" cm="1">
        <f t="array" aca="1" ref="CU120" ca="1">MAX(_xlfn._xlws.FILTER(CN120:CT120,CN120:CT120&lt;BP120))</f>
        <v>4.3833333333333311</v>
      </c>
      <c r="CV120" s="2" cm="1">
        <f t="array" aca="1" ref="CV120" ca="1">MIN(_xlfn._xlws.FILTER($CN120:$CT120,$CN120:$CT120&gt;BP120))</f>
        <v>6.5166666666666657</v>
      </c>
      <c r="CW120" s="16">
        <f t="shared" ca="1" si="136"/>
        <v>0.48669201520912608</v>
      </c>
      <c r="CX120" s="20">
        <f t="shared" ca="1" si="137"/>
        <v>-0.24334600760456304</v>
      </c>
      <c r="CY120" s="20">
        <f t="shared" ca="1" si="138"/>
        <v>-0.16223067173637537</v>
      </c>
      <c r="CZ120" s="20">
        <f t="shared" ca="1" si="139"/>
        <v>-9.7338403041825214E-2</v>
      </c>
      <c r="DA120" s="20">
        <f t="shared" ca="1" si="140"/>
        <v>-5.4076890578791788E-2</v>
      </c>
      <c r="DB120" s="20">
        <f t="shared" ca="1" si="141"/>
        <v>-2.8628942071125065E-2</v>
      </c>
      <c r="DC120" s="20">
        <f t="shared" ca="1" si="142"/>
        <v>-1.4748242885125032E-2</v>
      </c>
      <c r="DD120" s="20">
        <f t="shared" ca="1" si="143"/>
        <v>-7.4875694647557863E-3</v>
      </c>
      <c r="DE120" s="21">
        <f t="shared" ca="1" si="144"/>
        <v>7.4875694647557863E-3</v>
      </c>
      <c r="DF120" s="21">
        <f t="shared" ca="1" si="145"/>
        <v>1.4748242885125032E-2</v>
      </c>
      <c r="DG120" s="21">
        <f t="shared" ca="1" si="146"/>
        <v>2.8628942071125065E-2</v>
      </c>
      <c r="DH120" s="21">
        <f t="shared" ca="1" si="147"/>
        <v>5.4076890578791788E-2</v>
      </c>
      <c r="DI120" s="21">
        <f t="shared" ca="1" si="148"/>
        <v>9.7338403041825214E-2</v>
      </c>
      <c r="DJ120" s="21">
        <f t="shared" ca="1" si="149"/>
        <v>0.16223067173637537</v>
      </c>
      <c r="DK120" s="21">
        <f t="shared" ca="1" si="150"/>
        <v>0.24334600760456304</v>
      </c>
      <c r="DM120" s="16" cm="1">
        <f t="array" aca="1" ref="DM120" ca="1">MAX(_xlfn._xlws.FILTER(CX120:DK120,CX120:DK120&lt;BV120))</f>
        <v>-7.4875694647557863E-3</v>
      </c>
      <c r="DN120" s="16" cm="1">
        <f t="array" aca="1" ref="DN120" ca="1">MIN(_xlfn._xlws.FILTER(CX120:DK120,CX120:DK120&gt;BV120))</f>
        <v>7.4875694647557863E-3</v>
      </c>
      <c r="DO120" s="2" cm="1">
        <f t="array" aca="1" ref="DO120" ca="1">_FV(ED120,"Fechamento anterior",TRUE)</f>
        <v>5.72</v>
      </c>
      <c r="DP120" s="28">
        <f t="shared" ca="1" si="106"/>
        <v>3.3025568181814943E-2</v>
      </c>
      <c r="DQ120" s="15">
        <f t="shared" ca="1" si="151"/>
        <v>5.677171102661597</v>
      </c>
      <c r="DR120" s="15">
        <f t="shared" ca="1" si="152"/>
        <v>5.7628288973384025</v>
      </c>
      <c r="DS120" s="9"/>
      <c r="DT120" s="9"/>
      <c r="DU120" s="9"/>
      <c r="DV120" s="89">
        <v>1.4975138929511573E-2</v>
      </c>
      <c r="DW120" s="89">
        <f t="shared" ca="1" si="107"/>
        <v>1.4975138929511573E-2</v>
      </c>
      <c r="DX120" s="72">
        <f t="shared" ca="1" si="108"/>
        <v>-0.62582836351818449</v>
      </c>
      <c r="DY120" s="37"/>
      <c r="DZ120" s="35">
        <f t="shared" si="118"/>
        <v>0.25166644591601806</v>
      </c>
      <c r="EA120" s="56"/>
      <c r="EB120" s="56"/>
      <c r="ED120" s="2" t="e" vm="119">
        <v>#VALUE!</v>
      </c>
      <c r="EF120" s="10" cm="1">
        <f t="array" aca="1" ref="EF120" ca="1">_FV(ED120,"Ações em circulação",TRUE)</f>
        <v>820566200</v>
      </c>
      <c r="EG120" s="18">
        <f>VLOOKUP(BQ120,Fundamentus!A:U,5,FALSE)</f>
        <v>0.54</v>
      </c>
      <c r="EH120" s="2">
        <f t="shared" ca="1" si="109"/>
        <v>8631140770.370369</v>
      </c>
      <c r="EI120" s="17">
        <v>286213490.55999994</v>
      </c>
      <c r="EJ120" s="17">
        <f t="shared" ca="1" si="110"/>
        <v>282238303.19111109</v>
      </c>
      <c r="EL120" s="16">
        <f t="shared" ca="1" si="97"/>
        <v>-1.3888888888888729E-2</v>
      </c>
      <c r="EM120" s="32" t="str">
        <f>IF(VLOOKUP(BQ120,Fundamentus!A:U,3,FALSE)&lt;15,"Bom",IF(VLOOKUP(BQ120,Fundamentus!A:U,3,FALSE)&gt;15,"Ruim","n/a"))</f>
        <v>Ruim</v>
      </c>
      <c r="EN120" s="28" t="str">
        <f>IF(VLOOKUP(BQ120,Fundamentus!A:U,4,FALSE)&lt;1,"Baixo",IF(VLOOKUP(BQ120,Fundamentus!A:U,4,FALSE)&lt;1.5,"Moderado",IF(VLOOKUP(BQ120,Fundamentus!A:U,4,FALSE)&gt;1.5,"Alto","n/a")))</f>
        <v>Baixo</v>
      </c>
      <c r="EO120" s="17" t="str">
        <f>IF(VLOOKUP(BQ120,Fundamentus!A:U,8,FALSE)&lt;0,"Risco elevado",IF(VLOOKUP(BQ120,Fundamentus!A:U,8,FALSE)&lt;1,"Saudável",IF(VLOOKUP(BQ120,Fundamentus!A:U,8,FALSE)&lt;3,"Estável",IF(VLOOKUP(BQ120,Fundamentus!A:U,8,FALSE)&gt;3,"Alerta","n/a"))))</f>
        <v>Alerta</v>
      </c>
      <c r="EP120" s="28" t="str">
        <f t="shared" si="111"/>
        <v>Ruim</v>
      </c>
      <c r="EQ120" s="17" t="str">
        <f>IF(VLOOKUP(BQ120,Fundamentus!A:U,12,FALSE)&lt;2,"Subvalorizada",IF(VLOOKUP(BQ120,Fundamentus!A:U,12,FALSE)&lt;6,"Muita barata",IF(VLOOKUP(BQ120,Fundamentus!A:U,12,FALSE)&lt;6,"Barata",IF(VLOOKUP(BQ120,Fundamentus!A:U,12,FALSE)&lt;8,"Atrativa",IF(VLOOKUP(BQ120,Fundamentus!A:U,12,FALSE)&gt;8,"Supervalorizada","n/a")))))</f>
        <v>Muita barata</v>
      </c>
      <c r="ES120" s="17" t="str">
        <f>IF(VLOOKUP(BQ120,Fundamentus!A:U,17,FALSE)&lt;0.1,"Fraco retorno",IF(VLOOKUP(BQ120,Fundamentus!A:U,17,FALSE)&gt;0.1,"Bom retorno","n/a"))</f>
        <v>Fraco retorno</v>
      </c>
      <c r="ET120" s="17" t="str">
        <f>IF(VLOOKUP(BQ120,Fundamentus!A:U,16,FALSE)&lt;0.1,"Ineficiente",IF(VLOOKUP(BQ120,Fundamentus!A:U,16,FALSE)&gt;0.1,"Eficiente","n/a"))</f>
        <v>Ineficiente</v>
      </c>
      <c r="EU120" s="33" t="str">
        <f>IF(VLOOKUP(BQ120,Fundamentus!A:U,16,FALSE)&lt;0.1,"Oper. Ineficiente",IF(VLOOKUP(BQ120,Fundamentus!A:U,16,FALSE)&gt;0.1,"Oper.Eficiente","n/a"))</f>
        <v>Oper. Ineficiente</v>
      </c>
      <c r="EV120" s="34">
        <f>VLOOKUP(BQ120,Fundamentus!A:U,14,FALSE)</f>
        <v>3.27E-2</v>
      </c>
      <c r="EW120" s="17" t="str">
        <f>IF(VLOOKUP(BQ120,Fundamentus!A:U,21,FALSE)&lt;0,"Negativo",IF(VLOOKUP(BQ120,Fundamentus!A:U,21,FALSE)&lt;0.05,"Fraco",IF(VLOOKUP(BQ120,Fundamentus!A:U,21,FALSE)&lt;0.1,"Bom",IF(VLOOKUP(BQ120,Fundamentus!A:U,21,FALSE)&gt;0.1,"Muito bom","n/a"))))</f>
        <v>Fraco</v>
      </c>
      <c r="EY120" s="29" t="str">
        <f>IF(VLOOKUP(BQ120,Fundamentus!A:U,15,FALSE)&gt;1,"Bom",IF(VLOOKUP(BQ120,Fundamentus!A:U,15,FALSE)&lt;1,"Ruim","n/a"))</f>
        <v>Bom</v>
      </c>
      <c r="EZ120" s="17" t="str">
        <f>IF(VLOOKUP(BQ120,Fundamentus!A:U,20,FALSE)&lt;0.5,"Baixa",IF(VLOOKUP(BQ120,Fundamentus!A:U,20,FALSE)&lt;1,"Moderada",IF(VLOOKUP(BQ120,Fundamentus!A:U,20,FALSE)&lt;2,"Alerta",IF(VLOOKUP(BQ120,Fundamentus!A:U,20,FALSE)&gt;2,"Alta","n/a"))))</f>
        <v>Moderada</v>
      </c>
      <c r="FA120" s="10"/>
    </row>
    <row r="121" spans="1:157" s="2" customFormat="1" ht="11.25" hidden="1" x14ac:dyDescent="0.2">
      <c r="A121" s="4">
        <v>13.62</v>
      </c>
      <c r="B121" s="4">
        <v>12.6</v>
      </c>
      <c r="C121" s="4">
        <v>12.37</v>
      </c>
      <c r="D121" s="4">
        <v>11.68</v>
      </c>
      <c r="E121" s="4">
        <v>11.3</v>
      </c>
      <c r="F121" s="4">
        <v>11.31</v>
      </c>
      <c r="G121" s="4">
        <v>11.34</v>
      </c>
      <c r="H121" s="4">
        <v>10.62</v>
      </c>
      <c r="I121" s="4">
        <v>10.75</v>
      </c>
      <c r="J121" s="4">
        <v>12.11</v>
      </c>
      <c r="K121" s="4">
        <v>12.74</v>
      </c>
      <c r="L121" s="4">
        <v>12.39</v>
      </c>
      <c r="M121" s="4">
        <v>12.85</v>
      </c>
      <c r="N121" s="4">
        <v>13.22</v>
      </c>
      <c r="O121" s="4">
        <v>13.19</v>
      </c>
      <c r="P121" s="4">
        <v>13.34</v>
      </c>
      <c r="Q121" s="4">
        <v>14.02</v>
      </c>
      <c r="R121" s="4">
        <v>13.4</v>
      </c>
      <c r="S121" s="4">
        <v>13.19</v>
      </c>
      <c r="T121" s="4">
        <v>13.58</v>
      </c>
      <c r="U121" s="4">
        <v>13.3</v>
      </c>
      <c r="V121" s="4">
        <v>12.4</v>
      </c>
      <c r="W121" s="4">
        <v>13.34</v>
      </c>
      <c r="X121" s="4">
        <v>13.41</v>
      </c>
      <c r="Y121" s="4">
        <v>14.17</v>
      </c>
      <c r="Z121" s="4">
        <v>14.51</v>
      </c>
      <c r="AA121" s="4">
        <v>14.87</v>
      </c>
      <c r="AB121" s="4">
        <v>16.309999999999999</v>
      </c>
      <c r="AC121" s="4">
        <v>16.27</v>
      </c>
      <c r="AD121" s="4">
        <v>16.41</v>
      </c>
      <c r="AE121" s="4">
        <v>14.01</v>
      </c>
      <c r="AF121" s="4">
        <v>13.23</v>
      </c>
      <c r="AG121" s="4">
        <v>12.48</v>
      </c>
      <c r="AH121" s="4">
        <v>12.59</v>
      </c>
      <c r="AI121" s="4">
        <v>12.3</v>
      </c>
      <c r="AJ121" s="4">
        <v>12.43</v>
      </c>
      <c r="AK121" s="4">
        <v>12.06</v>
      </c>
      <c r="AL121" s="4">
        <v>11.94</v>
      </c>
      <c r="AM121" s="4">
        <v>12.48</v>
      </c>
      <c r="AN121" s="4">
        <v>14.37</v>
      </c>
      <c r="AO121" s="4">
        <v>14.66</v>
      </c>
      <c r="AP121" s="4">
        <v>16.09</v>
      </c>
      <c r="AQ121" s="4">
        <v>16.98</v>
      </c>
      <c r="AR121" s="4">
        <v>14.73</v>
      </c>
      <c r="AS121" s="4">
        <v>14.78</v>
      </c>
      <c r="AT121" s="4">
        <v>13.59</v>
      </c>
      <c r="AU121" s="4">
        <v>14.17</v>
      </c>
      <c r="AV121" s="4">
        <v>14.36</v>
      </c>
      <c r="AW121" s="4">
        <v>13.67</v>
      </c>
      <c r="AX121" s="4">
        <v>14.5</v>
      </c>
      <c r="AY121" s="12">
        <v>15.95</v>
      </c>
      <c r="AZ121" s="12">
        <v>16.2</v>
      </c>
      <c r="BA121" s="12">
        <v>16.149999999999999</v>
      </c>
      <c r="BB121" s="15">
        <v>17.16</v>
      </c>
      <c r="BC121" s="52">
        <v>20.67</v>
      </c>
      <c r="BD121" s="52">
        <v>22.58</v>
      </c>
      <c r="BE121" s="52">
        <v>23.09</v>
      </c>
      <c r="BF121" s="52">
        <v>24.62</v>
      </c>
      <c r="BG121" s="67">
        <v>23.1</v>
      </c>
      <c r="BH121" s="52">
        <v>23.68</v>
      </c>
      <c r="BI121" s="52">
        <v>24.45</v>
      </c>
      <c r="BJ121" s="52">
        <v>24.28</v>
      </c>
      <c r="BK121" s="52">
        <v>22.85</v>
      </c>
      <c r="BL121" s="52">
        <v>22.48</v>
      </c>
      <c r="BM121" s="52">
        <v>21.24</v>
      </c>
      <c r="BN121" s="52">
        <v>22.09</v>
      </c>
      <c r="BO121" s="52">
        <v>21.25</v>
      </c>
      <c r="BP121" s="52" cm="1">
        <f t="array" aca="1" ref="BP121" ca="1">_FV(ED121,"Preço")</f>
        <v>21.4</v>
      </c>
      <c r="BQ121" s="69" t="s">
        <v>64</v>
      </c>
      <c r="BR121" s="36" cm="1">
        <f t="array" aca="1" ref="BR121" ca="1">_FV(ED121,"Média de volume",TRUE)</f>
        <v>2239730</v>
      </c>
      <c r="BS121" s="36">
        <v>7074100</v>
      </c>
      <c r="BT121" s="36" cm="1">
        <f t="array" aca="1" ref="BT121" ca="1">_FV(ED121,"Volume")</f>
        <v>862000</v>
      </c>
      <c r="BU121" s="24" cm="1">
        <f t="array" aca="1" ref="BU121" ca="1">_FV(ED121,"Beta")</f>
        <v>1.4936</v>
      </c>
      <c r="BV121" s="71" cm="1">
        <f t="array" aca="1" ref="BV121" ca="1">_FV(ED121,"Variação (%)",TRUE)</f>
        <v>2.3419999999999999E-3</v>
      </c>
      <c r="BX121" s="17" cm="1">
        <f t="array" aca="1" ref="BX121" ca="1">_FV(ED121,"Baixo")</f>
        <v>21.13</v>
      </c>
      <c r="BY121" s="17" cm="1">
        <f t="array" aca="1" ref="BY121" ca="1">_FV(ED121,"Alto")</f>
        <v>21.84</v>
      </c>
      <c r="BZ121" s="24"/>
      <c r="CA121" s="63">
        <f ca="1">SQRT(22.5*(BP121/VLOOKUP(BQ121,Fundamentus!A:U,3,FALSE))*(BP121/VLOOKUP(BQ121,Fundamentus!A:U,4,FALSE)))</f>
        <v>16.831932425370979</v>
      </c>
      <c r="CC121" s="62">
        <f t="shared" ca="1" si="112"/>
        <v>7.0588235294116982E-3</v>
      </c>
      <c r="CD121" s="8"/>
      <c r="CE121" s="61">
        <f t="shared" si="113"/>
        <v>10.62</v>
      </c>
      <c r="CF121" s="61">
        <f t="shared" si="114"/>
        <v>24.62</v>
      </c>
      <c r="CG121" s="61">
        <f t="shared" si="115"/>
        <v>15.401044776119404</v>
      </c>
      <c r="CH121" s="14"/>
      <c r="CI121" s="35">
        <f t="shared" si="98"/>
        <v>19.759012345737876</v>
      </c>
      <c r="CJ121" s="15">
        <f t="shared" si="116"/>
        <v>21.055000000000064</v>
      </c>
      <c r="CK121" s="35">
        <f t="shared" si="99"/>
        <v>22.350987654262251</v>
      </c>
      <c r="CM121" s="14"/>
      <c r="CN121" s="17">
        <f t="shared" si="100"/>
        <v>-0.95999999999999908</v>
      </c>
      <c r="CO121" s="17">
        <f t="shared" si="101"/>
        <v>4.83</v>
      </c>
      <c r="CP121" s="17">
        <f t="shared" si="102"/>
        <v>13.040000000000003</v>
      </c>
      <c r="CQ121" s="38">
        <f t="shared" si="117"/>
        <v>18.830000000000002</v>
      </c>
      <c r="CR121" s="17">
        <f t="shared" si="103"/>
        <v>27.040000000000006</v>
      </c>
      <c r="CS121" s="17">
        <f t="shared" si="104"/>
        <v>32.830000000000005</v>
      </c>
      <c r="CT121" s="17">
        <f t="shared" si="105"/>
        <v>41.040000000000006</v>
      </c>
      <c r="CU121" s="2" cm="1">
        <f t="array" aca="1" ref="CU121" ca="1">MAX(_xlfn._xlws.FILTER(CN121:CT121,CN121:CT121&lt;BP121))</f>
        <v>18.830000000000002</v>
      </c>
      <c r="CV121" s="2" cm="1">
        <f t="array" aca="1" ref="CV121" ca="1">MIN(_xlfn._xlws.FILTER($CN121:$CT121,$CN121:$CT121&gt;BP121))</f>
        <v>27.040000000000006</v>
      </c>
      <c r="CW121" s="16">
        <f t="shared" ca="1" si="136"/>
        <v>0.43600637280934706</v>
      </c>
      <c r="CX121" s="20">
        <f t="shared" ca="1" si="137"/>
        <v>-0.21800318640467353</v>
      </c>
      <c r="CY121" s="20">
        <f t="shared" ca="1" si="138"/>
        <v>-0.1453354576031157</v>
      </c>
      <c r="CZ121" s="20">
        <f t="shared" ca="1" si="139"/>
        <v>-8.7201274561869407E-2</v>
      </c>
      <c r="DA121" s="20">
        <f t="shared" ca="1" si="140"/>
        <v>-4.8445152534371899E-2</v>
      </c>
      <c r="DB121" s="20">
        <f t="shared" ca="1" si="141"/>
        <v>-2.5647433694667474E-2</v>
      </c>
      <c r="DC121" s="20">
        <f t="shared" ca="1" si="142"/>
        <v>-1.3212314327555971E-2</v>
      </c>
      <c r="DD121" s="20">
        <f t="shared" ca="1" si="143"/>
        <v>-6.7077903509130321E-3</v>
      </c>
      <c r="DE121" s="21">
        <f t="shared" ca="1" si="144"/>
        <v>6.7077903509130321E-3</v>
      </c>
      <c r="DF121" s="21">
        <f t="shared" ca="1" si="145"/>
        <v>1.3212314327555971E-2</v>
      </c>
      <c r="DG121" s="21">
        <f t="shared" ca="1" si="146"/>
        <v>2.5647433694667474E-2</v>
      </c>
      <c r="DH121" s="21">
        <f t="shared" ca="1" si="147"/>
        <v>4.8445152534371899E-2</v>
      </c>
      <c r="DI121" s="21">
        <f t="shared" ca="1" si="148"/>
        <v>8.7201274561869407E-2</v>
      </c>
      <c r="DJ121" s="21">
        <f t="shared" ca="1" si="149"/>
        <v>0.1453354576031157</v>
      </c>
      <c r="DK121" s="21">
        <f t="shared" ca="1" si="150"/>
        <v>0.21800318640467353</v>
      </c>
      <c r="DM121" s="16" cm="1">
        <f t="array" aca="1" ref="DM121" ca="1">MAX(_xlfn._xlws.FILTER(CX121:DK121,CX121:DK121&lt;BV121))</f>
        <v>-6.7077903509130321E-3</v>
      </c>
      <c r="DN121" s="16" cm="1">
        <f t="array" aca="1" ref="DN121" ca="1">MIN(_xlfn._xlws.FILTER(CX121:DK121,CX121:DK121&gt;BV121))</f>
        <v>6.7077903509130321E-3</v>
      </c>
      <c r="DO121" s="2" cm="1">
        <f t="array" aca="1" ref="DO121" ca="1">_FV(ED121,"Fechamento anterior",TRUE)</f>
        <v>21.35</v>
      </c>
      <c r="DP121" s="28">
        <f t="shared" ca="1" si="106"/>
        <v>0.67456720113415047</v>
      </c>
      <c r="DQ121" s="15">
        <f t="shared" ca="1" si="151"/>
        <v>21.206788676008006</v>
      </c>
      <c r="DR121" s="15">
        <f t="shared" ca="1" si="152"/>
        <v>21.493211323991996</v>
      </c>
      <c r="DS121" s="9"/>
      <c r="DT121" s="9"/>
      <c r="DU121" s="9"/>
      <c r="DV121" s="89">
        <v>3.8756122027497508E-2</v>
      </c>
      <c r="DW121" s="89">
        <f t="shared" ca="1" si="107"/>
        <v>1.3415580701826064E-2</v>
      </c>
      <c r="DX121" s="72">
        <f t="shared" ca="1" si="108"/>
        <v>0.26620623959288031</v>
      </c>
      <c r="DY121" s="37"/>
      <c r="DZ121" s="35">
        <f t="shared" si="118"/>
        <v>0.64799382713109321</v>
      </c>
      <c r="EA121" s="56"/>
      <c r="EB121" s="56"/>
      <c r="ED121" s="2" t="e" vm="120">
        <v>#VALUE!</v>
      </c>
      <c r="EF121" s="10" cm="1">
        <f t="array" aca="1" ref="EF121" ca="1">_FV(ED121,"Ações em circulação",TRUE)</f>
        <v>122578100</v>
      </c>
      <c r="EG121" s="18">
        <f>VLOOKUP(BQ121,Fundamentus!A:U,5,FALSE)</f>
        <v>0.79800000000000004</v>
      </c>
      <c r="EH121" s="2">
        <f t="shared" ca="1" si="109"/>
        <v>3287182130.3258142</v>
      </c>
      <c r="EI121" s="17">
        <v>165818369.61152878</v>
      </c>
      <c r="EJ121" s="17">
        <f t="shared" ca="1" si="110"/>
        <v>166988852.22055137</v>
      </c>
      <c r="EL121" s="16">
        <f t="shared" ca="1" si="97"/>
        <v>7.0588235294120061E-3</v>
      </c>
      <c r="EM121" s="32" t="str">
        <f>IF(VLOOKUP(BQ121,Fundamentus!A:U,3,FALSE)&lt;15,"Bom",IF(VLOOKUP(BQ121,Fundamentus!A:U,3,FALSE)&gt;15,"Ruim","n/a"))</f>
        <v>Bom</v>
      </c>
      <c r="EN121" s="28" t="str">
        <f>IF(VLOOKUP(BQ121,Fundamentus!A:U,4,FALSE)&lt;1,"Baixo",IF(VLOOKUP(BQ121,Fundamentus!A:U,4,FALSE)&lt;1.5,"Moderado",IF(VLOOKUP(BQ121,Fundamentus!A:U,4,FALSE)&gt;1.5,"Alto","n/a")))</f>
        <v>Alto</v>
      </c>
      <c r="EO121" s="17" t="str">
        <f>IF(VLOOKUP(BQ121,Fundamentus!A:U,8,FALSE)&lt;0,"Risco elevado",IF(VLOOKUP(BQ121,Fundamentus!A:U,8,FALSE)&lt;1,"Saudável",IF(VLOOKUP(BQ121,Fundamentus!A:U,8,FALSE)&lt;3,"Estável",IF(VLOOKUP(BQ121,Fundamentus!A:U,8,FALSE)&gt;3,"Alerta","n/a"))))</f>
        <v>Estável</v>
      </c>
      <c r="EP121" s="28" t="str">
        <f t="shared" si="111"/>
        <v>Ruim</v>
      </c>
      <c r="EQ121" s="17" t="str">
        <f>IF(VLOOKUP(BQ121,Fundamentus!A:U,12,FALSE)&lt;2,"Subvalorizada",IF(VLOOKUP(BQ121,Fundamentus!A:U,12,FALSE)&lt;6,"Muita barata",IF(VLOOKUP(BQ121,Fundamentus!A:U,12,FALSE)&lt;6,"Barata",IF(VLOOKUP(BQ121,Fundamentus!A:U,12,FALSE)&lt;8,"Atrativa",IF(VLOOKUP(BQ121,Fundamentus!A:U,12,FALSE)&gt;8,"Supervalorizada","n/a")))))</f>
        <v>Atrativa</v>
      </c>
      <c r="ES121" s="17" t="str">
        <f>IF(VLOOKUP(BQ121,Fundamentus!A:U,17,FALSE)&lt;0.1,"Fraco retorno",IF(VLOOKUP(BQ121,Fundamentus!A:U,17,FALSE)&gt;0.1,"Bom retorno","n/a"))</f>
        <v>Bom retorno</v>
      </c>
      <c r="ET121" s="17" t="str">
        <f>IF(VLOOKUP(BQ121,Fundamentus!A:U,16,FALSE)&lt;0.1,"Ineficiente",IF(VLOOKUP(BQ121,Fundamentus!A:U,16,FALSE)&gt;0.1,"Eficiente","n/a"))</f>
        <v>Eficiente</v>
      </c>
      <c r="EU121" s="33" t="str">
        <f>IF(VLOOKUP(BQ121,Fundamentus!A:U,16,FALSE)&lt;0.1,"Oper. Ineficiente",IF(VLOOKUP(BQ121,Fundamentus!A:U,16,FALSE)&gt;0.1,"Oper.Eficiente","n/a"))</f>
        <v>Oper.Eficiente</v>
      </c>
      <c r="EV121" s="34">
        <f>VLOOKUP(BQ121,Fundamentus!A:U,14,FALSE)</f>
        <v>5.0799999999999998E-2</v>
      </c>
      <c r="EW121" s="17" t="str">
        <f>IF(VLOOKUP(BQ121,Fundamentus!A:U,21,FALSE)&lt;0,"Negativo",IF(VLOOKUP(BQ121,Fundamentus!A:U,21,FALSE)&lt;0.05,"Fraco",IF(VLOOKUP(BQ121,Fundamentus!A:U,21,FALSE)&lt;0.1,"Bom",IF(VLOOKUP(BQ121,Fundamentus!A:U,21,FALSE)&gt;0.1,"Muito bom","n/a"))))</f>
        <v>Bom</v>
      </c>
      <c r="EY121" s="29" t="str">
        <f>IF(VLOOKUP(BQ121,Fundamentus!A:U,15,FALSE)&gt;1,"Bom",IF(VLOOKUP(BQ121,Fundamentus!A:U,15,FALSE)&lt;1,"Ruim","n/a"))</f>
        <v>Bom</v>
      </c>
      <c r="EZ121" s="17" t="str">
        <f>IF(VLOOKUP(BQ121,Fundamentus!A:U,20,FALSE)&lt;0.5,"Baixa",IF(VLOOKUP(BQ121,Fundamentus!A:U,20,FALSE)&lt;1,"Moderada",IF(VLOOKUP(BQ121,Fundamentus!A:U,20,FALSE)&lt;2,"Alerta",IF(VLOOKUP(BQ121,Fundamentus!A:U,20,FALSE)&gt;2,"Alta","n/a"))))</f>
        <v>Moderada</v>
      </c>
    </row>
    <row r="122" spans="1:157" s="2" customFormat="1" ht="11.25" hidden="1" x14ac:dyDescent="0.2">
      <c r="A122" s="4">
        <v>38.950000000000003</v>
      </c>
      <c r="B122" s="4">
        <v>38.11</v>
      </c>
      <c r="C122" s="4">
        <v>38.200000000000003</v>
      </c>
      <c r="D122" s="4">
        <v>36.03</v>
      </c>
      <c r="E122" s="4">
        <v>34.909999999999997</v>
      </c>
      <c r="F122" s="4">
        <v>35.729999999999997</v>
      </c>
      <c r="G122" s="4">
        <v>35.69</v>
      </c>
      <c r="H122" s="4">
        <v>34.69</v>
      </c>
      <c r="I122" s="4">
        <v>35.81</v>
      </c>
      <c r="J122" s="4">
        <v>37.94</v>
      </c>
      <c r="K122" s="4">
        <v>39.1</v>
      </c>
      <c r="L122" s="4">
        <v>37.090000000000003</v>
      </c>
      <c r="M122" s="4">
        <v>38.369999999999997</v>
      </c>
      <c r="N122" s="4">
        <v>38.35</v>
      </c>
      <c r="O122" s="4">
        <v>39.86</v>
      </c>
      <c r="P122" s="4">
        <v>40.31</v>
      </c>
      <c r="Q122" s="4">
        <v>41.88</v>
      </c>
      <c r="R122" s="4">
        <v>41.75</v>
      </c>
      <c r="S122" s="4">
        <v>41.75</v>
      </c>
      <c r="T122" s="4">
        <v>41.52</v>
      </c>
      <c r="U122" s="4">
        <v>39.93</v>
      </c>
      <c r="V122" s="4">
        <v>39.49</v>
      </c>
      <c r="W122" s="4">
        <v>38.159999999999997</v>
      </c>
      <c r="X122" s="4">
        <v>38.130000000000003</v>
      </c>
      <c r="Y122" s="4">
        <v>37.97</v>
      </c>
      <c r="Z122" s="4">
        <v>37.950000000000003</v>
      </c>
      <c r="AA122" s="4">
        <v>36.72</v>
      </c>
      <c r="AB122" s="4">
        <v>35.630000000000003</v>
      </c>
      <c r="AC122" s="4">
        <v>35.68</v>
      </c>
      <c r="AD122" s="4">
        <v>35.26</v>
      </c>
      <c r="AE122" s="4">
        <v>34.42</v>
      </c>
      <c r="AF122" s="4">
        <v>36.47</v>
      </c>
      <c r="AG122" s="4">
        <v>35.5</v>
      </c>
      <c r="AH122" s="4">
        <v>34.75</v>
      </c>
      <c r="AI122" s="4">
        <v>35</v>
      </c>
      <c r="AJ122" s="4">
        <v>33.549999999999997</v>
      </c>
      <c r="AK122" s="4">
        <v>34.15</v>
      </c>
      <c r="AL122" s="4">
        <v>34.85</v>
      </c>
      <c r="AM122" s="4">
        <v>34.97</v>
      </c>
      <c r="AN122" s="4">
        <v>36.090000000000003</v>
      </c>
      <c r="AO122" s="4">
        <v>34.75</v>
      </c>
      <c r="AP122" s="4">
        <v>37.54</v>
      </c>
      <c r="AQ122" s="4">
        <v>37.590000000000003</v>
      </c>
      <c r="AR122" s="4">
        <v>38.22</v>
      </c>
      <c r="AS122" s="4">
        <v>38.979999999999997</v>
      </c>
      <c r="AT122" s="4">
        <v>40.380000000000003</v>
      </c>
      <c r="AU122" s="4">
        <v>42.05</v>
      </c>
      <c r="AV122" s="4">
        <v>41.05</v>
      </c>
      <c r="AW122" s="4">
        <v>40.86</v>
      </c>
      <c r="AX122" s="4">
        <v>41.46</v>
      </c>
      <c r="AY122" s="12">
        <v>42.13</v>
      </c>
      <c r="AZ122" s="12">
        <v>43.43</v>
      </c>
      <c r="BA122" s="12">
        <v>43.95</v>
      </c>
      <c r="BB122" s="15">
        <v>43.42</v>
      </c>
      <c r="BC122" s="52">
        <v>41.79</v>
      </c>
      <c r="BD122" s="52">
        <v>41.7</v>
      </c>
      <c r="BE122" s="52">
        <v>41.96</v>
      </c>
      <c r="BF122" s="52">
        <v>41.31</v>
      </c>
      <c r="BG122" s="67">
        <v>41.3</v>
      </c>
      <c r="BH122" s="52">
        <v>40.049999999999997</v>
      </c>
      <c r="BI122" s="52">
        <v>39.700000000000003</v>
      </c>
      <c r="BJ122" s="52">
        <v>40.96</v>
      </c>
      <c r="BK122" s="52">
        <v>39.31</v>
      </c>
      <c r="BL122" s="52">
        <v>38.96</v>
      </c>
      <c r="BM122" s="52">
        <v>38.14</v>
      </c>
      <c r="BN122" s="52">
        <v>37.880000000000003</v>
      </c>
      <c r="BO122" s="52">
        <v>44.28</v>
      </c>
      <c r="BP122" s="52" cm="1">
        <f t="array" aca="1" ref="BP122" ca="1">_FV(ED122,"Preço")</f>
        <v>44.25</v>
      </c>
      <c r="BQ122" s="69" t="s">
        <v>118</v>
      </c>
      <c r="BR122" s="36" cm="1">
        <f t="array" aca="1" ref="BR122" ca="1">_FV(ED122,"Média de volume",TRUE)</f>
        <v>3545260</v>
      </c>
      <c r="BS122" s="36">
        <v>14585400</v>
      </c>
      <c r="BT122" s="36" cm="1">
        <f t="array" aca="1" ref="BT122" ca="1">_FV(ED122,"Volume")</f>
        <v>5074800</v>
      </c>
      <c r="BU122" s="24" cm="1">
        <f t="array" aca="1" ref="BU122" ca="1">_FV(ED122,"Beta")</f>
        <v>0.82269999999999999</v>
      </c>
      <c r="BV122" s="71" cm="1">
        <f t="array" aca="1" ref="BV122" ca="1">_FV(ED122,"Variação (%)",TRUE)</f>
        <v>-6.7750000000000004E-4</v>
      </c>
      <c r="BX122" s="17" cm="1">
        <f t="array" aca="1" ref="BX122" ca="1">_FV(ED122,"Baixo")</f>
        <v>43.98</v>
      </c>
      <c r="BY122" s="17" cm="1">
        <f t="array" aca="1" ref="BY122" ca="1">_FV(ED122,"Alto")</f>
        <v>44.38</v>
      </c>
      <c r="BZ122" s="24"/>
      <c r="CA122" s="63">
        <f ca="1">SQRT(22.5*(BP122/VLOOKUP(BQ122,Fundamentus!A:U,3,FALSE))*(BP122/VLOOKUP(BQ122,Fundamentus!A:U,4,FALSE)))</f>
        <v>80.313365219588974</v>
      </c>
      <c r="CC122" s="62">
        <f t="shared" ca="1" si="112"/>
        <v>-6.7750677506777637E-4</v>
      </c>
      <c r="CD122" s="8"/>
      <c r="CE122" s="61">
        <f t="shared" si="113"/>
        <v>33.549999999999997</v>
      </c>
      <c r="CF122" s="61">
        <f t="shared" si="114"/>
        <v>44.28</v>
      </c>
      <c r="CG122" s="61">
        <f t="shared" si="115"/>
        <v>38.56507462686568</v>
      </c>
      <c r="CH122" s="14"/>
      <c r="CI122" s="35">
        <f t="shared" si="98"/>
        <v>39.056315979916555</v>
      </c>
      <c r="CJ122" s="15">
        <f t="shared" si="116"/>
        <v>43.740000000001601</v>
      </c>
      <c r="CK122" s="35">
        <f t="shared" si="99"/>
        <v>48.423684020086647</v>
      </c>
      <c r="CM122" s="14"/>
      <c r="CN122" s="17">
        <f t="shared" si="100"/>
        <v>26.396666666666661</v>
      </c>
      <c r="CO122" s="17">
        <f t="shared" si="101"/>
        <v>29.973333333333329</v>
      </c>
      <c r="CP122" s="17">
        <f t="shared" si="102"/>
        <v>37.126666666666665</v>
      </c>
      <c r="CQ122" s="38">
        <f t="shared" si="117"/>
        <v>40.703333333333333</v>
      </c>
      <c r="CR122" s="17">
        <f t="shared" si="103"/>
        <v>47.856666666666669</v>
      </c>
      <c r="CS122" s="17">
        <f t="shared" si="104"/>
        <v>51.433333333333337</v>
      </c>
      <c r="CT122" s="17">
        <f t="shared" si="105"/>
        <v>58.586666666666673</v>
      </c>
      <c r="CU122" s="2" cm="1">
        <f t="array" aca="1" ref="CU122" ca="1">MAX(_xlfn._xlws.FILTER(CN122:CT122,CN122:CT122&lt;BP122))</f>
        <v>40.703333333333333</v>
      </c>
      <c r="CV122" s="2" cm="1">
        <f t="array" aca="1" ref="CV122" ca="1">MIN(_xlfn._xlws.FILTER($CN122:$CT122,$CN122:$CT122&gt;BP122))</f>
        <v>47.856666666666669</v>
      </c>
      <c r="CW122" s="16">
        <f t="shared" ca="1" si="136"/>
        <v>0.17574318237654585</v>
      </c>
      <c r="CX122" s="20">
        <f t="shared" ca="1" si="137"/>
        <v>-8.7871591188272924E-2</v>
      </c>
      <c r="CY122" s="20">
        <f t="shared" ca="1" si="138"/>
        <v>-5.8581060792181949E-2</v>
      </c>
      <c r="CZ122" s="20">
        <f t="shared" ca="1" si="139"/>
        <v>-3.5148636475309171E-2</v>
      </c>
      <c r="DA122" s="20">
        <f t="shared" ca="1" si="140"/>
        <v>-1.9527020264060651E-2</v>
      </c>
      <c r="DB122" s="20">
        <f t="shared" ca="1" si="141"/>
        <v>-1.0337834257443874E-2</v>
      </c>
      <c r="DC122" s="20">
        <f t="shared" ca="1" si="142"/>
        <v>-5.3255509811074497E-3</v>
      </c>
      <c r="DD122" s="20">
        <f t="shared" ca="1" si="143"/>
        <v>-2.7037412673314746E-3</v>
      </c>
      <c r="DE122" s="21">
        <f t="shared" ca="1" si="144"/>
        <v>2.7037412673314746E-3</v>
      </c>
      <c r="DF122" s="21">
        <f t="shared" ca="1" si="145"/>
        <v>5.3255509811074497E-3</v>
      </c>
      <c r="DG122" s="21">
        <f t="shared" ca="1" si="146"/>
        <v>1.0337834257443874E-2</v>
      </c>
      <c r="DH122" s="21">
        <f t="shared" ca="1" si="147"/>
        <v>1.9527020264060651E-2</v>
      </c>
      <c r="DI122" s="21">
        <f t="shared" ca="1" si="148"/>
        <v>3.5148636475309171E-2</v>
      </c>
      <c r="DJ122" s="21">
        <f t="shared" ca="1" si="149"/>
        <v>5.8581060792181949E-2</v>
      </c>
      <c r="DK122" s="21">
        <f t="shared" ca="1" si="150"/>
        <v>8.7871591188272924E-2</v>
      </c>
      <c r="DM122" s="16" cm="1">
        <f t="array" aca="1" ref="DM122" ca="1">MAX(_xlfn._xlws.FILTER(CX122:DK122,CX122:DK122&lt;BV122))</f>
        <v>-2.7037412673314746E-3</v>
      </c>
      <c r="DN122" s="16" cm="1">
        <f t="array" aca="1" ref="DN122" ca="1">MIN(_xlfn._xlws.FILTER(CX122:DK122,CX122:DK122&gt;BV122))</f>
        <v>2.7037412673314746E-3</v>
      </c>
      <c r="DO122" s="2" cm="1">
        <f t="array" aca="1" ref="DO122" ca="1">_FV(ED122,"Fechamento anterior",TRUE)</f>
        <v>44.28</v>
      </c>
      <c r="DP122" s="28">
        <f t="shared" ca="1" si="106"/>
        <v>0.37470939189819846</v>
      </c>
      <c r="DQ122" s="15">
        <f t="shared" ca="1" si="151"/>
        <v>44.160278336682566</v>
      </c>
      <c r="DR122" s="15">
        <f t="shared" ca="1" si="152"/>
        <v>44.399721663317436</v>
      </c>
      <c r="DS122" s="9"/>
      <c r="DT122" s="9"/>
      <c r="DU122" s="9"/>
      <c r="DV122" s="89">
        <v>2.3432424316872778E-2</v>
      </c>
      <c r="DW122" s="89">
        <f t="shared" ca="1" si="107"/>
        <v>5.4074825346629492E-3</v>
      </c>
      <c r="DX122" s="72">
        <f t="shared" ca="1" si="108"/>
        <v>0.10888864360007333</v>
      </c>
      <c r="DY122" s="37"/>
      <c r="DZ122" s="35">
        <f t="shared" si="118"/>
        <v>2.3418420100425221</v>
      </c>
      <c r="EA122" s="56"/>
      <c r="EB122" s="56"/>
      <c r="ED122" s="2" t="e" vm="121">
        <v>#VALUE!</v>
      </c>
      <c r="EF122" s="10" cm="1">
        <f t="array" aca="1" ref="EF122" ca="1">_FV(ED122,"Ações em circulação",TRUE)</f>
        <v>2307100000</v>
      </c>
      <c r="EG122" s="18">
        <f>VLOOKUP(BQ122,Fundamentus!A:U,5,FALSE)</f>
        <v>2.1379999999999999</v>
      </c>
      <c r="EH122" s="2">
        <f t="shared" ca="1" si="109"/>
        <v>47749847988.774559</v>
      </c>
      <c r="EI122" s="17">
        <v>11061584107.577175</v>
      </c>
      <c r="EJ122" s="17">
        <f t="shared" ca="1" si="110"/>
        <v>11054089809.401312</v>
      </c>
      <c r="EL122" s="16">
        <f t="shared" ca="1" si="97"/>
        <v>-6.7750677506761559E-4</v>
      </c>
      <c r="EM122" s="32" t="str">
        <f>IF(VLOOKUP(BQ122,Fundamentus!A:U,3,FALSE)&lt;15,"Bom",IF(VLOOKUP(BQ122,Fundamentus!A:U,3,FALSE)&gt;15,"Ruim","n/a"))</f>
        <v>Bom</v>
      </c>
      <c r="EN122" s="28" t="str">
        <f>IF(VLOOKUP(BQ122,Fundamentus!A:U,4,FALSE)&lt;1,"Baixo",IF(VLOOKUP(BQ122,Fundamentus!A:U,4,FALSE)&lt;1.5,"Moderado",IF(VLOOKUP(BQ122,Fundamentus!A:U,4,FALSE)&gt;1.5,"Alto","n/a")))</f>
        <v>Baixo</v>
      </c>
      <c r="EO122" s="17" t="str">
        <f>IF(VLOOKUP(BQ122,Fundamentus!A:U,8,FALSE)&lt;0,"Risco elevado",IF(VLOOKUP(BQ122,Fundamentus!A:U,8,FALSE)&lt;1,"Saudável",IF(VLOOKUP(BQ122,Fundamentus!A:U,8,FALSE)&lt;3,"Estável",IF(VLOOKUP(BQ122,Fundamentus!A:U,8,FALSE)&gt;3,"Alerta","n/a"))))</f>
        <v>Estável</v>
      </c>
      <c r="EP122" s="28" t="str">
        <f t="shared" si="111"/>
        <v>Bom</v>
      </c>
      <c r="EQ122" s="17" t="str">
        <f>IF(VLOOKUP(BQ122,Fundamentus!A:U,12,FALSE)&lt;2,"Subvalorizada",IF(VLOOKUP(BQ122,Fundamentus!A:U,12,FALSE)&lt;6,"Muita barata",IF(VLOOKUP(BQ122,Fundamentus!A:U,12,FALSE)&lt;6,"Barata",IF(VLOOKUP(BQ122,Fundamentus!A:U,12,FALSE)&lt;8,"Atrativa",IF(VLOOKUP(BQ122,Fundamentus!A:U,12,FALSE)&gt;8,"Supervalorizada","n/a")))))</f>
        <v>Atrativa</v>
      </c>
      <c r="ES122" s="17" t="str">
        <f>IF(VLOOKUP(BQ122,Fundamentus!A:U,17,FALSE)&lt;0.1,"Fraco retorno",IF(VLOOKUP(BQ122,Fundamentus!A:U,17,FALSE)&gt;0.1,"Bom retorno","n/a"))</f>
        <v>Fraco retorno</v>
      </c>
      <c r="ET122" s="17" t="str">
        <f>IF(VLOOKUP(BQ122,Fundamentus!A:U,16,FALSE)&lt;0.1,"Ineficiente",IF(VLOOKUP(BQ122,Fundamentus!A:U,16,FALSE)&gt;0.1,"Eficiente","n/a"))</f>
        <v>Ineficiente</v>
      </c>
      <c r="EU122" s="33" t="str">
        <f>IF(VLOOKUP(BQ122,Fundamentus!A:U,16,FALSE)&lt;0.1,"Oper. Ineficiente",IF(VLOOKUP(BQ122,Fundamentus!A:U,16,FALSE)&gt;0.1,"Oper.Eficiente","n/a"))</f>
        <v>Oper. Ineficiente</v>
      </c>
      <c r="EV122" s="34">
        <f>VLOOKUP(BQ122,Fundamentus!A:U,14,FALSE)</f>
        <v>0.23150000000000001</v>
      </c>
      <c r="EW122" s="17" t="str">
        <f>IF(VLOOKUP(BQ122,Fundamentus!A:U,21,FALSE)&lt;0,"Negativo",IF(VLOOKUP(BQ122,Fundamentus!A:U,21,FALSE)&lt;0.05,"Fraco",IF(VLOOKUP(BQ122,Fundamentus!A:U,21,FALSE)&lt;0.1,"Bom",IF(VLOOKUP(BQ122,Fundamentus!A:U,21,FALSE)&gt;0.1,"Muito bom","n/a"))))</f>
        <v>Bom</v>
      </c>
      <c r="EY122" s="29" t="str">
        <f>IF(VLOOKUP(BQ122,Fundamentus!A:U,15,FALSE)&gt;1,"Bom",IF(VLOOKUP(BQ122,Fundamentus!A:U,15,FALSE)&lt;1,"Ruim","n/a"))</f>
        <v>Bom</v>
      </c>
      <c r="EZ122" s="17" t="str">
        <f>IF(VLOOKUP(BQ122,Fundamentus!A:U,20,FALSE)&lt;0.5,"Baixa",IF(VLOOKUP(BQ122,Fundamentus!A:U,20,FALSE)&lt;1,"Moderada",IF(VLOOKUP(BQ122,Fundamentus!A:U,20,FALSE)&lt;2,"Alerta",IF(VLOOKUP(BQ122,Fundamentus!A:U,20,FALSE)&gt;2,"Alta","n/a"))))</f>
        <v>Moderada</v>
      </c>
      <c r="FA122" s="10"/>
    </row>
    <row r="123" spans="1:157" s="2" customFormat="1" ht="11.25" hidden="1" x14ac:dyDescent="0.2">
      <c r="A123" s="4">
        <v>7.24</v>
      </c>
      <c r="B123" s="4">
        <v>7.26</v>
      </c>
      <c r="C123" s="4">
        <v>6.47</v>
      </c>
      <c r="D123" s="4">
        <v>6.13</v>
      </c>
      <c r="E123" s="4">
        <v>5.97</v>
      </c>
      <c r="F123" s="4">
        <v>5.96</v>
      </c>
      <c r="G123" s="4">
        <v>5.76</v>
      </c>
      <c r="H123" s="4">
        <v>5.74</v>
      </c>
      <c r="I123" s="4">
        <v>5.72</v>
      </c>
      <c r="J123" s="4">
        <v>6</v>
      </c>
      <c r="K123" s="4">
        <v>5.99</v>
      </c>
      <c r="L123" s="4">
        <v>5.83</v>
      </c>
      <c r="M123" s="4">
        <v>5.88</v>
      </c>
      <c r="N123" s="4">
        <v>5.97</v>
      </c>
      <c r="O123" s="4">
        <v>5.99</v>
      </c>
      <c r="P123" s="4">
        <v>6.06</v>
      </c>
      <c r="Q123" s="4">
        <v>6.27</v>
      </c>
      <c r="R123" s="4">
        <v>6.17</v>
      </c>
      <c r="S123" s="4">
        <v>6.02</v>
      </c>
      <c r="T123" s="4">
        <v>6.1</v>
      </c>
      <c r="U123" s="4">
        <v>5.7</v>
      </c>
      <c r="V123" s="4">
        <v>5.81</v>
      </c>
      <c r="W123" s="4">
        <v>5.63</v>
      </c>
      <c r="X123" s="4">
        <v>6</v>
      </c>
      <c r="Y123" s="4">
        <v>5.83</v>
      </c>
      <c r="Z123" s="4">
        <v>5.81</v>
      </c>
      <c r="AA123" s="4">
        <v>5.7</v>
      </c>
      <c r="AB123" s="4">
        <v>5.84</v>
      </c>
      <c r="AC123" s="4">
        <v>5.79</v>
      </c>
      <c r="AD123" s="4">
        <v>6.07</v>
      </c>
      <c r="AE123" s="4">
        <v>5.82</v>
      </c>
      <c r="AF123" s="4">
        <v>6.08</v>
      </c>
      <c r="AG123" s="4">
        <v>5.82</v>
      </c>
      <c r="AH123" s="4">
        <v>5.59</v>
      </c>
      <c r="AI123" s="4">
        <v>5.57</v>
      </c>
      <c r="AJ123" s="4">
        <v>5.17</v>
      </c>
      <c r="AK123" s="4">
        <v>5.26</v>
      </c>
      <c r="AL123" s="4">
        <v>5.53</v>
      </c>
      <c r="AM123" s="4">
        <v>5.77</v>
      </c>
      <c r="AN123" s="4">
        <v>5.97</v>
      </c>
      <c r="AO123" s="4">
        <v>5.87</v>
      </c>
      <c r="AP123" s="4">
        <v>5.97</v>
      </c>
      <c r="AQ123" s="4">
        <v>5.91</v>
      </c>
      <c r="AR123" s="4">
        <v>6.03</v>
      </c>
      <c r="AS123" s="4">
        <v>6.11</v>
      </c>
      <c r="AT123" s="4">
        <v>6.19</v>
      </c>
      <c r="AU123" s="4">
        <v>6.0949999999999998</v>
      </c>
      <c r="AV123" s="4">
        <v>5.98</v>
      </c>
      <c r="AW123" s="4">
        <v>5.9</v>
      </c>
      <c r="AX123" s="4">
        <v>5.92</v>
      </c>
      <c r="AY123" s="12">
        <v>5.98</v>
      </c>
      <c r="AZ123" s="12">
        <v>6.07</v>
      </c>
      <c r="BA123" s="12">
        <v>5.97</v>
      </c>
      <c r="BB123" s="15">
        <v>6</v>
      </c>
      <c r="BC123" s="52">
        <v>6.93</v>
      </c>
      <c r="BD123" s="52">
        <v>7.06</v>
      </c>
      <c r="BE123" s="52">
        <v>7.19</v>
      </c>
      <c r="BF123" s="52">
        <v>7.39</v>
      </c>
      <c r="BG123" s="67">
        <v>7.65</v>
      </c>
      <c r="BH123" s="52">
        <v>7.89</v>
      </c>
      <c r="BI123" s="52">
        <v>7.72</v>
      </c>
      <c r="BJ123" s="52">
        <v>7.78</v>
      </c>
      <c r="BK123" s="52">
        <v>7.71</v>
      </c>
      <c r="BL123" s="52">
        <v>7.37</v>
      </c>
      <c r="BM123" s="52">
        <v>7.27</v>
      </c>
      <c r="BN123" s="52">
        <v>7.44</v>
      </c>
      <c r="BO123" s="52">
        <v>8.15</v>
      </c>
      <c r="BP123" s="52" cm="1">
        <f t="array" aca="1" ref="BP123" ca="1">_FV(ED123,"Preço")</f>
        <v>7.91</v>
      </c>
      <c r="BQ123" s="69" t="s">
        <v>119</v>
      </c>
      <c r="BR123" s="36" cm="1">
        <f t="array" aca="1" ref="BR123" ca="1">_FV(ED123,"Média de volume",TRUE)</f>
        <v>443020</v>
      </c>
      <c r="BS123" s="36">
        <v>1059400</v>
      </c>
      <c r="BT123" s="36" cm="1">
        <f t="array" aca="1" ref="BT123" ca="1">_FV(ED123,"Volume")</f>
        <v>406600</v>
      </c>
      <c r="BU123" s="24" cm="1">
        <f t="array" aca="1" ref="BU123" ca="1">_FV(ED123,"Beta")</f>
        <v>1.1351</v>
      </c>
      <c r="BV123" s="71" cm="1">
        <f t="array" aca="1" ref="BV123" ca="1">_FV(ED123,"Variação (%)",TRUE)</f>
        <v>-2.3456999999999999E-2</v>
      </c>
      <c r="BX123" s="17" cm="1">
        <f t="array" aca="1" ref="BX123" ca="1">_FV(ED123,"Baixo")</f>
        <v>7.83</v>
      </c>
      <c r="BY123" s="17" cm="1">
        <f t="array" aca="1" ref="BY123" ca="1">_FV(ED123,"Alto")</f>
        <v>8.14</v>
      </c>
      <c r="BZ123" s="24"/>
      <c r="CA123" s="63">
        <f ca="1">SQRT(22.5*(BP123/VLOOKUP(BQ123,Fundamentus!A:U,3,FALSE))*(BP123/VLOOKUP(BQ123,Fundamentus!A:U,4,FALSE)))</f>
        <v>10.33789199211737</v>
      </c>
      <c r="CC123" s="62">
        <f t="shared" ca="1" si="112"/>
        <v>-2.9447852760736221E-2</v>
      </c>
      <c r="CD123" s="8"/>
      <c r="CE123" s="61">
        <f t="shared" si="113"/>
        <v>5.17</v>
      </c>
      <c r="CF123" s="61">
        <f t="shared" si="114"/>
        <v>8.15</v>
      </c>
      <c r="CG123" s="61">
        <f t="shared" si="115"/>
        <v>6.2512686567164168</v>
      </c>
      <c r="CH123" s="14"/>
      <c r="CI123" s="35">
        <f t="shared" si="98"/>
        <v>7.5517354423307195</v>
      </c>
      <c r="CJ123" s="15">
        <f t="shared" si="116"/>
        <v>8.1849999999999454</v>
      </c>
      <c r="CK123" s="35">
        <f t="shared" si="99"/>
        <v>8.8182645576691705</v>
      </c>
      <c r="CM123" s="14"/>
      <c r="CN123" s="17">
        <f t="shared" si="100"/>
        <v>3.1833333333333318</v>
      </c>
      <c r="CO123" s="17">
        <f t="shared" si="101"/>
        <v>4.1766666666666659</v>
      </c>
      <c r="CP123" s="17">
        <f t="shared" si="102"/>
        <v>6.1633333333333322</v>
      </c>
      <c r="CQ123" s="38">
        <f t="shared" si="117"/>
        <v>7.1566666666666663</v>
      </c>
      <c r="CR123" s="17">
        <f t="shared" si="103"/>
        <v>9.1433333333333326</v>
      </c>
      <c r="CS123" s="17">
        <f t="shared" si="104"/>
        <v>10.136666666666667</v>
      </c>
      <c r="CT123" s="17">
        <f t="shared" si="105"/>
        <v>12.123333333333333</v>
      </c>
      <c r="CU123" s="2" cm="1">
        <f t="array" aca="1" ref="CU123" ca="1">MAX(_xlfn._xlws.FILTER(CN123:CT123,CN123:CT123&lt;BP123))</f>
        <v>7.1566666666666663</v>
      </c>
      <c r="CV123" s="2" cm="1">
        <f t="array" aca="1" ref="CV123" ca="1">MIN(_xlfn._xlws.FILTER($CN123:$CT123,$CN123:$CT123&gt;BP123))</f>
        <v>9.1433333333333326</v>
      </c>
      <c r="CW123" s="16">
        <f t="shared" ca="1" si="136"/>
        <v>0.27759664648346538</v>
      </c>
      <c r="CX123" s="20">
        <f t="shared" ca="1" si="137"/>
        <v>-0.13879832324173269</v>
      </c>
      <c r="CY123" s="20">
        <f t="shared" ca="1" si="138"/>
        <v>-9.2532215494488465E-2</v>
      </c>
      <c r="CZ123" s="20">
        <f t="shared" ca="1" si="139"/>
        <v>-5.5519329296693079E-2</v>
      </c>
      <c r="DA123" s="20">
        <f t="shared" ca="1" si="140"/>
        <v>-3.0844071831496154E-2</v>
      </c>
      <c r="DB123" s="20">
        <f t="shared" ca="1" si="141"/>
        <v>-1.6329214499027377E-2</v>
      </c>
      <c r="DC123" s="20">
        <f t="shared" ca="1" si="142"/>
        <v>-8.4120195904080416E-3</v>
      </c>
      <c r="DD123" s="20">
        <f t="shared" ca="1" si="143"/>
        <v>-4.2707176382071601E-3</v>
      </c>
      <c r="DE123" s="21">
        <f t="shared" ca="1" si="144"/>
        <v>4.2707176382071601E-3</v>
      </c>
      <c r="DF123" s="21">
        <f t="shared" ca="1" si="145"/>
        <v>8.4120195904080416E-3</v>
      </c>
      <c r="DG123" s="21">
        <f t="shared" ca="1" si="146"/>
        <v>1.6329214499027377E-2</v>
      </c>
      <c r="DH123" s="21">
        <f t="shared" ca="1" si="147"/>
        <v>3.0844071831496154E-2</v>
      </c>
      <c r="DI123" s="21">
        <f t="shared" ca="1" si="148"/>
        <v>5.5519329296693079E-2</v>
      </c>
      <c r="DJ123" s="21">
        <f t="shared" ca="1" si="149"/>
        <v>9.2532215494488465E-2</v>
      </c>
      <c r="DK123" s="21">
        <f t="shared" ca="1" si="150"/>
        <v>0.13879832324173269</v>
      </c>
      <c r="DM123" s="16" cm="1">
        <f t="array" aca="1" ref="DM123" ca="1">MAX(_xlfn._xlws.FILTER(CX123:DK123,CX123:DK123&lt;BV123))</f>
        <v>-3.0844071831496154E-2</v>
      </c>
      <c r="DN123" s="16" cm="1">
        <f t="array" aca="1" ref="DN123" ca="1">MIN(_xlfn._xlws.FILTER(CX123:DK123,CX123:DK123&gt;BV123))</f>
        <v>-1.6329214499027377E-2</v>
      </c>
      <c r="DO123" s="2" cm="1">
        <f t="array" aca="1" ref="DO123" ca="1">_FV(ED123,"Fechamento anterior",TRUE)</f>
        <v>8.1</v>
      </c>
      <c r="DP123" s="28">
        <f t="shared" ca="1" si="106"/>
        <v>0.50894621551081887</v>
      </c>
      <c r="DQ123" s="15">
        <f t="shared" ca="1" si="151"/>
        <v>7.8501630181648805</v>
      </c>
      <c r="DR123" s="15">
        <f t="shared" ca="1" si="152"/>
        <v>7.9677333625578779</v>
      </c>
      <c r="DS123" s="9"/>
      <c r="DT123" s="9"/>
      <c r="DU123" s="9"/>
      <c r="DV123" s="89">
        <v>2.4675257465196925E-2</v>
      </c>
      <c r="DW123" s="89">
        <f t="shared" ca="1" si="107"/>
        <v>1.4514857332468777E-2</v>
      </c>
      <c r="DX123" s="72">
        <f t="shared" ca="1" si="108"/>
        <v>-0.43425768372716422</v>
      </c>
      <c r="DY123" s="37"/>
      <c r="DZ123" s="35">
        <f t="shared" si="118"/>
        <v>0.31663227883461298</v>
      </c>
      <c r="EA123" s="56"/>
      <c r="EB123" s="56"/>
      <c r="ED123" s="2" t="e" vm="122">
        <v>#VALUE!</v>
      </c>
      <c r="EF123" s="10" cm="1">
        <f t="array" aca="1" ref="EF123" ca="1">_FV(ED123,"Ações em circulação",TRUE)</f>
        <v>159907300</v>
      </c>
      <c r="EG123" s="18">
        <f>VLOOKUP(BQ123,Fundamentus!A:U,5,FALSE)</f>
        <v>0.88100000000000001</v>
      </c>
      <c r="EH123" s="2">
        <f t="shared" ca="1" si="109"/>
        <v>1435717074.9148695</v>
      </c>
      <c r="EI123" s="17">
        <v>355322732.91600454</v>
      </c>
      <c r="EJ123" s="17">
        <f t="shared" ca="1" si="110"/>
        <v>344859241.39455163</v>
      </c>
      <c r="EL123" s="16">
        <f t="shared" ca="1" si="97"/>
        <v>-2.9447852760736248E-2</v>
      </c>
      <c r="EM123" s="32" t="str">
        <f>IF(VLOOKUP(BQ123,Fundamentus!A:U,3,FALSE)&lt;15,"Bom",IF(VLOOKUP(BQ123,Fundamentus!A:U,3,FALSE)&gt;15,"Ruim","n/a"))</f>
        <v>Bom</v>
      </c>
      <c r="EN123" s="28" t="str">
        <f>IF(VLOOKUP(BQ123,Fundamentus!A:U,4,FALSE)&lt;1,"Baixo",IF(VLOOKUP(BQ123,Fundamentus!A:U,4,FALSE)&lt;1.5,"Moderado",IF(VLOOKUP(BQ123,Fundamentus!A:U,4,FALSE)&gt;1.5,"Alto","n/a")))</f>
        <v>Alto</v>
      </c>
      <c r="EO123" s="17" t="str">
        <f>IF(VLOOKUP(BQ123,Fundamentus!A:U,8,FALSE)&lt;0,"Risco elevado",IF(VLOOKUP(BQ123,Fundamentus!A:U,8,FALSE)&lt;1,"Saudável",IF(VLOOKUP(BQ123,Fundamentus!A:U,8,FALSE)&lt;3,"Estável",IF(VLOOKUP(BQ123,Fundamentus!A:U,8,FALSE)&gt;3,"Alerta","n/a"))))</f>
        <v>Alerta</v>
      </c>
      <c r="EP123" s="28" t="str">
        <f t="shared" si="111"/>
        <v>Ruim</v>
      </c>
      <c r="EQ123" s="17" t="str">
        <f>IF(VLOOKUP(BQ123,Fundamentus!A:U,12,FALSE)&lt;2,"Subvalorizada",IF(VLOOKUP(BQ123,Fundamentus!A:U,12,FALSE)&lt;6,"Muita barata",IF(VLOOKUP(BQ123,Fundamentus!A:U,12,FALSE)&lt;6,"Barata",IF(VLOOKUP(BQ123,Fundamentus!A:U,12,FALSE)&lt;8,"Atrativa",IF(VLOOKUP(BQ123,Fundamentus!A:U,12,FALSE)&gt;8,"Supervalorizada","n/a")))))</f>
        <v>Subvalorizada</v>
      </c>
      <c r="ES123" s="17" t="str">
        <f>IF(VLOOKUP(BQ123,Fundamentus!A:U,17,FALSE)&lt;0.1,"Fraco retorno",IF(VLOOKUP(BQ123,Fundamentus!A:U,17,FALSE)&gt;0.1,"Bom retorno","n/a"))</f>
        <v>Bom retorno</v>
      </c>
      <c r="ET123" s="17" t="str">
        <f>IF(VLOOKUP(BQ123,Fundamentus!A:U,16,FALSE)&lt;0.1,"Ineficiente",IF(VLOOKUP(BQ123,Fundamentus!A:U,16,FALSE)&gt;0.1,"Eficiente","n/a"))</f>
        <v>Eficiente</v>
      </c>
      <c r="EU123" s="33" t="str">
        <f>IF(VLOOKUP(BQ123,Fundamentus!A:U,16,FALSE)&lt;0.1,"Oper. Ineficiente",IF(VLOOKUP(BQ123,Fundamentus!A:U,16,FALSE)&gt;0.1,"Oper.Eficiente","n/a"))</f>
        <v>Oper.Eficiente</v>
      </c>
      <c r="EV123" s="34">
        <f>VLOOKUP(BQ123,Fundamentus!A:U,14,FALSE)</f>
        <v>0.2402</v>
      </c>
      <c r="EW123" s="17" t="str">
        <f>IF(VLOOKUP(BQ123,Fundamentus!A:U,21,FALSE)&lt;0,"Negativo",IF(VLOOKUP(BQ123,Fundamentus!A:U,21,FALSE)&lt;0.05,"Fraco",IF(VLOOKUP(BQ123,Fundamentus!A:U,21,FALSE)&lt;0.1,"Bom",IF(VLOOKUP(BQ123,Fundamentus!A:U,21,FALSE)&gt;0.1,"Muito bom","n/a"))))</f>
        <v>Muito bom</v>
      </c>
      <c r="EY123" s="29" t="str">
        <f>IF(VLOOKUP(BQ123,Fundamentus!A:U,15,FALSE)&gt;1,"Bom",IF(VLOOKUP(BQ123,Fundamentus!A:U,15,FALSE)&lt;1,"Ruim","n/a"))</f>
        <v>Bom</v>
      </c>
      <c r="EZ123" s="17" t="str">
        <f>IF(VLOOKUP(BQ123,Fundamentus!A:U,20,FALSE)&lt;0.5,"Baixa",IF(VLOOKUP(BQ123,Fundamentus!A:U,20,FALSE)&lt;1,"Moderada",IF(VLOOKUP(BQ123,Fundamentus!A:U,20,FALSE)&lt;2,"Alerta",IF(VLOOKUP(BQ123,Fundamentus!A:U,20,FALSE)&gt;2,"Alta","n/a"))))</f>
        <v>Moderada</v>
      </c>
      <c r="FA123" s="10">
        <v>3</v>
      </c>
    </row>
    <row r="124" spans="1:157" s="2" customFormat="1" ht="11.25" hidden="1" x14ac:dyDescent="0.2">
      <c r="A124" s="4">
        <v>5.63</v>
      </c>
      <c r="B124" s="4">
        <v>5.52</v>
      </c>
      <c r="C124" s="4">
        <v>5.81</v>
      </c>
      <c r="D124" s="4">
        <v>5.69</v>
      </c>
      <c r="E124" s="4">
        <v>5.56</v>
      </c>
      <c r="F124" s="4">
        <v>5.48</v>
      </c>
      <c r="G124" s="4">
        <v>5.31</v>
      </c>
      <c r="H124" s="4">
        <v>5.5</v>
      </c>
      <c r="I124" s="4">
        <v>5.59</v>
      </c>
      <c r="J124" s="4">
        <v>5.53</v>
      </c>
      <c r="K124" s="4">
        <v>5.46</v>
      </c>
      <c r="L124" s="4">
        <v>5.33</v>
      </c>
      <c r="M124" s="4">
        <v>5.41</v>
      </c>
      <c r="N124" s="4">
        <v>5.78</v>
      </c>
      <c r="O124" s="4">
        <v>5.8</v>
      </c>
      <c r="P124" s="4">
        <v>5.76</v>
      </c>
      <c r="Q124" s="4">
        <v>5.85</v>
      </c>
      <c r="R124" s="4">
        <v>5.85</v>
      </c>
      <c r="S124" s="4">
        <v>6.05</v>
      </c>
      <c r="T124" s="4">
        <v>6.52</v>
      </c>
      <c r="U124" s="4">
        <v>6.4</v>
      </c>
      <c r="V124" s="4">
        <v>5.94</v>
      </c>
      <c r="W124" s="4">
        <v>5.68</v>
      </c>
      <c r="X124" s="4">
        <v>5.55</v>
      </c>
      <c r="Y124" s="4">
        <v>5.57</v>
      </c>
      <c r="Z124" s="4">
        <v>5.52</v>
      </c>
      <c r="AA124" s="4">
        <v>5.31</v>
      </c>
      <c r="AB124" s="4">
        <v>5.29</v>
      </c>
      <c r="AC124" s="4">
        <v>5.23</v>
      </c>
      <c r="AD124" s="4">
        <v>5.26</v>
      </c>
      <c r="AE124" s="4">
        <v>6</v>
      </c>
      <c r="AF124" s="4">
        <v>6.18</v>
      </c>
      <c r="AG124" s="4">
        <v>5.63</v>
      </c>
      <c r="AH124" s="4">
        <v>5.46</v>
      </c>
      <c r="AI124" s="4">
        <v>5.55</v>
      </c>
      <c r="AJ124" s="4">
        <v>5.03</v>
      </c>
      <c r="AK124" s="4">
        <v>5.12</v>
      </c>
      <c r="AL124" s="4">
        <v>5.18</v>
      </c>
      <c r="AM124" s="4">
        <v>5.13</v>
      </c>
      <c r="AN124" s="4">
        <v>5.14</v>
      </c>
      <c r="AO124" s="4">
        <v>5.38</v>
      </c>
      <c r="AP124" s="4">
        <v>5.41</v>
      </c>
      <c r="AQ124" s="4">
        <v>5.45</v>
      </c>
      <c r="AR124" s="4">
        <v>5.36</v>
      </c>
      <c r="AS124" s="4">
        <v>5.56</v>
      </c>
      <c r="AT124" s="4">
        <v>5.47</v>
      </c>
      <c r="AU124" s="4">
        <v>5.72</v>
      </c>
      <c r="AV124" s="4">
        <v>5.48</v>
      </c>
      <c r="AW124" s="4">
        <v>5.67</v>
      </c>
      <c r="AX124" s="4">
        <v>5.53</v>
      </c>
      <c r="AY124" s="12">
        <v>5.69</v>
      </c>
      <c r="AZ124" s="12">
        <v>5.92</v>
      </c>
      <c r="BA124" s="12">
        <v>6.08</v>
      </c>
      <c r="BB124" s="15">
        <v>6.12</v>
      </c>
      <c r="BC124" s="52">
        <v>6.15</v>
      </c>
      <c r="BD124" s="52">
        <v>6.4</v>
      </c>
      <c r="BE124" s="52">
        <v>6.51</v>
      </c>
      <c r="BF124" s="52">
        <v>6.57</v>
      </c>
      <c r="BG124" s="67">
        <v>7.06</v>
      </c>
      <c r="BH124" s="52">
        <v>7.29</v>
      </c>
      <c r="BI124" s="52">
        <v>7.5</v>
      </c>
      <c r="BJ124" s="52">
        <v>7.41</v>
      </c>
      <c r="BK124" s="52">
        <v>7.23</v>
      </c>
      <c r="BL124" s="52">
        <v>6.98</v>
      </c>
      <c r="BM124" s="52">
        <v>6.69</v>
      </c>
      <c r="BN124" s="52">
        <v>6.58</v>
      </c>
      <c r="BO124" s="52">
        <v>6.38</v>
      </c>
      <c r="BP124" s="52" cm="1">
        <f t="array" aca="1" ref="BP124" ca="1">_FV(ED124,"Preço")</f>
        <v>6.55</v>
      </c>
      <c r="BQ124" s="69" t="s">
        <v>86</v>
      </c>
      <c r="BR124" s="36" cm="1">
        <f t="array" aca="1" ref="BR124" ca="1">_FV(ED124,"Média de volume",TRUE)</f>
        <v>1307550</v>
      </c>
      <c r="BS124" s="36">
        <v>2164500</v>
      </c>
      <c r="BT124" s="36" cm="1">
        <f t="array" aca="1" ref="BT124" ca="1">_FV(ED124,"Volume")</f>
        <v>672800</v>
      </c>
      <c r="BU124" s="24" cm="1">
        <f t="array" aca="1" ref="BU124" ca="1">_FV(ED124,"Beta")</f>
        <v>0.6089</v>
      </c>
      <c r="BV124" s="71" cm="1">
        <f t="array" aca="1" ref="BV124" ca="1">_FV(ED124,"Variação (%)",TRUE)</f>
        <v>1.529E-3</v>
      </c>
      <c r="BX124" s="17" cm="1">
        <f t="array" aca="1" ref="BX124" ca="1">_FV(ED124,"Baixo")</f>
        <v>6.47</v>
      </c>
      <c r="BY124" s="17" cm="1">
        <f t="array" aca="1" ref="BY124" ca="1">_FV(ED124,"Alto")</f>
        <v>6.57</v>
      </c>
      <c r="BZ124" s="24"/>
      <c r="CA124" s="63">
        <f ca="1">SQRT(22.5*(BP124/VLOOKUP(BQ124,Fundamentus!A:U,3,FALSE))*(BP124/VLOOKUP(BQ124,Fundamentus!A:U,4,FALSE)))</f>
        <v>16.176264199378327</v>
      </c>
      <c r="CC124" s="62">
        <f t="shared" ca="1" si="112"/>
        <v>2.664576802507836E-2</v>
      </c>
      <c r="CD124" s="8"/>
      <c r="CE124" s="61">
        <f t="shared" si="113"/>
        <v>5.03</v>
      </c>
      <c r="CF124" s="61">
        <f t="shared" si="114"/>
        <v>7.5</v>
      </c>
      <c r="CG124" s="61">
        <f t="shared" si="115"/>
        <v>5.8386567164179111</v>
      </c>
      <c r="CH124" s="14"/>
      <c r="CI124" s="35">
        <f t="shared" si="98"/>
        <v>5.5798133623611763</v>
      </c>
      <c r="CJ124" s="15">
        <f t="shared" si="116"/>
        <v>6.1799999999998363</v>
      </c>
      <c r="CK124" s="35">
        <f t="shared" si="99"/>
        <v>6.7801866376384963</v>
      </c>
      <c r="CM124" s="14"/>
      <c r="CN124" s="17">
        <f t="shared" si="100"/>
        <v>2.6366666666666676</v>
      </c>
      <c r="CO124" s="17">
        <f t="shared" si="101"/>
        <v>3.8333333333333339</v>
      </c>
      <c r="CP124" s="17">
        <f t="shared" si="102"/>
        <v>5.1066666666666674</v>
      </c>
      <c r="CQ124" s="38">
        <f t="shared" si="117"/>
        <v>6.3033333333333337</v>
      </c>
      <c r="CR124" s="17">
        <f t="shared" si="103"/>
        <v>7.5766666666666671</v>
      </c>
      <c r="CS124" s="17">
        <f t="shared" si="104"/>
        <v>8.7733333333333334</v>
      </c>
      <c r="CT124" s="17">
        <f t="shared" si="105"/>
        <v>10.046666666666667</v>
      </c>
      <c r="CU124" s="2" cm="1">
        <f t="array" aca="1" ref="CU124" ca="1">MAX(_xlfn._xlws.FILTER(CN124:CT124,CN124:CT124&lt;BP124))</f>
        <v>6.3033333333333337</v>
      </c>
      <c r="CV124" s="2" cm="1">
        <f t="array" aca="1" ref="CV124" ca="1">MIN(_xlfn._xlws.FILTER($CN124:$CT124,$CN124:$CT124&gt;BP124))</f>
        <v>7.5766666666666671</v>
      </c>
      <c r="CW124" s="16">
        <f t="shared" ca="1" si="136"/>
        <v>0.20200951877313589</v>
      </c>
      <c r="CX124" s="20">
        <f t="shared" ca="1" si="137"/>
        <v>-0.10100475938656794</v>
      </c>
      <c r="CY124" s="20">
        <f t="shared" ca="1" si="138"/>
        <v>-6.7336506257711967E-2</v>
      </c>
      <c r="CZ124" s="20">
        <f t="shared" ca="1" si="139"/>
        <v>-4.0401903754627176E-2</v>
      </c>
      <c r="DA124" s="20">
        <f t="shared" ca="1" si="140"/>
        <v>-2.2445502085903988E-2</v>
      </c>
      <c r="DB124" s="20">
        <f t="shared" ca="1" si="141"/>
        <v>-1.1882912869007993E-2</v>
      </c>
      <c r="DC124" s="20">
        <f t="shared" ca="1" si="142"/>
        <v>-6.1215005688829054E-3</v>
      </c>
      <c r="DD124" s="20">
        <f t="shared" ca="1" si="143"/>
        <v>-3.1078387503559366E-3</v>
      </c>
      <c r="DE124" s="21">
        <f t="shared" ca="1" si="144"/>
        <v>3.1078387503559366E-3</v>
      </c>
      <c r="DF124" s="21">
        <f t="shared" ca="1" si="145"/>
        <v>6.1215005688829054E-3</v>
      </c>
      <c r="DG124" s="21">
        <f t="shared" ca="1" si="146"/>
        <v>1.1882912869007993E-2</v>
      </c>
      <c r="DH124" s="21">
        <f t="shared" ca="1" si="147"/>
        <v>2.2445502085903988E-2</v>
      </c>
      <c r="DI124" s="21">
        <f t="shared" ca="1" si="148"/>
        <v>4.0401903754627176E-2</v>
      </c>
      <c r="DJ124" s="21">
        <f t="shared" ca="1" si="149"/>
        <v>6.7336506257711967E-2</v>
      </c>
      <c r="DK124" s="21">
        <f t="shared" ca="1" si="150"/>
        <v>0.10100475938656794</v>
      </c>
      <c r="DM124" s="16" cm="1">
        <f t="array" aca="1" ref="DM124" ca="1">MAX(_xlfn._xlws.FILTER(CX124:DK124,CX124:DK124&lt;BV124))</f>
        <v>-3.1078387503559366E-3</v>
      </c>
      <c r="DN124" s="16" cm="1">
        <f t="array" aca="1" ref="DN124" ca="1">MIN(_xlfn._xlws.FILTER(CX124:DK124,CX124:DK124&gt;BV124))</f>
        <v>3.1078387503559366E-3</v>
      </c>
      <c r="DO124" s="2" cm="1">
        <f t="array" aca="1" ref="DO124" ca="1">_FV(ED124,"Fechamento anterior",TRUE)</f>
        <v>6.54</v>
      </c>
      <c r="DP124" s="28">
        <f t="shared" ca="1" si="106"/>
        <v>0.74599924748226265</v>
      </c>
      <c r="DQ124" s="15">
        <f t="shared" ca="1" si="151"/>
        <v>6.5196747345726722</v>
      </c>
      <c r="DR124" s="15">
        <f t="shared" ca="1" si="152"/>
        <v>6.5603252654273279</v>
      </c>
      <c r="DS124" s="9"/>
      <c r="DT124" s="9"/>
      <c r="DU124" s="9"/>
      <c r="DV124" s="89">
        <v>2.6934602503084791E-2</v>
      </c>
      <c r="DW124" s="89">
        <f t="shared" ca="1" si="107"/>
        <v>6.2156775007118732E-3</v>
      </c>
      <c r="DX124" s="75">
        <f t="shared" ca="1" si="108"/>
        <v>0.61647490429955321</v>
      </c>
      <c r="DY124" s="37"/>
      <c r="DZ124" s="35">
        <f t="shared" si="118"/>
        <v>0.3000933188193301</v>
      </c>
      <c r="EA124" s="56"/>
      <c r="EB124" s="56"/>
      <c r="ED124" s="2" t="e" vm="123">
        <v>#VALUE!</v>
      </c>
      <c r="EF124" s="10" cm="1">
        <f t="array" aca="1" ref="EF124" ca="1">_FV(ED124,"Ações em circulação",TRUE)</f>
        <v>1511206000</v>
      </c>
      <c r="EG124" s="18">
        <f>VLOOKUP(BQ124,Fundamentus!A:U,5,FALSE)</f>
        <v>1.48</v>
      </c>
      <c r="EH124" s="2">
        <f t="shared" ca="1" si="109"/>
        <v>6688107635.1351357</v>
      </c>
      <c r="EI124" s="17">
        <v>2223406755.2459459</v>
      </c>
      <c r="EJ124" s="17">
        <f t="shared" ca="1" si="110"/>
        <v>2282651135.8716216</v>
      </c>
      <c r="EL124" s="16">
        <f t="shared" ca="1" si="97"/>
        <v>2.6645768025078453E-2</v>
      </c>
      <c r="EM124" s="32" t="str">
        <f>IF(VLOOKUP(BQ124,Fundamentus!A:U,3,FALSE)&lt;15,"Bom",IF(VLOOKUP(BQ124,Fundamentus!A:U,3,FALSE)&gt;15,"Ruim","n/a"))</f>
        <v>Bom</v>
      </c>
      <c r="EN124" s="28" t="str">
        <f>IF(VLOOKUP(BQ124,Fundamentus!A:U,4,FALSE)&lt;1,"Baixo",IF(VLOOKUP(BQ124,Fundamentus!A:U,4,FALSE)&lt;1.5,"Moderado",IF(VLOOKUP(BQ124,Fundamentus!A:U,4,FALSE)&gt;1.5,"Alto","n/a")))</f>
        <v>Baixo</v>
      </c>
      <c r="EO124" s="17" t="str">
        <f>IF(VLOOKUP(BQ124,Fundamentus!A:U,8,FALSE)&lt;0,"Risco elevado",IF(VLOOKUP(BQ124,Fundamentus!A:U,8,FALSE)&lt;1,"Saudável",IF(VLOOKUP(BQ124,Fundamentus!A:U,8,FALSE)&lt;3,"Estável",IF(VLOOKUP(BQ124,Fundamentus!A:U,8,FALSE)&gt;3,"Alerta","n/a"))))</f>
        <v>Alerta</v>
      </c>
      <c r="EP124" s="28" t="str">
        <f t="shared" si="111"/>
        <v>Bom</v>
      </c>
      <c r="EQ124" s="17" t="str">
        <f>IF(VLOOKUP(BQ124,Fundamentus!A:U,12,FALSE)&lt;2,"Subvalorizada",IF(VLOOKUP(BQ124,Fundamentus!A:U,12,FALSE)&lt;6,"Muita barata",IF(VLOOKUP(BQ124,Fundamentus!A:U,12,FALSE)&lt;6,"Barata",IF(VLOOKUP(BQ124,Fundamentus!A:U,12,FALSE)&lt;8,"Atrativa",IF(VLOOKUP(BQ124,Fundamentus!A:U,12,FALSE)&gt;8,"Supervalorizada","n/a")))))</f>
        <v>Atrativa</v>
      </c>
      <c r="ES124" s="17" t="str">
        <f>IF(VLOOKUP(BQ124,Fundamentus!A:U,17,FALSE)&lt;0.1,"Fraco retorno",IF(VLOOKUP(BQ124,Fundamentus!A:U,17,FALSE)&gt;0.1,"Bom retorno","n/a"))</f>
        <v>Bom retorno</v>
      </c>
      <c r="ET124" s="17" t="str">
        <f>IF(VLOOKUP(BQ124,Fundamentus!A:U,16,FALSE)&lt;0.1,"Ineficiente",IF(VLOOKUP(BQ124,Fundamentus!A:U,16,FALSE)&gt;0.1,"Eficiente","n/a"))</f>
        <v>Ineficiente</v>
      </c>
      <c r="EU124" s="33" t="str">
        <f>IF(VLOOKUP(BQ124,Fundamentus!A:U,16,FALSE)&lt;0.1,"Oper. Ineficiente",IF(VLOOKUP(BQ124,Fundamentus!A:U,16,FALSE)&gt;0.1,"Oper.Eficiente","n/a"))</f>
        <v>Oper. Ineficiente</v>
      </c>
      <c r="EV124" s="34">
        <f>VLOOKUP(BQ124,Fundamentus!A:U,14,FALSE)</f>
        <v>0.34129999999999999</v>
      </c>
      <c r="EW124" s="17" t="str">
        <f>IF(VLOOKUP(BQ124,Fundamentus!A:U,21,FALSE)&lt;0,"Negativo",IF(VLOOKUP(BQ124,Fundamentus!A:U,21,FALSE)&lt;0.05,"Fraco",IF(VLOOKUP(BQ124,Fundamentus!A:U,21,FALSE)&lt;0.1,"Bom",IF(VLOOKUP(BQ124,Fundamentus!A:U,21,FALSE)&gt;0.1,"Muito bom","n/a"))))</f>
        <v>Bom</v>
      </c>
      <c r="EY124" s="29" t="str">
        <f>IF(VLOOKUP(BQ124,Fundamentus!A:U,15,FALSE)&gt;1,"Bom",IF(VLOOKUP(BQ124,Fundamentus!A:U,15,FALSE)&lt;1,"Ruim","n/a"))</f>
        <v>Bom</v>
      </c>
      <c r="EZ124" s="17" t="str">
        <f>IF(VLOOKUP(BQ124,Fundamentus!A:U,20,FALSE)&lt;0.5,"Baixa",IF(VLOOKUP(BQ124,Fundamentus!A:U,20,FALSE)&lt;1,"Moderada",IF(VLOOKUP(BQ124,Fundamentus!A:U,20,FALSE)&lt;2,"Alerta",IF(VLOOKUP(BQ124,Fundamentus!A:U,20,FALSE)&gt;2,"Alta","n/a"))))</f>
        <v>Moderada</v>
      </c>
      <c r="FA124" s="10">
        <v>3</v>
      </c>
    </row>
    <row r="125" spans="1:157" s="2" customFormat="1" ht="11.25" hidden="1" x14ac:dyDescent="0.2">
      <c r="A125" s="4">
        <v>17.079999999999998</v>
      </c>
      <c r="B125" s="4">
        <v>17.21</v>
      </c>
      <c r="C125" s="4">
        <v>16.48</v>
      </c>
      <c r="D125" s="4">
        <v>15.4</v>
      </c>
      <c r="E125" s="4">
        <v>14.81</v>
      </c>
      <c r="F125" s="4">
        <v>15.1</v>
      </c>
      <c r="G125" s="4">
        <v>14.8</v>
      </c>
      <c r="H125" s="4">
        <v>15.11</v>
      </c>
      <c r="I125" s="4">
        <v>15.54</v>
      </c>
      <c r="J125" s="4">
        <v>15.7</v>
      </c>
      <c r="K125" s="4">
        <v>15.95</v>
      </c>
      <c r="L125" s="4">
        <v>15.07</v>
      </c>
      <c r="M125" s="4">
        <v>15.3</v>
      </c>
      <c r="N125" s="4">
        <v>14.89</v>
      </c>
      <c r="O125" s="4">
        <v>16.53</v>
      </c>
      <c r="P125" s="4">
        <v>13.84</v>
      </c>
      <c r="Q125" s="4">
        <v>13.75</v>
      </c>
      <c r="R125" s="4">
        <v>13.55</v>
      </c>
      <c r="S125" s="4">
        <v>13.6</v>
      </c>
      <c r="T125" s="4">
        <v>14.25</v>
      </c>
      <c r="U125" s="4">
        <v>13.63</v>
      </c>
      <c r="V125" s="4">
        <v>14</v>
      </c>
      <c r="W125" s="4">
        <v>14.84</v>
      </c>
      <c r="X125" s="4">
        <v>14.9</v>
      </c>
      <c r="Y125" s="4">
        <v>14.39</v>
      </c>
      <c r="Z125" s="4">
        <v>14.06</v>
      </c>
      <c r="AA125" s="4">
        <v>13.62</v>
      </c>
      <c r="AB125" s="4">
        <v>14.48</v>
      </c>
      <c r="AC125" s="4">
        <v>14.38</v>
      </c>
      <c r="AD125" s="4">
        <v>14.25</v>
      </c>
      <c r="AE125" s="4">
        <v>13.88</v>
      </c>
      <c r="AF125" s="4">
        <v>14.21</v>
      </c>
      <c r="AG125" s="4">
        <v>12.78</v>
      </c>
      <c r="AH125" s="4">
        <v>13.12</v>
      </c>
      <c r="AI125" s="4">
        <v>12.88</v>
      </c>
      <c r="AJ125" s="4">
        <v>12.42</v>
      </c>
      <c r="AK125" s="4">
        <v>12.6</v>
      </c>
      <c r="AL125" s="4">
        <v>12.41</v>
      </c>
      <c r="AM125" s="4">
        <v>12.08</v>
      </c>
      <c r="AN125" s="4">
        <v>12.62</v>
      </c>
      <c r="AO125" s="4">
        <v>12.49</v>
      </c>
      <c r="AP125" s="4">
        <v>13.53</v>
      </c>
      <c r="AQ125" s="4">
        <v>13.86</v>
      </c>
      <c r="AR125" s="4">
        <v>12.93</v>
      </c>
      <c r="AS125" s="4">
        <v>13.37</v>
      </c>
      <c r="AT125" s="4">
        <v>9.5</v>
      </c>
      <c r="AU125" s="4">
        <v>9.6449999999999996</v>
      </c>
      <c r="AV125" s="4">
        <v>10.45</v>
      </c>
      <c r="AW125" s="4">
        <v>9.15</v>
      </c>
      <c r="AX125" s="4">
        <v>9.3699999999999992</v>
      </c>
      <c r="AY125" s="12">
        <v>9.34</v>
      </c>
      <c r="AZ125" s="12">
        <v>9.9700000000000006</v>
      </c>
      <c r="BA125" s="12">
        <v>9.51</v>
      </c>
      <c r="BB125" s="15">
        <v>9.2899999999999991</v>
      </c>
      <c r="BC125" s="52">
        <v>10.36</v>
      </c>
      <c r="BD125" s="52">
        <v>10.31</v>
      </c>
      <c r="BE125" s="52">
        <v>10.47</v>
      </c>
      <c r="BF125" s="52">
        <v>10.54</v>
      </c>
      <c r="BG125" s="67">
        <v>10.24</v>
      </c>
      <c r="BH125" s="52">
        <v>10.5</v>
      </c>
      <c r="BI125" s="52">
        <v>10.87</v>
      </c>
      <c r="BJ125" s="52">
        <v>10.51</v>
      </c>
      <c r="BK125" s="52">
        <v>9.7899999999999991</v>
      </c>
      <c r="BL125" s="52">
        <v>9.51</v>
      </c>
      <c r="BM125" s="52">
        <v>9.16</v>
      </c>
      <c r="BN125" s="52">
        <v>8.91</v>
      </c>
      <c r="BO125" s="52">
        <v>8.8000000000000007</v>
      </c>
      <c r="BP125" s="52" cm="1">
        <f t="array" aca="1" ref="BP125" ca="1">_FV(ED125,"Preço")</f>
        <v>9.14</v>
      </c>
      <c r="BQ125" s="69" t="s">
        <v>121</v>
      </c>
      <c r="BR125" s="36" cm="1">
        <f t="array" aca="1" ref="BR125" ca="1">_FV(ED125,"Média de volume",TRUE)</f>
        <v>8476710</v>
      </c>
      <c r="BS125" s="36">
        <v>6156300</v>
      </c>
      <c r="BT125" s="36" cm="1">
        <f t="array" aca="1" ref="BT125" ca="1">_FV(ED125,"Volume")</f>
        <v>10807700</v>
      </c>
      <c r="BU125" s="24" cm="1">
        <f t="array" aca="1" ref="BU125" ca="1">_FV(ED125,"Beta")</f>
        <v>1.2036</v>
      </c>
      <c r="BV125" s="71" cm="1">
        <f t="array" aca="1" ref="BV125" ca="1">_FV(ED125,"Variação (%)",TRUE)</f>
        <v>1.5556E-2</v>
      </c>
      <c r="BX125" s="17" cm="1">
        <f t="array" aca="1" ref="BX125" ca="1">_FV(ED125,"Baixo")</f>
        <v>8.6199999999999992</v>
      </c>
      <c r="BY125" s="17" cm="1">
        <f t="array" aca="1" ref="BY125" ca="1">_FV(ED125,"Alto")</f>
        <v>9.14</v>
      </c>
      <c r="BZ125" s="24"/>
      <c r="CA125" s="63" t="e">
        <f ca="1">SQRT(22.5*(BP125/VLOOKUP(BQ125,Fundamentus!A:U,3,FALSE))*(BP125/VLOOKUP(BQ125,Fundamentus!A:U,4,FALSE)))</f>
        <v>#NUM!</v>
      </c>
      <c r="CC125" s="62">
        <f t="shared" ca="1" si="112"/>
        <v>3.8636363636363615E-2</v>
      </c>
      <c r="CD125" s="8"/>
      <c r="CE125" s="61">
        <f t="shared" si="113"/>
        <v>8.8000000000000007</v>
      </c>
      <c r="CF125" s="61">
        <f t="shared" si="114"/>
        <v>17.21</v>
      </c>
      <c r="CG125" s="61">
        <f t="shared" si="115"/>
        <v>12.80425373134328</v>
      </c>
      <c r="CH125" s="14"/>
      <c r="CI125" s="35">
        <f t="shared" si="98"/>
        <v>7.760205433921012</v>
      </c>
      <c r="CJ125" s="15">
        <f t="shared" si="116"/>
        <v>8.5</v>
      </c>
      <c r="CK125" s="35">
        <f t="shared" si="99"/>
        <v>9.239794566078988</v>
      </c>
      <c r="CM125" s="14"/>
      <c r="CN125" s="17">
        <f t="shared" si="100"/>
        <v>-2.413333333333334</v>
      </c>
      <c r="CO125" s="17">
        <f t="shared" si="101"/>
        <v>3.1933333333333334</v>
      </c>
      <c r="CP125" s="17">
        <f t="shared" si="102"/>
        <v>5.9966666666666661</v>
      </c>
      <c r="CQ125" s="38">
        <f t="shared" si="117"/>
        <v>11.603333333333333</v>
      </c>
      <c r="CR125" s="17">
        <f t="shared" si="103"/>
        <v>14.406666666666666</v>
      </c>
      <c r="CS125" s="17">
        <f t="shared" si="104"/>
        <v>20.013333333333335</v>
      </c>
      <c r="CT125" s="17">
        <f t="shared" si="105"/>
        <v>22.816666666666666</v>
      </c>
      <c r="CU125" s="2" cm="1">
        <f t="array" aca="1" ref="CU125" ca="1">MAX(_xlfn._xlws.FILTER(CN125:CT125,CN125:CT125&lt;BP125))</f>
        <v>5.9966666666666661</v>
      </c>
      <c r="CV125" s="2" cm="1">
        <f t="array" aca="1" ref="CV125" ca="1">MIN(_xlfn._xlws.FILTER($CN125:$CT125,$CN125:$CT125&gt;BP125))</f>
        <v>11.603333333333333</v>
      </c>
      <c r="CW125" s="16">
        <f t="shared" ca="1" si="136"/>
        <v>0.93496386881600912</v>
      </c>
      <c r="CX125" s="20">
        <f t="shared" ca="1" si="137"/>
        <v>-0.46748193440800456</v>
      </c>
      <c r="CY125" s="20">
        <f t="shared" ca="1" si="138"/>
        <v>-0.31165462293866969</v>
      </c>
      <c r="CZ125" s="20">
        <f t="shared" ca="1" si="139"/>
        <v>-0.18699277376320184</v>
      </c>
      <c r="DA125" s="20">
        <f t="shared" ca="1" si="140"/>
        <v>-0.1038848743128899</v>
      </c>
      <c r="DB125" s="20">
        <f t="shared" ca="1" si="141"/>
        <v>-5.499787463623583E-2</v>
      </c>
      <c r="DC125" s="20">
        <f t="shared" ca="1" si="142"/>
        <v>-2.8332238448969975E-2</v>
      </c>
      <c r="DD125" s="20">
        <f t="shared" ca="1" si="143"/>
        <v>-1.4384059520246295E-2</v>
      </c>
      <c r="DE125" s="21">
        <f t="shared" ca="1" si="144"/>
        <v>1.4384059520246295E-2</v>
      </c>
      <c r="DF125" s="21">
        <f t="shared" ca="1" si="145"/>
        <v>2.8332238448969975E-2</v>
      </c>
      <c r="DG125" s="21">
        <f t="shared" ca="1" si="146"/>
        <v>5.499787463623583E-2</v>
      </c>
      <c r="DH125" s="21">
        <f t="shared" ca="1" si="147"/>
        <v>0.1038848743128899</v>
      </c>
      <c r="DI125" s="21">
        <f t="shared" ca="1" si="148"/>
        <v>0.18699277376320184</v>
      </c>
      <c r="DJ125" s="21">
        <f t="shared" ca="1" si="149"/>
        <v>0.31165462293866969</v>
      </c>
      <c r="DK125" s="21">
        <f t="shared" ca="1" si="150"/>
        <v>0.46748193440800456</v>
      </c>
      <c r="DM125" s="16" cm="1">
        <f t="array" aca="1" ref="DM125" ca="1">MAX(_xlfn._xlws.FILTER(CX125:DK125,CX125:DK125&lt;BV125))</f>
        <v>1.4384059520246295E-2</v>
      </c>
      <c r="DN125" s="16" cm="1">
        <f t="array" aca="1" ref="DN125" ca="1">MIN(_xlfn._xlws.FILTER(CX125:DK125,CX125:DK125&gt;BV125))</f>
        <v>2.8332238448969975E-2</v>
      </c>
      <c r="DO125" s="2" cm="1">
        <f t="array" aca="1" ref="DO125" ca="1">_FV(ED125,"Fechamento anterior",TRUE)</f>
        <v>9</v>
      </c>
      <c r="DP125" s="28">
        <f t="shared" ca="1" si="106"/>
        <v>8.3989174593745886E-2</v>
      </c>
      <c r="DQ125" s="15">
        <f t="shared" ca="1" si="151"/>
        <v>9.1294565356822162</v>
      </c>
      <c r="DR125" s="15">
        <f t="shared" ca="1" si="152"/>
        <v>9.2549901460407291</v>
      </c>
      <c r="DS125" s="9"/>
      <c r="DT125" s="9"/>
      <c r="DU125" s="9"/>
      <c r="DV125" s="89">
        <v>2.6665636187265855E-2</v>
      </c>
      <c r="DW125" s="89">
        <f t="shared" ca="1" si="107"/>
        <v>1.394817892872368E-2</v>
      </c>
      <c r="DX125" s="72">
        <f t="shared" ca="1" si="108"/>
        <v>0.86510502961935476</v>
      </c>
      <c r="DY125" s="37"/>
      <c r="DZ125" s="35">
        <f t="shared" si="118"/>
        <v>0.36989728303949421</v>
      </c>
      <c r="EA125" s="56"/>
      <c r="EB125" s="56"/>
      <c r="ED125" s="2" t="e" vm="124">
        <v>#VALUE!</v>
      </c>
      <c r="EF125" s="10" cm="1">
        <f t="array" aca="1" ref="EF125" ca="1">_FV(ED125,"Ações em circulação",TRUE)</f>
        <v>1374118000</v>
      </c>
      <c r="EG125" s="18">
        <f>VLOOKUP(BQ125,Fundamentus!A:U,5,FALSE)</f>
        <v>0.60199999999999998</v>
      </c>
      <c r="EH125" s="2">
        <f t="shared" ca="1" si="109"/>
        <v>20862854684.385384</v>
      </c>
      <c r="EI125" s="17">
        <v>-6634661700.199337</v>
      </c>
      <c r="EJ125" s="17">
        <f t="shared" ca="1" si="110"/>
        <v>-6891000902.252492</v>
      </c>
      <c r="EL125" s="16">
        <f t="shared" ca="1" si="97"/>
        <v>3.8636363636363358E-2</v>
      </c>
      <c r="EM125" s="32" t="str">
        <f>IF(VLOOKUP(BQ125,Fundamentus!A:U,3,FALSE)&lt;15,"Bom",IF(VLOOKUP(BQ125,Fundamentus!A:U,3,FALSE)&gt;15,"Ruim","n/a"))</f>
        <v>Bom</v>
      </c>
      <c r="EN125" s="28" t="str">
        <f>IF(VLOOKUP(BQ125,Fundamentus!A:U,4,FALSE)&lt;1,"Baixo",IF(VLOOKUP(BQ125,Fundamentus!A:U,4,FALSE)&lt;1.5,"Moderado",IF(VLOOKUP(BQ125,Fundamentus!A:U,4,FALSE)&gt;1.5,"Alto","n/a")))</f>
        <v>Baixo</v>
      </c>
      <c r="EO125" s="17" t="str">
        <f>IF(VLOOKUP(BQ125,Fundamentus!A:U,8,FALSE)&lt;0,"Risco elevado",IF(VLOOKUP(BQ125,Fundamentus!A:U,8,FALSE)&lt;1,"Saudável",IF(VLOOKUP(BQ125,Fundamentus!A:U,8,FALSE)&lt;3,"Estável",IF(VLOOKUP(BQ125,Fundamentus!A:U,8,FALSE)&gt;3,"Alerta","n/a"))))</f>
        <v>Estável</v>
      </c>
      <c r="EP125" s="28" t="str">
        <f t="shared" si="111"/>
        <v>Ruim</v>
      </c>
      <c r="EQ125" s="17" t="str">
        <f>IF(VLOOKUP(BQ125,Fundamentus!A:U,12,FALSE)&lt;2,"Subvalorizada",IF(VLOOKUP(BQ125,Fundamentus!A:U,12,FALSE)&lt;6,"Muita barata",IF(VLOOKUP(BQ125,Fundamentus!A:U,12,FALSE)&lt;6,"Barata",IF(VLOOKUP(BQ125,Fundamentus!A:U,12,FALSE)&lt;8,"Atrativa",IF(VLOOKUP(BQ125,Fundamentus!A:U,12,FALSE)&gt;8,"Supervalorizada","n/a")))))</f>
        <v>Muita barata</v>
      </c>
      <c r="ES125" s="17" t="str">
        <f>IF(VLOOKUP(BQ125,Fundamentus!A:U,17,FALSE)&lt;0.1,"Fraco retorno",IF(VLOOKUP(BQ125,Fundamentus!A:U,17,FALSE)&gt;0.1,"Bom retorno","n/a"))</f>
        <v>Fraco retorno</v>
      </c>
      <c r="ET125" s="17" t="str">
        <f>IF(VLOOKUP(BQ125,Fundamentus!A:U,16,FALSE)&lt;0.1,"Ineficiente",IF(VLOOKUP(BQ125,Fundamentus!A:U,16,FALSE)&gt;0.1,"Eficiente","n/a"))</f>
        <v>Ineficiente</v>
      </c>
      <c r="EU125" s="33" t="str">
        <f>IF(VLOOKUP(BQ125,Fundamentus!A:U,16,FALSE)&lt;0.1,"Oper. Ineficiente",IF(VLOOKUP(BQ125,Fundamentus!A:U,16,FALSE)&gt;0.1,"Oper.Eficiente","n/a"))</f>
        <v>Oper. Ineficiente</v>
      </c>
      <c r="EV125" s="34">
        <f>VLOOKUP(BQ125,Fundamentus!A:U,14,FALSE)</f>
        <v>-0.33029999999999998</v>
      </c>
      <c r="EW125" s="17" t="str">
        <f>IF(VLOOKUP(BQ125,Fundamentus!A:U,21,FALSE)&lt;0,"Negativo",IF(VLOOKUP(BQ125,Fundamentus!A:U,21,FALSE)&lt;0.05,"Fraco",IF(VLOOKUP(BQ125,Fundamentus!A:U,21,FALSE)&lt;0.1,"Bom",IF(VLOOKUP(BQ125,Fundamentus!A:U,21,FALSE)&gt;0.1,"Muito bom","n/a"))))</f>
        <v>Negativo</v>
      </c>
      <c r="EY125" s="29" t="str">
        <f>IF(VLOOKUP(BQ125,Fundamentus!A:U,15,FALSE)&gt;1,"Bom",IF(VLOOKUP(BQ125,Fundamentus!A:U,15,FALSE)&lt;1,"Ruim","n/a"))</f>
        <v>Bom</v>
      </c>
      <c r="EZ125" s="17" t="str">
        <f>IF(VLOOKUP(BQ125,Fundamentus!A:U,20,FALSE)&lt;0.5,"Baixa",IF(VLOOKUP(BQ125,Fundamentus!A:U,20,FALSE)&lt;1,"Moderada",IF(VLOOKUP(BQ125,Fundamentus!A:U,20,FALSE)&lt;2,"Alerta",IF(VLOOKUP(BQ125,Fundamentus!A:U,20,FALSE)&gt;2,"Alta","n/a"))))</f>
        <v>Baixa</v>
      </c>
      <c r="FA125" s="10"/>
    </row>
    <row r="126" spans="1:157" s="2" customFormat="1" ht="11.25" hidden="1" x14ac:dyDescent="0.2">
      <c r="A126" s="4">
        <v>7.18</v>
      </c>
      <c r="B126" s="4">
        <v>7.34</v>
      </c>
      <c r="C126" s="4">
        <v>7.13</v>
      </c>
      <c r="D126" s="4">
        <v>6.6</v>
      </c>
      <c r="E126" s="4">
        <v>6.51</v>
      </c>
      <c r="F126" s="4">
        <v>6.38</v>
      </c>
      <c r="G126" s="4">
        <v>6.33</v>
      </c>
      <c r="H126" s="4">
        <v>6.29</v>
      </c>
      <c r="I126" s="4">
        <v>6.55</v>
      </c>
      <c r="J126" s="4">
        <v>6.73</v>
      </c>
      <c r="K126" s="4">
        <v>6.38</v>
      </c>
      <c r="L126" s="4">
        <v>6.32</v>
      </c>
      <c r="M126" s="4">
        <v>6.21</v>
      </c>
      <c r="N126" s="4">
        <v>6.19</v>
      </c>
      <c r="O126" s="4">
        <v>6.48</v>
      </c>
      <c r="P126" s="4">
        <v>6.39</v>
      </c>
      <c r="Q126" s="4">
        <v>6.56</v>
      </c>
      <c r="R126" s="4">
        <v>6.35</v>
      </c>
      <c r="S126" s="4">
        <v>6.55</v>
      </c>
      <c r="T126" s="4">
        <v>6.57</v>
      </c>
      <c r="U126" s="4">
        <v>6.24</v>
      </c>
      <c r="V126" s="4">
        <v>6.34</v>
      </c>
      <c r="W126" s="4">
        <v>7.08</v>
      </c>
      <c r="X126" s="4">
        <v>6.3</v>
      </c>
      <c r="Y126" s="4">
        <v>6.27</v>
      </c>
      <c r="Z126" s="4">
        <v>6.1</v>
      </c>
      <c r="AA126" s="4">
        <v>5.9</v>
      </c>
      <c r="AB126" s="4">
        <v>5.81</v>
      </c>
      <c r="AC126" s="4">
        <v>5.73</v>
      </c>
      <c r="AD126" s="4">
        <v>5.98</v>
      </c>
      <c r="AE126" s="4">
        <v>5.71</v>
      </c>
      <c r="AF126" s="4">
        <v>5.71</v>
      </c>
      <c r="AG126" s="4">
        <v>5.63</v>
      </c>
      <c r="AH126" s="4">
        <v>5.44</v>
      </c>
      <c r="AI126" s="4">
        <v>5.35</v>
      </c>
      <c r="AJ126" s="4">
        <v>5.46</v>
      </c>
      <c r="AK126" s="4">
        <v>5.57</v>
      </c>
      <c r="AL126" s="4">
        <v>5.6</v>
      </c>
      <c r="AM126" s="4">
        <v>5.66</v>
      </c>
      <c r="AN126" s="4">
        <v>6.14</v>
      </c>
      <c r="AO126" s="4">
        <v>5.94</v>
      </c>
      <c r="AP126" s="4">
        <v>6.06</v>
      </c>
      <c r="AQ126" s="4">
        <v>6.09</v>
      </c>
      <c r="AR126" s="4">
        <v>5.68</v>
      </c>
      <c r="AS126" s="4">
        <v>6.08</v>
      </c>
      <c r="AT126" s="4">
        <v>6.95</v>
      </c>
      <c r="AU126" s="4">
        <v>6.72</v>
      </c>
      <c r="AV126" s="4">
        <v>6.18</v>
      </c>
      <c r="AW126" s="4">
        <v>5.69</v>
      </c>
      <c r="AX126" s="4">
        <v>5.6</v>
      </c>
      <c r="AY126" s="12">
        <v>5.83</v>
      </c>
      <c r="AZ126" s="12">
        <v>5.81</v>
      </c>
      <c r="BA126" s="12">
        <v>5.75</v>
      </c>
      <c r="BB126" s="15">
        <v>5.97</v>
      </c>
      <c r="BC126" s="52">
        <v>6.36</v>
      </c>
      <c r="BD126" s="52">
        <v>6.6</v>
      </c>
      <c r="BE126" s="52">
        <v>7.19</v>
      </c>
      <c r="BF126" s="52">
        <v>7.49</v>
      </c>
      <c r="BG126" s="67">
        <v>7.11</v>
      </c>
      <c r="BH126" s="52">
        <v>7.33</v>
      </c>
      <c r="BI126" s="52">
        <v>7.34</v>
      </c>
      <c r="BJ126" s="52">
        <v>7.31</v>
      </c>
      <c r="BK126" s="52">
        <v>7.22</v>
      </c>
      <c r="BL126" s="52">
        <v>7.01</v>
      </c>
      <c r="BM126" s="52">
        <v>6.96</v>
      </c>
      <c r="BN126" s="52">
        <v>6.95</v>
      </c>
      <c r="BO126" s="52">
        <v>7.07</v>
      </c>
      <c r="BP126" s="52" cm="1">
        <f t="array" aca="1" ref="BP126" ca="1">_FV(ED126,"Preço")</f>
        <v>7.22</v>
      </c>
      <c r="BQ126" s="69" t="s">
        <v>122</v>
      </c>
      <c r="BR126" s="36" cm="1">
        <f t="array" aca="1" ref="BR126" ca="1">_FV(ED126,"Média de volume",TRUE)</f>
        <v>534660</v>
      </c>
      <c r="BS126" s="36">
        <v>379300</v>
      </c>
      <c r="BT126" s="36" cm="1">
        <f t="array" aca="1" ref="BT126" ca="1">_FV(ED126,"Volume")</f>
        <v>370700</v>
      </c>
      <c r="BU126" s="24" cm="1">
        <f t="array" aca="1" ref="BU126" ca="1">_FV(ED126,"Beta")</f>
        <v>1.4479</v>
      </c>
      <c r="BV126" s="71" cm="1">
        <f t="array" aca="1" ref="BV126" ca="1">_FV(ED126,"Variação (%)",TRUE)</f>
        <v>9.7900000000000001E-3</v>
      </c>
      <c r="BX126" s="17" cm="1">
        <f t="array" aca="1" ref="BX126" ca="1">_FV(ED126,"Baixo")</f>
        <v>7.05</v>
      </c>
      <c r="BY126" s="17" cm="1">
        <f t="array" aca="1" ref="BY126" ca="1">_FV(ED126,"Alto")</f>
        <v>7.24</v>
      </c>
      <c r="BZ126" s="24"/>
      <c r="CA126" s="63">
        <f ca="1">SQRT(22.5*(BP126/VLOOKUP(BQ126,Fundamentus!A:U,3,FALSE))*(BP126/VLOOKUP(BQ126,Fundamentus!A:U,4,FALSE)))</f>
        <v>5.8581206332340114</v>
      </c>
      <c r="CC126" s="62">
        <f t="shared" ca="1" si="112"/>
        <v>2.1216407355021141E-2</v>
      </c>
      <c r="CD126" s="8"/>
      <c r="CE126" s="61">
        <f t="shared" si="113"/>
        <v>5.35</v>
      </c>
      <c r="CF126" s="61">
        <f t="shared" si="114"/>
        <v>7.49</v>
      </c>
      <c r="CG126" s="61">
        <f t="shared" si="115"/>
        <v>6.348507462686567</v>
      </c>
      <c r="CH126" s="14"/>
      <c r="CI126" s="35">
        <f t="shared" si="98"/>
        <v>6.8426576578633025</v>
      </c>
      <c r="CJ126" s="15">
        <f t="shared" si="116"/>
        <v>7.0400000000000063</v>
      </c>
      <c r="CK126" s="35">
        <f t="shared" si="99"/>
        <v>7.23734234213671</v>
      </c>
      <c r="CM126" s="14"/>
      <c r="CN126" s="17">
        <f t="shared" si="100"/>
        <v>3.6433333333333326</v>
      </c>
      <c r="CO126" s="17">
        <f t="shared" si="101"/>
        <v>4.4966666666666661</v>
      </c>
      <c r="CP126" s="17">
        <f t="shared" si="102"/>
        <v>5.7833333333333332</v>
      </c>
      <c r="CQ126" s="38">
        <f t="shared" si="117"/>
        <v>6.6366666666666667</v>
      </c>
      <c r="CR126" s="17">
        <f t="shared" si="103"/>
        <v>7.9233333333333338</v>
      </c>
      <c r="CS126" s="17">
        <f t="shared" si="104"/>
        <v>8.7766666666666673</v>
      </c>
      <c r="CT126" s="17">
        <f t="shared" si="105"/>
        <v>10.063333333333334</v>
      </c>
      <c r="CU126" s="2" cm="1">
        <f t="array" aca="1" ref="CU126" ca="1">MAX(_xlfn._xlws.FILTER(CN126:CT126,CN126:CT126&lt;BP126))</f>
        <v>6.6366666666666667</v>
      </c>
      <c r="CV126" s="2" cm="1">
        <f t="array" aca="1" ref="CV126" ca="1">MIN(_xlfn._xlws.FILTER($CN126:$CT126,$CN126:$CT126&gt;BP126))</f>
        <v>7.9233333333333338</v>
      </c>
      <c r="CW126" s="16">
        <f t="shared" ca="1" si="136"/>
        <v>0.1938724259166249</v>
      </c>
      <c r="CX126" s="20">
        <f t="shared" ca="1" si="137"/>
        <v>-9.6936212958312451E-2</v>
      </c>
      <c r="CY126" s="20">
        <f t="shared" ca="1" si="138"/>
        <v>-6.4624141972208296E-2</v>
      </c>
      <c r="CZ126" s="20">
        <f t="shared" ca="1" si="139"/>
        <v>-3.8774485183324978E-2</v>
      </c>
      <c r="DA126" s="20">
        <f t="shared" ca="1" si="140"/>
        <v>-2.1541380657402767E-2</v>
      </c>
      <c r="DB126" s="20">
        <f t="shared" ca="1" si="141"/>
        <v>-1.1404260348036759E-2</v>
      </c>
      <c r="DC126" s="20">
        <f t="shared" ca="1" si="142"/>
        <v>-5.8749219974734822E-3</v>
      </c>
      <c r="DD126" s="20">
        <f t="shared" ca="1" si="143"/>
        <v>-2.9826527064096137E-3</v>
      </c>
      <c r="DE126" s="21">
        <f t="shared" ca="1" si="144"/>
        <v>2.9826527064096137E-3</v>
      </c>
      <c r="DF126" s="21">
        <f t="shared" ca="1" si="145"/>
        <v>5.8749219974734822E-3</v>
      </c>
      <c r="DG126" s="21">
        <f t="shared" ca="1" si="146"/>
        <v>1.1404260348036759E-2</v>
      </c>
      <c r="DH126" s="21">
        <f t="shared" ca="1" si="147"/>
        <v>2.1541380657402767E-2</v>
      </c>
      <c r="DI126" s="21">
        <f t="shared" ca="1" si="148"/>
        <v>3.8774485183324978E-2</v>
      </c>
      <c r="DJ126" s="21">
        <f t="shared" ca="1" si="149"/>
        <v>6.4624141972208296E-2</v>
      </c>
      <c r="DK126" s="21">
        <f t="shared" ca="1" si="150"/>
        <v>9.6936212958312451E-2</v>
      </c>
      <c r="DM126" s="16" cm="1">
        <f t="array" aca="1" ref="DM126" ca="1">MAX(_xlfn._xlws.FILTER(CX126:DK126,CX126:DK126&lt;BV126))</f>
        <v>5.8749219974734822E-3</v>
      </c>
      <c r="DN126" s="16" cm="1">
        <f t="array" aca="1" ref="DN126" ca="1">MIN(_xlfn._xlws.FILTER(CX126:DK126,CX126:DK126&gt;BV126))</f>
        <v>1.1404260348036759E-2</v>
      </c>
      <c r="DO126" s="2" cm="1">
        <f t="array" aca="1" ref="DO126" ca="1">_FV(ED126,"Fechamento anterior",TRUE)</f>
        <v>7.15</v>
      </c>
      <c r="DP126" s="28">
        <f t="shared" ca="1" si="106"/>
        <v>0.70809336388997768</v>
      </c>
      <c r="DQ126" s="15">
        <f t="shared" ca="1" si="151"/>
        <v>7.1920056922819358</v>
      </c>
      <c r="DR126" s="15">
        <f t="shared" ca="1" si="152"/>
        <v>7.2315404614884633</v>
      </c>
      <c r="DS126" s="9"/>
      <c r="DT126" s="9"/>
      <c r="DU126" s="9"/>
      <c r="DV126" s="89">
        <v>5.5293383505632763E-3</v>
      </c>
      <c r="DW126" s="89">
        <f t="shared" ca="1" si="107"/>
        <v>5.5293383505632763E-3</v>
      </c>
      <c r="DX126" s="72">
        <f t="shared" ca="1" si="108"/>
        <v>0.91212052137955868</v>
      </c>
      <c r="DY126" s="37"/>
      <c r="DZ126" s="35">
        <f t="shared" si="118"/>
        <v>9.8671171068351993E-2</v>
      </c>
      <c r="EA126" s="56"/>
      <c r="EB126" s="56"/>
      <c r="ED126" s="2" t="e" vm="125">
        <v>#VALUE!</v>
      </c>
      <c r="EF126" s="10" cm="1">
        <f t="array" aca="1" ref="EF126" ca="1">_FV(ED126,"Ações em circulação",TRUE)</f>
        <v>200000000</v>
      </c>
      <c r="EG126" s="18">
        <f>VLOOKUP(BQ126,Fundamentus!A:U,5,FALSE)</f>
        <v>0.76700000000000002</v>
      </c>
      <c r="EH126" s="2">
        <f t="shared" ca="1" si="109"/>
        <v>1882659713.1681876</v>
      </c>
      <c r="EI126" s="17">
        <v>104160365.05867015</v>
      </c>
      <c r="EJ126" s="17">
        <f t="shared" ca="1" si="110"/>
        <v>106370273.79400261</v>
      </c>
      <c r="EL126" s="16">
        <f t="shared" ca="1" si="97"/>
        <v>2.1216407355021172E-2</v>
      </c>
      <c r="EM126" s="32" t="str">
        <f>IF(VLOOKUP(BQ126,Fundamentus!A:U,3,FALSE)&lt;15,"Bom",IF(VLOOKUP(BQ126,Fundamentus!A:U,3,FALSE)&gt;15,"Ruim","n/a"))</f>
        <v>Ruim</v>
      </c>
      <c r="EN126" s="28" t="str">
        <f>IF(VLOOKUP(BQ126,Fundamentus!A:U,4,FALSE)&lt;1,"Baixo",IF(VLOOKUP(BQ126,Fundamentus!A:U,4,FALSE)&lt;1.5,"Moderado",IF(VLOOKUP(BQ126,Fundamentus!A:U,4,FALSE)&gt;1.5,"Alto","n/a")))</f>
        <v>Baixo</v>
      </c>
      <c r="EO126" s="17" t="str">
        <f>IF(VLOOKUP(BQ126,Fundamentus!A:U,8,FALSE)&lt;0,"Risco elevado",IF(VLOOKUP(BQ126,Fundamentus!A:U,8,FALSE)&lt;1,"Saudável",IF(VLOOKUP(BQ126,Fundamentus!A:U,8,FALSE)&lt;3,"Estável",IF(VLOOKUP(BQ126,Fundamentus!A:U,8,FALSE)&gt;3,"Alerta","n/a"))))</f>
        <v>Saudável</v>
      </c>
      <c r="EP126" s="28" t="str">
        <f t="shared" si="111"/>
        <v>Ruim</v>
      </c>
      <c r="EQ126" s="17" t="str">
        <f>IF(VLOOKUP(BQ126,Fundamentus!A:U,12,FALSE)&lt;2,"Subvalorizada",IF(VLOOKUP(BQ126,Fundamentus!A:U,12,FALSE)&lt;6,"Muita barata",IF(VLOOKUP(BQ126,Fundamentus!A:U,12,FALSE)&lt;6,"Barata",IF(VLOOKUP(BQ126,Fundamentus!A:U,12,FALSE)&lt;8,"Atrativa",IF(VLOOKUP(BQ126,Fundamentus!A:U,12,FALSE)&gt;8,"Supervalorizada","n/a")))))</f>
        <v>Muita barata</v>
      </c>
      <c r="ES126" s="17" t="str">
        <f>IF(VLOOKUP(BQ126,Fundamentus!A:U,17,FALSE)&lt;0.1,"Fraco retorno",IF(VLOOKUP(BQ126,Fundamentus!A:U,17,FALSE)&gt;0.1,"Bom retorno","n/a"))</f>
        <v>Fraco retorno</v>
      </c>
      <c r="ET126" s="17" t="str">
        <f>IF(VLOOKUP(BQ126,Fundamentus!A:U,16,FALSE)&lt;0.1,"Ineficiente",IF(VLOOKUP(BQ126,Fundamentus!A:U,16,FALSE)&gt;0.1,"Eficiente","n/a"))</f>
        <v>Ineficiente</v>
      </c>
      <c r="EU126" s="33" t="str">
        <f>IF(VLOOKUP(BQ126,Fundamentus!A:U,16,FALSE)&lt;0.1,"Oper. Ineficiente",IF(VLOOKUP(BQ126,Fundamentus!A:U,16,FALSE)&gt;0.1,"Oper.Eficiente","n/a"))</f>
        <v>Oper. Ineficiente</v>
      </c>
      <c r="EV126" s="34">
        <f>VLOOKUP(BQ126,Fundamentus!A:U,14,FALSE)</f>
        <v>5.6500000000000002E-2</v>
      </c>
      <c r="EW126" s="17" t="str">
        <f>IF(VLOOKUP(BQ126,Fundamentus!A:U,21,FALSE)&lt;0,"Negativo",IF(VLOOKUP(BQ126,Fundamentus!A:U,21,FALSE)&lt;0.05,"Fraco",IF(VLOOKUP(BQ126,Fundamentus!A:U,21,FALSE)&lt;0.1,"Bom",IF(VLOOKUP(BQ126,Fundamentus!A:U,21,FALSE)&gt;0.1,"Muito bom","n/a"))))</f>
        <v>Fraco</v>
      </c>
      <c r="EY126" s="29" t="str">
        <f>IF(VLOOKUP(BQ126,Fundamentus!A:U,15,FALSE)&gt;1,"Bom",IF(VLOOKUP(BQ126,Fundamentus!A:U,15,FALSE)&lt;1,"Ruim","n/a"))</f>
        <v>Bom</v>
      </c>
      <c r="EZ126" s="17" t="str">
        <f>IF(VLOOKUP(BQ126,Fundamentus!A:U,20,FALSE)&lt;0.5,"Baixa",IF(VLOOKUP(BQ126,Fundamentus!A:U,20,FALSE)&lt;1,"Moderada",IF(VLOOKUP(BQ126,Fundamentus!A:U,20,FALSE)&lt;2,"Alerta",IF(VLOOKUP(BQ126,Fundamentus!A:U,20,FALSE)&gt;2,"Alta","n/a"))))</f>
        <v>Moderada</v>
      </c>
      <c r="FA126" s="10"/>
    </row>
    <row r="127" spans="1:157" s="2" customFormat="1" ht="11.25" hidden="1" x14ac:dyDescent="0.2">
      <c r="A127" s="4">
        <v>27.99</v>
      </c>
      <c r="B127" s="4">
        <v>27.89</v>
      </c>
      <c r="C127" s="4">
        <v>28.69</v>
      </c>
      <c r="D127" s="4">
        <v>27.38</v>
      </c>
      <c r="E127" s="4">
        <v>27</v>
      </c>
      <c r="F127" s="4">
        <v>27.31</v>
      </c>
      <c r="G127" s="4">
        <v>27.14</v>
      </c>
      <c r="H127" s="4">
        <v>28.1</v>
      </c>
      <c r="I127" s="4">
        <v>28.01</v>
      </c>
      <c r="J127" s="4">
        <v>28.28</v>
      </c>
      <c r="K127" s="4">
        <v>28.68</v>
      </c>
      <c r="L127" s="4">
        <v>29.36</v>
      </c>
      <c r="M127" s="4">
        <v>29.33</v>
      </c>
      <c r="N127" s="4">
        <v>28.39</v>
      </c>
      <c r="O127" s="4">
        <v>29.64</v>
      </c>
      <c r="P127" s="4">
        <v>31.65</v>
      </c>
      <c r="Q127" s="4">
        <v>31.61</v>
      </c>
      <c r="R127" s="4">
        <v>31.81</v>
      </c>
      <c r="S127" s="4">
        <v>32.369999999999997</v>
      </c>
      <c r="T127" s="4">
        <v>32.340000000000003</v>
      </c>
      <c r="U127" s="4">
        <v>31.26</v>
      </c>
      <c r="V127" s="4">
        <v>31.91</v>
      </c>
      <c r="W127" s="4">
        <v>30.46</v>
      </c>
      <c r="X127" s="4">
        <v>30.17</v>
      </c>
      <c r="Y127" s="4">
        <v>30.13</v>
      </c>
      <c r="Z127" s="4">
        <v>30.51</v>
      </c>
      <c r="AA127" s="4">
        <v>30.03</v>
      </c>
      <c r="AB127" s="4">
        <v>30.43</v>
      </c>
      <c r="AC127" s="4">
        <v>29.88</v>
      </c>
      <c r="AD127" s="4">
        <v>29.5</v>
      </c>
      <c r="AE127" s="4">
        <v>28.52</v>
      </c>
      <c r="AF127" s="4">
        <v>28.91</v>
      </c>
      <c r="AG127" s="4">
        <v>28.21</v>
      </c>
      <c r="AH127" s="4">
        <v>27.06</v>
      </c>
      <c r="AI127" s="4">
        <v>26.95</v>
      </c>
      <c r="AJ127" s="4">
        <v>26.39</v>
      </c>
      <c r="AK127" s="4">
        <v>27.12</v>
      </c>
      <c r="AL127" s="4">
        <v>28.32</v>
      </c>
      <c r="AM127" s="4">
        <v>28.48</v>
      </c>
      <c r="AN127" s="4">
        <v>29.81</v>
      </c>
      <c r="AO127" s="4">
        <v>30</v>
      </c>
      <c r="AP127" s="4">
        <v>31.02</v>
      </c>
      <c r="AQ127" s="4">
        <v>29.1</v>
      </c>
      <c r="AR127" s="4">
        <v>28.56</v>
      </c>
      <c r="AS127" s="4">
        <v>29.2</v>
      </c>
      <c r="AT127" s="4">
        <v>30.46</v>
      </c>
      <c r="AU127" s="4">
        <v>28.395</v>
      </c>
      <c r="AV127" s="4">
        <v>28.09</v>
      </c>
      <c r="AW127" s="4">
        <v>27.61</v>
      </c>
      <c r="AX127" s="4">
        <v>28.15</v>
      </c>
      <c r="AY127" s="12">
        <v>28.67</v>
      </c>
      <c r="AZ127" s="12">
        <v>30.26</v>
      </c>
      <c r="BA127" s="12">
        <v>31.08</v>
      </c>
      <c r="BB127" s="15">
        <v>31.3</v>
      </c>
      <c r="BC127" s="52">
        <v>33.39</v>
      </c>
      <c r="BD127" s="52">
        <v>33.299999999999997</v>
      </c>
      <c r="BE127" s="52">
        <v>33.369999999999997</v>
      </c>
      <c r="BF127" s="52">
        <v>32.51</v>
      </c>
      <c r="BG127" s="67">
        <v>32.229999999999997</v>
      </c>
      <c r="BH127" s="52">
        <v>32.49</v>
      </c>
      <c r="BI127" s="52">
        <v>32.26</v>
      </c>
      <c r="BJ127" s="52">
        <v>33.68</v>
      </c>
      <c r="BK127" s="52">
        <v>31.6</v>
      </c>
      <c r="BL127" s="52">
        <v>31.36</v>
      </c>
      <c r="BM127" s="52">
        <v>31.46</v>
      </c>
      <c r="BN127" s="52">
        <v>31.19</v>
      </c>
      <c r="BO127" s="52">
        <v>33.090000000000003</v>
      </c>
      <c r="BP127" s="52" cm="1">
        <f t="array" aca="1" ref="BP127" ca="1">_FV(ED127,"Preço")</f>
        <v>33.5</v>
      </c>
      <c r="BQ127" s="69" t="s">
        <v>62</v>
      </c>
      <c r="BR127" s="36" cm="1">
        <f t="array" aca="1" ref="BR127" ca="1">_FV(ED127,"Média de volume",TRUE)</f>
        <v>26180200</v>
      </c>
      <c r="BS127" s="36">
        <v>427600</v>
      </c>
      <c r="BT127" s="36" cm="1">
        <f t="array" aca="1" ref="BT127" ca="1">_FV(ED127,"Volume")</f>
        <v>529800</v>
      </c>
      <c r="BU127" s="24" cm="1">
        <f t="array" aca="1" ref="BU127" ca="1">_FV(ED127,"Beta")</f>
        <v>1.2503</v>
      </c>
      <c r="BV127" s="71" cm="1">
        <f t="array" aca="1" ref="BV127" ca="1">_FV(ED127,"Variação (%)",TRUE)</f>
        <v>-1.0631999999999999E-2</v>
      </c>
      <c r="BX127" s="17" cm="1">
        <f t="array" aca="1" ref="BX127" ca="1">_FV(ED127,"Baixo")</f>
        <v>33.47</v>
      </c>
      <c r="BY127" s="17" cm="1">
        <f t="array" aca="1" ref="BY127" ca="1">_FV(ED127,"Alto")</f>
        <v>33.909999999999997</v>
      </c>
      <c r="BZ127" s="24"/>
      <c r="CA127" s="63">
        <f ca="1">SQRT(22.5*(BP127/VLOOKUP(BQ127,Fundamentus!A:U,3,FALSE))*(BP127/VLOOKUP(BQ127,Fundamentus!A:U,4,FALSE)))</f>
        <v>40.493918701239366</v>
      </c>
      <c r="CC127" s="62">
        <f t="shared" ca="1" si="112"/>
        <v>1.2390450287095695E-2</v>
      </c>
      <c r="CD127" s="8"/>
      <c r="CE127" s="61">
        <f t="shared" si="113"/>
        <v>26.39</v>
      </c>
      <c r="CF127" s="61">
        <f t="shared" si="114"/>
        <v>33.68</v>
      </c>
      <c r="CG127" s="61">
        <f t="shared" si="115"/>
        <v>29.863358208955212</v>
      </c>
      <c r="CH127" s="14"/>
      <c r="CI127" s="35">
        <f t="shared" si="98"/>
        <v>31.628802339778293</v>
      </c>
      <c r="CJ127" s="15">
        <f t="shared" si="116"/>
        <v>33.005000000000109</v>
      </c>
      <c r="CK127" s="35">
        <f t="shared" si="99"/>
        <v>34.381197660221929</v>
      </c>
      <c r="CM127" s="14"/>
      <c r="CN127" s="17">
        <f t="shared" si="100"/>
        <v>21.136666666666663</v>
      </c>
      <c r="CO127" s="17">
        <f t="shared" si="101"/>
        <v>23.763333333333332</v>
      </c>
      <c r="CP127" s="17">
        <f t="shared" si="102"/>
        <v>28.426666666666662</v>
      </c>
      <c r="CQ127" s="38">
        <f t="shared" si="117"/>
        <v>31.053333333333331</v>
      </c>
      <c r="CR127" s="17">
        <f t="shared" si="103"/>
        <v>35.716666666666661</v>
      </c>
      <c r="CS127" s="17">
        <f t="shared" si="104"/>
        <v>38.343333333333334</v>
      </c>
      <c r="CT127" s="17">
        <f t="shared" si="105"/>
        <v>43.006666666666661</v>
      </c>
      <c r="CU127" s="2" cm="1">
        <f t="array" aca="1" ref="CU127" ca="1">MAX(_xlfn._xlws.FILTER(CN127:CT127,CN127:CT127&lt;BP127))</f>
        <v>31.053333333333331</v>
      </c>
      <c r="CV127" s="2" cm="1">
        <f t="array" aca="1" ref="CV127" ca="1">MIN(_xlfn._xlws.FILTER($CN127:$CT127,$CN127:$CT127&gt;BP127))</f>
        <v>35.716666666666661</v>
      </c>
      <c r="CW127" s="16">
        <f t="shared" ca="1" si="136"/>
        <v>0.15017174753112905</v>
      </c>
      <c r="CX127" s="20">
        <f t="shared" ca="1" si="137"/>
        <v>-7.5085873765564526E-2</v>
      </c>
      <c r="CY127" s="20">
        <f t="shared" ca="1" si="138"/>
        <v>-5.0057249177043017E-2</v>
      </c>
      <c r="CZ127" s="20">
        <f t="shared" ca="1" si="139"/>
        <v>-3.003434950622581E-2</v>
      </c>
      <c r="DA127" s="20">
        <f t="shared" ca="1" si="140"/>
        <v>-1.6685749725681005E-2</v>
      </c>
      <c r="DB127" s="20">
        <f t="shared" ca="1" si="141"/>
        <v>-8.8336322077134741E-3</v>
      </c>
      <c r="DC127" s="20">
        <f t="shared" ca="1" si="142"/>
        <v>-4.5506590160948194E-3</v>
      </c>
      <c r="DD127" s="20">
        <f t="shared" ca="1" si="143"/>
        <v>-2.3103345774019854E-3</v>
      </c>
      <c r="DE127" s="21">
        <f t="shared" ca="1" si="144"/>
        <v>2.3103345774019854E-3</v>
      </c>
      <c r="DF127" s="21">
        <f t="shared" ca="1" si="145"/>
        <v>4.5506590160948194E-3</v>
      </c>
      <c r="DG127" s="21">
        <f t="shared" ca="1" si="146"/>
        <v>8.8336322077134741E-3</v>
      </c>
      <c r="DH127" s="21">
        <f t="shared" ca="1" si="147"/>
        <v>1.6685749725681005E-2</v>
      </c>
      <c r="DI127" s="21">
        <f t="shared" ca="1" si="148"/>
        <v>3.003434950622581E-2</v>
      </c>
      <c r="DJ127" s="21">
        <f t="shared" ca="1" si="149"/>
        <v>5.0057249177043017E-2</v>
      </c>
      <c r="DK127" s="21">
        <f t="shared" ca="1" si="150"/>
        <v>7.5085873765564526E-2</v>
      </c>
      <c r="DM127" s="16" cm="1">
        <f t="array" aca="1" ref="DM127" ca="1">MAX(_xlfn._xlws.FILTER(CX127:DK127,CX127:DK127&lt;BV127))</f>
        <v>-1.6685749725681005E-2</v>
      </c>
      <c r="DN127" s="16" cm="1">
        <f t="array" aca="1" ref="DN127" ca="1">MIN(_xlfn._xlws.FILTER(CX127:DK127,CX127:DK127&gt;BV127))</f>
        <v>-8.8336322077134741E-3</v>
      </c>
      <c r="DO127" s="2" cm="1">
        <f t="array" aca="1" ref="DO127" ca="1">_FV(ED127,"Fechamento anterior",TRUE)</f>
        <v>33.86</v>
      </c>
      <c r="DP127" s="28">
        <f t="shared" ca="1" si="106"/>
        <v>0.77096853629735096</v>
      </c>
      <c r="DQ127" s="15">
        <f t="shared" ca="1" si="151"/>
        <v>33.295020514288439</v>
      </c>
      <c r="DR127" s="15">
        <f t="shared" ca="1" si="152"/>
        <v>33.560893213446818</v>
      </c>
      <c r="DS127" s="9"/>
      <c r="DT127" s="9"/>
      <c r="DU127" s="9"/>
      <c r="DV127" s="89">
        <v>7.8521175179675304E-3</v>
      </c>
      <c r="DW127" s="89">
        <f t="shared" ca="1" si="107"/>
        <v>7.8521175179675304E-3</v>
      </c>
      <c r="DX127" s="72">
        <f t="shared" ca="1" si="108"/>
        <v>0.35968670366733985</v>
      </c>
      <c r="DY127" s="37"/>
      <c r="DZ127" s="35">
        <f t="shared" si="118"/>
        <v>0.68809883011090889</v>
      </c>
      <c r="EA127" s="56"/>
      <c r="EB127" s="56"/>
      <c r="ED127" s="2" t="e" vm="126">
        <v>#VALUE!</v>
      </c>
      <c r="EF127" s="10" cm="1">
        <f t="array" aca="1" ref="EF127" ca="1">_FV(ED127,"Ações em circulação",TRUE)</f>
        <v>10784550000</v>
      </c>
      <c r="EG127" s="18">
        <f>VLOOKUP(BQ127,Fundamentus!A:U,5,FALSE)</f>
        <v>0</v>
      </c>
      <c r="EH127" s="2" t="e">
        <f t="shared" ca="1" si="109"/>
        <v>#DIV/0!</v>
      </c>
      <c r="EI127" s="17" t="e">
        <v>#DIV/0!</v>
      </c>
      <c r="EJ127" s="17" t="e">
        <f t="shared" ca="1" si="110"/>
        <v>#DIV/0!</v>
      </c>
      <c r="EL127" s="16" t="e">
        <f t="shared" ca="1" si="97"/>
        <v>#DIV/0!</v>
      </c>
      <c r="EM127" s="32" t="str">
        <f>IF(VLOOKUP(BQ127,Fundamentus!A:U,3,FALSE)&lt;15,"Bom",IF(VLOOKUP(BQ127,Fundamentus!A:U,3,FALSE)&gt;15,"Ruim","n/a"))</f>
        <v>Bom</v>
      </c>
      <c r="EN127" s="28" t="str">
        <f>IF(VLOOKUP(BQ127,Fundamentus!A:U,4,FALSE)&lt;1,"Baixo",IF(VLOOKUP(BQ127,Fundamentus!A:U,4,FALSE)&lt;1.5,"Moderado",IF(VLOOKUP(BQ127,Fundamentus!A:U,4,FALSE)&gt;1.5,"Alto","n/a")))</f>
        <v>Alto</v>
      </c>
      <c r="EO127" s="17" t="str">
        <f>IF(VLOOKUP(BQ127,Fundamentus!A:U,8,FALSE)&lt;0,"Risco elevado",IF(VLOOKUP(BQ127,Fundamentus!A:U,8,FALSE)&lt;1,"Saudável",IF(VLOOKUP(BQ127,Fundamentus!A:U,8,FALSE)&lt;3,"Estável",IF(VLOOKUP(BQ127,Fundamentus!A:U,8,FALSE)&gt;3,"Alerta","n/a"))))</f>
        <v>Saudável</v>
      </c>
      <c r="EP127" s="28" t="str">
        <f t="shared" si="111"/>
        <v>Ruim</v>
      </c>
      <c r="EQ127" s="17" t="str">
        <f>IF(VLOOKUP(BQ127,Fundamentus!A:U,12,FALSE)&lt;2,"Subvalorizada",IF(VLOOKUP(BQ127,Fundamentus!A:U,12,FALSE)&lt;6,"Muita barata",IF(VLOOKUP(BQ127,Fundamentus!A:U,12,FALSE)&lt;6,"Barata",IF(VLOOKUP(BQ127,Fundamentus!A:U,12,FALSE)&lt;8,"Atrativa",IF(VLOOKUP(BQ127,Fundamentus!A:U,12,FALSE)&gt;8,"Supervalorizada","n/a")))))</f>
        <v>Subvalorizada</v>
      </c>
      <c r="ES127" s="17" t="str">
        <f>IF(VLOOKUP(BQ127,Fundamentus!A:U,17,FALSE)&lt;0.1,"Fraco retorno",IF(VLOOKUP(BQ127,Fundamentus!A:U,17,FALSE)&gt;0.1,"Bom retorno","n/a"))</f>
        <v>Bom retorno</v>
      </c>
      <c r="ET127" s="17" t="str">
        <f>IF(VLOOKUP(BQ127,Fundamentus!A:U,16,FALSE)&lt;0.1,"Ineficiente",IF(VLOOKUP(BQ127,Fundamentus!A:U,16,FALSE)&gt;0.1,"Eficiente","n/a"))</f>
        <v>Ineficiente</v>
      </c>
      <c r="EU127" s="33" t="str">
        <f>IF(VLOOKUP(BQ127,Fundamentus!A:U,16,FALSE)&lt;0.1,"Oper. Ineficiente",IF(VLOOKUP(BQ127,Fundamentus!A:U,16,FALSE)&gt;0.1,"Oper.Eficiente","n/a"))</f>
        <v>Oper. Ineficiente</v>
      </c>
      <c r="EV127" s="34">
        <f>VLOOKUP(BQ127,Fundamentus!A:U,14,FALSE)</f>
        <v>0</v>
      </c>
      <c r="EW127" s="17" t="str">
        <f>IF(VLOOKUP(BQ127,Fundamentus!A:U,21,FALSE)&lt;0,"Negativo",IF(VLOOKUP(BQ127,Fundamentus!A:U,21,FALSE)&lt;0.05,"Fraco",IF(VLOOKUP(BQ127,Fundamentus!A:U,21,FALSE)&lt;0.1,"Bom",IF(VLOOKUP(BQ127,Fundamentus!A:U,21,FALSE)&gt;0.1,"Muito bom","n/a"))))</f>
        <v>Muito bom</v>
      </c>
      <c r="EY127" s="29" t="str">
        <f>IF(VLOOKUP(BQ127,Fundamentus!A:U,15,FALSE)&gt;1,"Bom",IF(VLOOKUP(BQ127,Fundamentus!A:U,15,FALSE)&lt;1,"Ruim","n/a"))</f>
        <v>Ruim</v>
      </c>
      <c r="EZ127" s="17" t="str">
        <f>IF(VLOOKUP(BQ127,Fundamentus!A:U,20,FALSE)&lt;0.5,"Baixa",IF(VLOOKUP(BQ127,Fundamentus!A:U,20,FALSE)&lt;1,"Moderada",IF(VLOOKUP(BQ127,Fundamentus!A:U,20,FALSE)&lt;2,"Alerta",IF(VLOOKUP(BQ127,Fundamentus!A:U,20,FALSE)&gt;2,"Alta","n/a"))))</f>
        <v>Baixa</v>
      </c>
      <c r="FA127" s="10"/>
    </row>
    <row r="128" spans="1:157" s="2" customFormat="1" ht="11.25" hidden="1" x14ac:dyDescent="0.2">
      <c r="A128" s="4">
        <v>2.44</v>
      </c>
      <c r="B128" s="4">
        <v>2.4700000000000002</v>
      </c>
      <c r="C128" s="4">
        <v>2.38</v>
      </c>
      <c r="D128" s="4">
        <v>2.33</v>
      </c>
      <c r="E128" s="4">
        <v>2.27</v>
      </c>
      <c r="F128" s="4">
        <v>2.17</v>
      </c>
      <c r="G128" s="4">
        <v>2.16</v>
      </c>
      <c r="H128" s="4">
        <v>2.13</v>
      </c>
      <c r="I128" s="4">
        <v>2.15</v>
      </c>
      <c r="J128" s="4">
        <v>2.21</v>
      </c>
      <c r="K128" s="4">
        <v>2.38</v>
      </c>
      <c r="L128" s="4">
        <v>2.27</v>
      </c>
      <c r="M128" s="4">
        <v>2.31</v>
      </c>
      <c r="N128" s="4">
        <v>2.2400000000000002</v>
      </c>
      <c r="O128" s="4">
        <v>2.2200000000000002</v>
      </c>
      <c r="P128" s="4">
        <v>2.29</v>
      </c>
      <c r="Q128" s="4">
        <v>2.2400000000000002</v>
      </c>
      <c r="R128" s="4">
        <v>2.3199999999999998</v>
      </c>
      <c r="S128" s="4">
        <v>2.2200000000000002</v>
      </c>
      <c r="T128" s="4">
        <v>2.25</v>
      </c>
      <c r="U128" s="4">
        <v>2.19</v>
      </c>
      <c r="V128" s="4">
        <v>2.17</v>
      </c>
      <c r="W128" s="4">
        <v>2.17</v>
      </c>
      <c r="X128" s="4">
        <v>2.13</v>
      </c>
      <c r="Y128" s="4">
        <v>2.14</v>
      </c>
      <c r="Z128" s="4">
        <v>2.1800000000000002</v>
      </c>
      <c r="AA128" s="4">
        <v>2.13</v>
      </c>
      <c r="AB128" s="4">
        <v>2.17</v>
      </c>
      <c r="AC128" s="4">
        <v>2.15</v>
      </c>
      <c r="AD128" s="4">
        <v>2.1</v>
      </c>
      <c r="AE128" s="4">
        <v>2.08</v>
      </c>
      <c r="AF128" s="4">
        <v>2</v>
      </c>
      <c r="AG128" s="4">
        <v>1.89</v>
      </c>
      <c r="AH128" s="4">
        <v>1.79</v>
      </c>
      <c r="AI128" s="4">
        <v>1.8</v>
      </c>
      <c r="AJ128" s="4">
        <v>1.81</v>
      </c>
      <c r="AK128" s="4">
        <v>1.79</v>
      </c>
      <c r="AL128" s="4">
        <v>1.86</v>
      </c>
      <c r="AM128" s="4">
        <v>1.77</v>
      </c>
      <c r="AN128" s="4">
        <v>1.56</v>
      </c>
      <c r="AO128" s="4">
        <v>1.47</v>
      </c>
      <c r="AP128" s="4">
        <v>1.44</v>
      </c>
      <c r="AQ128" s="4">
        <v>1.41</v>
      </c>
      <c r="AR128" s="4">
        <v>1.44</v>
      </c>
      <c r="AS128" s="4">
        <v>1.46</v>
      </c>
      <c r="AT128" s="4">
        <v>1.54</v>
      </c>
      <c r="AU128" s="4">
        <v>1.5049999999999999</v>
      </c>
      <c r="AV128" s="4">
        <v>1.47</v>
      </c>
      <c r="AW128" s="4">
        <v>1.47</v>
      </c>
      <c r="AX128" s="4">
        <v>1.53</v>
      </c>
      <c r="AY128" s="12">
        <v>1.62</v>
      </c>
      <c r="AZ128" s="12">
        <v>1.58</v>
      </c>
      <c r="BA128" s="12">
        <v>1.68</v>
      </c>
      <c r="BB128" s="15">
        <v>1.68</v>
      </c>
      <c r="BC128" s="52">
        <v>1.47</v>
      </c>
      <c r="BD128" s="52">
        <v>1.5</v>
      </c>
      <c r="BE128" s="52">
        <v>1.55</v>
      </c>
      <c r="BF128" s="52">
        <v>1.53</v>
      </c>
      <c r="BG128" s="67">
        <v>1.5</v>
      </c>
      <c r="BH128" s="52">
        <v>1.49</v>
      </c>
      <c r="BI128" s="52">
        <v>1.42</v>
      </c>
      <c r="BJ128" s="52">
        <v>1.45</v>
      </c>
      <c r="BK128" s="52">
        <v>1.41</v>
      </c>
      <c r="BL128" s="52">
        <v>1.4</v>
      </c>
      <c r="BM128" s="52">
        <v>1.37</v>
      </c>
      <c r="BN128" s="52">
        <v>1.4</v>
      </c>
      <c r="BO128" s="52">
        <v>1.33</v>
      </c>
      <c r="BP128" s="52" cm="1">
        <f t="array" aca="1" ref="BP128" ca="1">_FV(ED128,"Preço")</f>
        <v>1.37</v>
      </c>
      <c r="BQ128" s="69" t="s">
        <v>124</v>
      </c>
      <c r="BR128" s="36" cm="1">
        <f t="array" aca="1" ref="BR128" ca="1">_FV(ED128,"Média de volume",TRUE)</f>
        <v>24210</v>
      </c>
      <c r="BS128" s="36">
        <v>66100</v>
      </c>
      <c r="BT128" s="36" cm="1">
        <f t="array" aca="1" ref="BT128" ca="1">_FV(ED128,"Volume")</f>
        <v>18700</v>
      </c>
      <c r="BU128" s="24" cm="1">
        <f t="array" aca="1" ref="BU128" ca="1">_FV(ED128,"Beta")</f>
        <v>0.42480000000000001</v>
      </c>
      <c r="BV128" s="71" cm="1">
        <f t="array" aca="1" ref="BV128" ca="1">_FV(ED128,"Variação (%)",TRUE)</f>
        <v>1.4815E-2</v>
      </c>
      <c r="BX128" s="17" cm="1">
        <f t="array" aca="1" ref="BX128" ca="1">_FV(ED128,"Baixo")</f>
        <v>1.34</v>
      </c>
      <c r="BY128" s="17" cm="1">
        <f t="array" aca="1" ref="BY128" ca="1">_FV(ED128,"Alto")</f>
        <v>1.42</v>
      </c>
      <c r="BZ128" s="24"/>
      <c r="CA128" s="63">
        <f ca="1">SQRT(22.5*(BP128/VLOOKUP(BQ128,Fundamentus!A:U,3,FALSE))*(BP128/VLOOKUP(BQ128,Fundamentus!A:U,4,FALSE)))</f>
        <v>1.9633857529247196</v>
      </c>
      <c r="CC128" s="62">
        <f t="shared" ca="1" si="112"/>
        <v>3.0075187969924838E-2</v>
      </c>
      <c r="CD128" s="8"/>
      <c r="CE128" s="61">
        <f t="shared" si="113"/>
        <v>1.33</v>
      </c>
      <c r="CF128" s="61">
        <f t="shared" si="114"/>
        <v>2.4700000000000002</v>
      </c>
      <c r="CG128" s="61">
        <f t="shared" si="115"/>
        <v>1.8723134328358213</v>
      </c>
      <c r="CH128" s="14"/>
      <c r="CI128" s="35">
        <f t="shared" si="98"/>
        <v>1.2714850446466872</v>
      </c>
      <c r="CJ128" s="15">
        <f t="shared" si="116"/>
        <v>1.3299999999999983</v>
      </c>
      <c r="CK128" s="35">
        <f t="shared" si="99"/>
        <v>1.3885149553533094</v>
      </c>
      <c r="CM128" s="14"/>
      <c r="CN128" s="17">
        <f t="shared" si="100"/>
        <v>-0.18999999999999995</v>
      </c>
      <c r="CO128" s="17">
        <f t="shared" si="101"/>
        <v>0.57000000000000006</v>
      </c>
      <c r="CP128" s="17">
        <f t="shared" si="102"/>
        <v>0.95000000000000018</v>
      </c>
      <c r="CQ128" s="38">
        <f t="shared" si="117"/>
        <v>1.7100000000000002</v>
      </c>
      <c r="CR128" s="17">
        <f t="shared" si="103"/>
        <v>2.0900000000000003</v>
      </c>
      <c r="CS128" s="17">
        <f t="shared" si="104"/>
        <v>2.8500000000000005</v>
      </c>
      <c r="CT128" s="17">
        <f t="shared" si="105"/>
        <v>3.2300000000000004</v>
      </c>
      <c r="CU128" s="2" cm="1">
        <f t="array" aca="1" ref="CU128" ca="1">MAX(_xlfn._xlws.FILTER(CN128:CT128,CN128:CT128&lt;BP128))</f>
        <v>0.95000000000000018</v>
      </c>
      <c r="CV128" s="2" cm="1">
        <f t="array" aca="1" ref="CV128" ca="1">MIN(_xlfn._xlws.FILTER($CN128:$CT128,$CN128:$CT128&gt;BP128))</f>
        <v>1.7100000000000002</v>
      </c>
      <c r="CW128" s="16">
        <f t="shared" ca="1" si="136"/>
        <v>0.79999999999999982</v>
      </c>
      <c r="CX128" s="20">
        <f t="shared" ca="1" si="137"/>
        <v>-0.39999999999999991</v>
      </c>
      <c r="CY128" s="20">
        <f t="shared" ca="1" si="138"/>
        <v>-0.26666666666666661</v>
      </c>
      <c r="CZ128" s="20">
        <f t="shared" ca="1" si="139"/>
        <v>-0.15999999999999998</v>
      </c>
      <c r="DA128" s="20">
        <f t="shared" ca="1" si="140"/>
        <v>-8.8888888888888865E-2</v>
      </c>
      <c r="DB128" s="20">
        <f t="shared" ca="1" si="141"/>
        <v>-4.7058823529411757E-2</v>
      </c>
      <c r="DC128" s="20">
        <f t="shared" ca="1" si="142"/>
        <v>-2.4242424242424235E-2</v>
      </c>
      <c r="DD128" s="20">
        <f t="shared" ca="1" si="143"/>
        <v>-1.2307692307692304E-2</v>
      </c>
      <c r="DE128" s="21">
        <f t="shared" ca="1" si="144"/>
        <v>1.2307692307692304E-2</v>
      </c>
      <c r="DF128" s="21">
        <f t="shared" ca="1" si="145"/>
        <v>2.4242424242424235E-2</v>
      </c>
      <c r="DG128" s="21">
        <f t="shared" ca="1" si="146"/>
        <v>4.7058823529411757E-2</v>
      </c>
      <c r="DH128" s="21">
        <f t="shared" ca="1" si="147"/>
        <v>8.8888888888888865E-2</v>
      </c>
      <c r="DI128" s="21">
        <f t="shared" ca="1" si="148"/>
        <v>0.15999999999999998</v>
      </c>
      <c r="DJ128" s="21">
        <f t="shared" ca="1" si="149"/>
        <v>0.26666666666666661</v>
      </c>
      <c r="DK128" s="21">
        <f t="shared" ca="1" si="150"/>
        <v>0.39999999999999991</v>
      </c>
      <c r="DM128" s="16" cm="1">
        <f t="array" aca="1" ref="DM128" ca="1">MAX(_xlfn._xlws.FILTER(CX128:DK128,CX128:DK128&lt;BV128))</f>
        <v>1.2307692307692304E-2</v>
      </c>
      <c r="DN128" s="16" cm="1">
        <f t="array" aca="1" ref="DN128" ca="1">MIN(_xlfn._xlws.FILTER(CX128:DK128,CX128:DK128&gt;BV128))</f>
        <v>2.4242424242424235E-2</v>
      </c>
      <c r="DO128" s="2" cm="1">
        <f t="array" aca="1" ref="DO128" ca="1">_FV(ED128,"Fechamento anterior",TRUE)</f>
        <v>1.35</v>
      </c>
      <c r="DP128" s="28">
        <f t="shared" ca="1" si="106"/>
        <v>0.21006944444444162</v>
      </c>
      <c r="DQ128" s="15">
        <f t="shared" ca="1" si="151"/>
        <v>1.3666153846153848</v>
      </c>
      <c r="DR128" s="15">
        <f t="shared" ca="1" si="152"/>
        <v>1.3827272727272728</v>
      </c>
      <c r="DS128" s="9"/>
      <c r="DT128" s="9"/>
      <c r="DU128" s="9"/>
      <c r="DV128" s="89">
        <v>1.1934731934731931E-2</v>
      </c>
      <c r="DW128" s="89">
        <f t="shared" ca="1" si="107"/>
        <v>1.1934731934731931E-2</v>
      </c>
      <c r="DX128" s="72">
        <f t="shared" ca="1" si="108"/>
        <v>0.68358592702469523</v>
      </c>
      <c r="DY128" s="37"/>
      <c r="DZ128" s="35">
        <f t="shared" si="118"/>
        <v>2.9257477676655517E-2</v>
      </c>
      <c r="EA128" s="56"/>
      <c r="EB128" s="56"/>
      <c r="ED128" s="2" t="e" vm="127">
        <v>#VALUE!</v>
      </c>
      <c r="EF128" s="10" cm="1">
        <f t="array" aca="1" ref="EF128" ca="1">_FV(ED128,"Ações em circulação",TRUE)</f>
        <v>66086360</v>
      </c>
      <c r="EG128" s="18">
        <f>VLOOKUP(BQ128,Fundamentus!A:U,5,FALSE)</f>
        <v>0.41599999999999998</v>
      </c>
      <c r="EH128" s="2">
        <f t="shared" ca="1" si="109"/>
        <v>217640175.96153846</v>
      </c>
      <c r="EI128" s="17">
        <v>4014428.6471153852</v>
      </c>
      <c r="EJ128" s="17">
        <f t="shared" ca="1" si="110"/>
        <v>4135163.3432692308</v>
      </c>
      <c r="EL128" s="16">
        <f t="shared" ca="1" si="97"/>
        <v>3.0075187969924588E-2</v>
      </c>
      <c r="EM128" s="32" t="str">
        <f>IF(VLOOKUP(BQ128,Fundamentus!A:U,3,FALSE)&lt;15,"Bom",IF(VLOOKUP(BQ128,Fundamentus!A:U,3,FALSE)&gt;15,"Ruim","n/a"))</f>
        <v>Ruim</v>
      </c>
      <c r="EN128" s="28" t="str">
        <f>IF(VLOOKUP(BQ128,Fundamentus!A:U,4,FALSE)&lt;1,"Baixo",IF(VLOOKUP(BQ128,Fundamentus!A:U,4,FALSE)&lt;1.5,"Moderado",IF(VLOOKUP(BQ128,Fundamentus!A:U,4,FALSE)&gt;1.5,"Alto","n/a")))</f>
        <v>Baixo</v>
      </c>
      <c r="EO128" s="17" t="str">
        <f>IF(VLOOKUP(BQ128,Fundamentus!A:U,8,FALSE)&lt;0,"Risco elevado",IF(VLOOKUP(BQ128,Fundamentus!A:U,8,FALSE)&lt;1,"Saudável",IF(VLOOKUP(BQ128,Fundamentus!A:U,8,FALSE)&lt;3,"Estável",IF(VLOOKUP(BQ128,Fundamentus!A:U,8,FALSE)&gt;3,"Alerta","n/a"))))</f>
        <v>Alerta</v>
      </c>
      <c r="EP128" s="28" t="str">
        <f t="shared" si="111"/>
        <v>Ruim</v>
      </c>
      <c r="EQ128" s="17" t="str">
        <f>IF(VLOOKUP(BQ128,Fundamentus!A:U,12,FALSE)&lt;2,"Subvalorizada",IF(VLOOKUP(BQ128,Fundamentus!A:U,12,FALSE)&lt;6,"Muita barata",IF(VLOOKUP(BQ128,Fundamentus!A:U,12,FALSE)&lt;6,"Barata",IF(VLOOKUP(BQ128,Fundamentus!A:U,12,FALSE)&lt;8,"Atrativa",IF(VLOOKUP(BQ128,Fundamentus!A:U,12,FALSE)&gt;8,"Supervalorizada","n/a")))))</f>
        <v>Supervalorizada</v>
      </c>
      <c r="ES128" s="17" t="str">
        <f>IF(VLOOKUP(BQ128,Fundamentus!A:U,17,FALSE)&lt;0.1,"Fraco retorno",IF(VLOOKUP(BQ128,Fundamentus!A:U,17,FALSE)&gt;0.1,"Bom retorno","n/a"))</f>
        <v>Fraco retorno</v>
      </c>
      <c r="ET128" s="17" t="str">
        <f>IF(VLOOKUP(BQ128,Fundamentus!A:U,16,FALSE)&lt;0.1,"Ineficiente",IF(VLOOKUP(BQ128,Fundamentus!A:U,16,FALSE)&gt;0.1,"Eficiente","n/a"))</f>
        <v>Ineficiente</v>
      </c>
      <c r="EU128" s="33" t="str">
        <f>IF(VLOOKUP(BQ128,Fundamentus!A:U,16,FALSE)&lt;0.1,"Oper. Ineficiente",IF(VLOOKUP(BQ128,Fundamentus!A:U,16,FALSE)&gt;0.1,"Oper.Eficiente","n/a"))</f>
        <v>Oper. Ineficiente</v>
      </c>
      <c r="EV128" s="34">
        <f>VLOOKUP(BQ128,Fundamentus!A:U,14,FALSE)</f>
        <v>1.9E-2</v>
      </c>
      <c r="EW128" s="17" t="str">
        <f>IF(VLOOKUP(BQ128,Fundamentus!A:U,21,FALSE)&lt;0,"Negativo",IF(VLOOKUP(BQ128,Fundamentus!A:U,21,FALSE)&lt;0.05,"Fraco",IF(VLOOKUP(BQ128,Fundamentus!A:U,21,FALSE)&lt;0.1,"Bom",IF(VLOOKUP(BQ128,Fundamentus!A:U,21,FALSE)&gt;0.1,"Muito bom","n/a"))))</f>
        <v>Bom</v>
      </c>
      <c r="EY128" s="29" t="str">
        <f>IF(VLOOKUP(BQ128,Fundamentus!A:U,15,FALSE)&gt;1,"Bom",IF(VLOOKUP(BQ128,Fundamentus!A:U,15,FALSE)&lt;1,"Ruim","n/a"))</f>
        <v>Bom</v>
      </c>
      <c r="EZ128" s="17" t="str">
        <f>IF(VLOOKUP(BQ128,Fundamentus!A:U,20,FALSE)&lt;0.5,"Baixa",IF(VLOOKUP(BQ128,Fundamentus!A:U,20,FALSE)&lt;1,"Moderada",IF(VLOOKUP(BQ128,Fundamentus!A:U,20,FALSE)&lt;2,"Alerta",IF(VLOOKUP(BQ128,Fundamentus!A:U,20,FALSE)&gt;2,"Alta","n/a"))))</f>
        <v>Moderada</v>
      </c>
      <c r="FA128" s="10"/>
    </row>
    <row r="129" spans="1:157" s="2" customFormat="1" ht="11.25" hidden="1" x14ac:dyDescent="0.2">
      <c r="A129" s="4">
        <v>8</v>
      </c>
      <c r="B129" s="4">
        <v>8</v>
      </c>
      <c r="C129" s="4">
        <v>7.96</v>
      </c>
      <c r="D129" s="4">
        <v>7.92</v>
      </c>
      <c r="E129" s="4">
        <v>7.57</v>
      </c>
      <c r="F129" s="4">
        <v>7.18</v>
      </c>
      <c r="G129" s="4">
        <v>7.18</v>
      </c>
      <c r="H129" s="4">
        <v>7.54</v>
      </c>
      <c r="I129" s="4">
        <v>7.85</v>
      </c>
      <c r="J129" s="4">
        <v>7.99</v>
      </c>
      <c r="K129" s="4">
        <v>8.06</v>
      </c>
      <c r="L129" s="4">
        <v>8.5299999999999994</v>
      </c>
      <c r="M129" s="4">
        <v>6.33</v>
      </c>
      <c r="N129" s="4">
        <v>5.94</v>
      </c>
      <c r="O129" s="4">
        <v>5.95</v>
      </c>
      <c r="P129" s="4">
        <v>6.1</v>
      </c>
      <c r="Q129" s="4">
        <v>6.58</v>
      </c>
      <c r="R129" s="4">
        <v>6.23</v>
      </c>
      <c r="S129" s="4">
        <v>5.99</v>
      </c>
      <c r="T129" s="4">
        <v>6.17</v>
      </c>
      <c r="U129" s="4">
        <v>5.88</v>
      </c>
      <c r="V129" s="4">
        <v>6.24</v>
      </c>
      <c r="W129" s="4">
        <v>6.21</v>
      </c>
      <c r="X129" s="4">
        <v>6.25</v>
      </c>
      <c r="Y129" s="4">
        <v>6.15</v>
      </c>
      <c r="Z129" s="4">
        <v>6.64</v>
      </c>
      <c r="AA129" s="4">
        <v>6.32</v>
      </c>
      <c r="AB129" s="4">
        <v>6.26</v>
      </c>
      <c r="AC129" s="4">
        <v>6.1</v>
      </c>
      <c r="AD129" s="4">
        <v>6.18</v>
      </c>
      <c r="AE129" s="4">
        <v>6.15</v>
      </c>
      <c r="AF129" s="4">
        <v>5.98</v>
      </c>
      <c r="AG129" s="4">
        <v>5.86</v>
      </c>
      <c r="AH129" s="4">
        <v>5.24</v>
      </c>
      <c r="AI129" s="4">
        <v>5.29</v>
      </c>
      <c r="AJ129" s="4">
        <v>4.8499999999999996</v>
      </c>
      <c r="AK129" s="4">
        <v>4.76</v>
      </c>
      <c r="AL129" s="4">
        <v>5.01</v>
      </c>
      <c r="AM129" s="4">
        <v>5.23</v>
      </c>
      <c r="AN129" s="4">
        <v>5.51</v>
      </c>
      <c r="AO129" s="4">
        <v>5.6</v>
      </c>
      <c r="AP129" s="4">
        <v>5.98</v>
      </c>
      <c r="AQ129" s="4">
        <v>5.98</v>
      </c>
      <c r="AR129" s="4">
        <v>5.71</v>
      </c>
      <c r="AS129" s="4">
        <v>6.02</v>
      </c>
      <c r="AT129" s="4">
        <v>5.88</v>
      </c>
      <c r="AU129" s="4">
        <v>5.85</v>
      </c>
      <c r="AV129" s="4">
        <v>5.72</v>
      </c>
      <c r="AW129" s="4">
        <v>5.35</v>
      </c>
      <c r="AX129" s="4">
        <v>5.42</v>
      </c>
      <c r="AY129" s="12">
        <v>5.67</v>
      </c>
      <c r="AZ129" s="12">
        <v>5.73</v>
      </c>
      <c r="BA129" s="12">
        <v>5.53</v>
      </c>
      <c r="BB129" s="15">
        <v>5.6</v>
      </c>
      <c r="BC129" s="52">
        <v>5.55</v>
      </c>
      <c r="BD129" s="52">
        <v>5.33</v>
      </c>
      <c r="BE129" s="52">
        <v>5.2</v>
      </c>
      <c r="BF129" s="52">
        <v>5.18</v>
      </c>
      <c r="BG129" s="67">
        <v>4.7699999999999996</v>
      </c>
      <c r="BH129" s="52">
        <v>4.4000000000000004</v>
      </c>
      <c r="BI129" s="52">
        <v>4.1500000000000004</v>
      </c>
      <c r="BJ129" s="52">
        <v>4.47</v>
      </c>
      <c r="BK129" s="52">
        <v>4.29</v>
      </c>
      <c r="BL129" s="52">
        <v>3.92</v>
      </c>
      <c r="BM129" s="52">
        <v>4.2</v>
      </c>
      <c r="BN129" s="52">
        <v>4.3899999999999997</v>
      </c>
      <c r="BO129" s="52">
        <v>4.45</v>
      </c>
      <c r="BP129" s="52" cm="1">
        <f t="array" aca="1" ref="BP129" ca="1">_FV(ED129,"Preço")</f>
        <v>4</v>
      </c>
      <c r="BQ129" s="69" t="s">
        <v>125</v>
      </c>
      <c r="BR129" s="36" cm="1">
        <f t="array" aca="1" ref="BR129" ca="1">_FV(ED129,"Média de volume",TRUE)</f>
        <v>13754030</v>
      </c>
      <c r="BS129" s="36">
        <v>10628800</v>
      </c>
      <c r="BT129" s="36" cm="1">
        <f t="array" aca="1" ref="BT129" ca="1">_FV(ED129,"Volume")</f>
        <v>14568700</v>
      </c>
      <c r="BU129" s="24" cm="1">
        <f t="array" aca="1" ref="BU129" ca="1">_FV(ED129,"Beta")</f>
        <v>0.91479999999999995</v>
      </c>
      <c r="BV129" s="71" cm="1">
        <f t="array" aca="1" ref="BV129" ca="1">_FV(ED129,"Variação (%)",TRUE)</f>
        <v>0</v>
      </c>
      <c r="BX129" s="17" cm="1">
        <f t="array" aca="1" ref="BX129" ca="1">_FV(ED129,"Baixo")</f>
        <v>3.96</v>
      </c>
      <c r="BY129" s="17" cm="1">
        <f t="array" aca="1" ref="BY129" ca="1">_FV(ED129,"Alto")</f>
        <v>4.04</v>
      </c>
      <c r="BZ129" s="24"/>
      <c r="CA129" s="63">
        <f ca="1">SQRT(22.5*(BP129/VLOOKUP(BQ129,Fundamentus!A:U,3,FALSE))*(BP129/VLOOKUP(BQ129,Fundamentus!A:U,4,FALSE)))</f>
        <v>6.3448915635573409</v>
      </c>
      <c r="CC129" s="62">
        <f t="shared" ca="1" si="112"/>
        <v>-0.10112359550561802</v>
      </c>
      <c r="CD129" s="8"/>
      <c r="CE129" s="61">
        <f t="shared" si="113"/>
        <v>3.92</v>
      </c>
      <c r="CF129" s="61">
        <f t="shared" si="114"/>
        <v>8.5299999999999994</v>
      </c>
      <c r="CG129" s="61">
        <f t="shared" si="115"/>
        <v>5.9629850746268662</v>
      </c>
      <c r="CH129" s="14"/>
      <c r="CI129" s="35">
        <f t="shared" si="98"/>
        <v>4.3134088268001509</v>
      </c>
      <c r="CJ129" s="15">
        <f t="shared" si="116"/>
        <v>4.6849999999999454</v>
      </c>
      <c r="CK129" s="35">
        <f t="shared" si="99"/>
        <v>5.0565911731997399</v>
      </c>
      <c r="CM129" s="14"/>
      <c r="CN129" s="17">
        <f t="shared" si="100"/>
        <v>-1.8733333333333331</v>
      </c>
      <c r="CO129" s="17">
        <f t="shared" si="101"/>
        <v>1.0233333333333334</v>
      </c>
      <c r="CP129" s="17">
        <f t="shared" si="102"/>
        <v>2.7366666666666664</v>
      </c>
      <c r="CQ129" s="38">
        <f t="shared" si="117"/>
        <v>5.6333333333333329</v>
      </c>
      <c r="CR129" s="17">
        <f t="shared" si="103"/>
        <v>7.3466666666666658</v>
      </c>
      <c r="CS129" s="17">
        <f t="shared" si="104"/>
        <v>10.243333333333332</v>
      </c>
      <c r="CT129" s="17">
        <f t="shared" si="105"/>
        <v>11.956666666666665</v>
      </c>
      <c r="CU129" s="2" cm="1">
        <f t="array" aca="1" ref="CU129" ca="1">MAX(_xlfn._xlws.FILTER(CN129:CT129,CN129:CT129&lt;BP129))</f>
        <v>2.7366666666666664</v>
      </c>
      <c r="CV129" s="2" cm="1">
        <f t="array" aca="1" ref="CV129" ca="1">MIN(_xlfn._xlws.FILTER($CN129:$CT129,$CN129:$CT129&gt;BP129))</f>
        <v>5.6333333333333329</v>
      </c>
      <c r="CW129" s="16">
        <f t="shared" ca="1" si="136"/>
        <v>1.0584652862362973</v>
      </c>
      <c r="CX129" s="20">
        <f t="shared" ca="1" si="137"/>
        <v>-0.52923264311814866</v>
      </c>
      <c r="CY129" s="20">
        <f t="shared" ca="1" si="138"/>
        <v>-0.35282176207876575</v>
      </c>
      <c r="CZ129" s="20">
        <f t="shared" ca="1" si="139"/>
        <v>-0.21169305724725945</v>
      </c>
      <c r="DA129" s="20">
        <f t="shared" ca="1" si="140"/>
        <v>-0.11760725402625526</v>
      </c>
      <c r="DB129" s="20">
        <f t="shared" ca="1" si="141"/>
        <v>-6.2262663896252783E-2</v>
      </c>
      <c r="DC129" s="20">
        <f t="shared" ca="1" si="142"/>
        <v>-3.207470564352416E-2</v>
      </c>
      <c r="DD129" s="20">
        <f t="shared" ca="1" si="143"/>
        <v>-1.6284081326712267E-2</v>
      </c>
      <c r="DE129" s="21">
        <f t="shared" ca="1" si="144"/>
        <v>1.6284081326712267E-2</v>
      </c>
      <c r="DF129" s="21">
        <f t="shared" ca="1" si="145"/>
        <v>3.207470564352416E-2</v>
      </c>
      <c r="DG129" s="21">
        <f t="shared" ca="1" si="146"/>
        <v>6.2262663896252783E-2</v>
      </c>
      <c r="DH129" s="21">
        <f t="shared" ca="1" si="147"/>
        <v>0.11760725402625526</v>
      </c>
      <c r="DI129" s="21">
        <f t="shared" ca="1" si="148"/>
        <v>0.21169305724725945</v>
      </c>
      <c r="DJ129" s="21">
        <f t="shared" ca="1" si="149"/>
        <v>0.35282176207876575</v>
      </c>
      <c r="DK129" s="21">
        <f t="shared" ca="1" si="150"/>
        <v>0.52923264311814866</v>
      </c>
      <c r="DM129" s="16" cm="1">
        <f t="array" aca="1" ref="DM129" ca="1">MAX(_xlfn._xlws.FILTER(CX129:DK129,CX129:DK129&lt;BV129))</f>
        <v>-1.6284081326712267E-2</v>
      </c>
      <c r="DN129" s="16" cm="1">
        <f t="array" aca="1" ref="DN129" ca="1">MIN(_xlfn._xlws.FILTER(CX129:DK129,CX129:DK129&gt;BV129))</f>
        <v>1.6284081326712267E-2</v>
      </c>
      <c r="DO129" s="2" cm="1">
        <f t="array" aca="1" ref="DO129" ca="1">_FV(ED129,"Fechamento anterior",TRUE)</f>
        <v>4</v>
      </c>
      <c r="DP129" s="28">
        <f t="shared" ca="1" si="106"/>
        <v>0.5</v>
      </c>
      <c r="DQ129" s="15">
        <f t="shared" ca="1" si="151"/>
        <v>3.9348636746931511</v>
      </c>
      <c r="DR129" s="15">
        <f t="shared" ca="1" si="152"/>
        <v>4.0651363253068489</v>
      </c>
      <c r="DS129" s="9"/>
      <c r="DT129" s="9"/>
      <c r="DU129" s="9"/>
      <c r="DV129" s="89">
        <v>3.2568162653424534E-2</v>
      </c>
      <c r="DW129" s="89">
        <f t="shared" ca="1" si="107"/>
        <v>3.2568162653424534E-2</v>
      </c>
      <c r="DX129" s="72">
        <f t="shared" ca="1" si="108"/>
        <v>-1.843423766235802</v>
      </c>
      <c r="DY129" s="37"/>
      <c r="DZ129" s="35">
        <f t="shared" si="118"/>
        <v>0.18579558659989748</v>
      </c>
      <c r="EA129" s="56"/>
      <c r="EB129" s="56"/>
      <c r="ED129" s="2" t="e" vm="128">
        <v>#VALUE!</v>
      </c>
      <c r="EF129" s="10" cm="1">
        <f t="array" aca="1" ref="EF129" ca="1">_FV(ED129,"Ações em circulação",TRUE)</f>
        <v>1253079000</v>
      </c>
      <c r="EG129" s="18">
        <f>VLOOKUP(BQ129,Fundamentus!A:U,5,FALSE)</f>
        <v>0.20599999999999999</v>
      </c>
      <c r="EH129" s="2">
        <f t="shared" ca="1" si="109"/>
        <v>24331631067.961166</v>
      </c>
      <c r="EI129" s="17">
        <v>311292804.97572815</v>
      </c>
      <c r="EJ129" s="17">
        <f t="shared" ca="1" si="110"/>
        <v>279813757.28155339</v>
      </c>
      <c r="EL129" s="16">
        <f t="shared" ca="1" si="97"/>
        <v>-0.101123595505618</v>
      </c>
      <c r="EM129" s="32" t="str">
        <f>IF(VLOOKUP(BQ129,Fundamentus!A:U,3,FALSE)&lt;15,"Bom",IF(VLOOKUP(BQ129,Fundamentus!A:U,3,FALSE)&gt;15,"Ruim","n/a"))</f>
        <v>Ruim</v>
      </c>
      <c r="EN129" s="28" t="str">
        <f>IF(VLOOKUP(BQ129,Fundamentus!A:U,4,FALSE)&lt;1,"Baixo",IF(VLOOKUP(BQ129,Fundamentus!A:U,4,FALSE)&lt;1.5,"Moderado",IF(VLOOKUP(BQ129,Fundamentus!A:U,4,FALSE)&gt;1.5,"Alto","n/a")))</f>
        <v>Baixo</v>
      </c>
      <c r="EO129" s="17" t="str">
        <f>IF(VLOOKUP(BQ129,Fundamentus!A:U,8,FALSE)&lt;0,"Risco elevado",IF(VLOOKUP(BQ129,Fundamentus!A:U,8,FALSE)&lt;1,"Saudável",IF(VLOOKUP(BQ129,Fundamentus!A:U,8,FALSE)&lt;3,"Estável",IF(VLOOKUP(BQ129,Fundamentus!A:U,8,FALSE)&gt;3,"Alerta","n/a"))))</f>
        <v>Saudável</v>
      </c>
      <c r="EP129" s="28" t="str">
        <f t="shared" si="111"/>
        <v>Ruim</v>
      </c>
      <c r="EQ129" s="17" t="str">
        <f>IF(VLOOKUP(BQ129,Fundamentus!A:U,12,FALSE)&lt;2,"Subvalorizada",IF(VLOOKUP(BQ129,Fundamentus!A:U,12,FALSE)&lt;6,"Muita barata",IF(VLOOKUP(BQ129,Fundamentus!A:U,12,FALSE)&lt;6,"Barata",IF(VLOOKUP(BQ129,Fundamentus!A:U,12,FALSE)&lt;8,"Atrativa",IF(VLOOKUP(BQ129,Fundamentus!A:U,12,FALSE)&gt;8,"Supervalorizada","n/a")))))</f>
        <v>Muita barata</v>
      </c>
      <c r="ES129" s="17" t="str">
        <f>IF(VLOOKUP(BQ129,Fundamentus!A:U,17,FALSE)&lt;0.1,"Fraco retorno",IF(VLOOKUP(BQ129,Fundamentus!A:U,17,FALSE)&gt;0.1,"Bom retorno","n/a"))</f>
        <v>Fraco retorno</v>
      </c>
      <c r="ET129" s="17" t="str">
        <f>IF(VLOOKUP(BQ129,Fundamentus!A:U,16,FALSE)&lt;0.1,"Ineficiente",IF(VLOOKUP(BQ129,Fundamentus!A:U,16,FALSE)&gt;0.1,"Eficiente","n/a"))</f>
        <v>Ineficiente</v>
      </c>
      <c r="EU129" s="33" t="str">
        <f>IF(VLOOKUP(BQ129,Fundamentus!A:U,16,FALSE)&lt;0.1,"Oper. Ineficiente",IF(VLOOKUP(BQ129,Fundamentus!A:U,16,FALSE)&gt;0.1,"Oper.Eficiente","n/a"))</f>
        <v>Oper. Ineficiente</v>
      </c>
      <c r="EV129" s="34">
        <f>VLOOKUP(BQ129,Fundamentus!A:U,14,FALSE)</f>
        <v>1.15E-2</v>
      </c>
      <c r="EW129" s="17" t="str">
        <f>IF(VLOOKUP(BQ129,Fundamentus!A:U,21,FALSE)&lt;0,"Negativo",IF(VLOOKUP(BQ129,Fundamentus!A:U,21,FALSE)&lt;0.05,"Fraco",IF(VLOOKUP(BQ129,Fundamentus!A:U,21,FALSE)&lt;0.1,"Bom",IF(VLOOKUP(BQ129,Fundamentus!A:U,21,FALSE)&gt;0.1,"Muito bom","n/a"))))</f>
        <v>Fraco</v>
      </c>
      <c r="EY129" s="29" t="str">
        <f>IF(VLOOKUP(BQ129,Fundamentus!A:U,15,FALSE)&gt;1,"Bom",IF(VLOOKUP(BQ129,Fundamentus!A:U,15,FALSE)&lt;1,"Ruim","n/a"))</f>
        <v>Bom</v>
      </c>
      <c r="EZ129" s="17" t="str">
        <f>IF(VLOOKUP(BQ129,Fundamentus!A:U,20,FALSE)&lt;0.5,"Baixa",IF(VLOOKUP(BQ129,Fundamentus!A:U,20,FALSE)&lt;1,"Moderada",IF(VLOOKUP(BQ129,Fundamentus!A:U,20,FALSE)&lt;2,"Alerta",IF(VLOOKUP(BQ129,Fundamentus!A:U,20,FALSE)&gt;2,"Alta","n/a"))))</f>
        <v>Baixa</v>
      </c>
      <c r="FA129" s="10"/>
    </row>
    <row r="130" spans="1:157" s="2" customFormat="1" ht="11.25" hidden="1" x14ac:dyDescent="0.2">
      <c r="A130" s="4">
        <v>7.13</v>
      </c>
      <c r="B130" s="4">
        <v>7</v>
      </c>
      <c r="C130" s="4">
        <v>6.9</v>
      </c>
      <c r="D130" s="4">
        <v>6.9</v>
      </c>
      <c r="E130" s="4">
        <v>6.76</v>
      </c>
      <c r="F130" s="4">
        <v>6.53</v>
      </c>
      <c r="G130" s="4">
        <v>6.56</v>
      </c>
      <c r="H130" s="4">
        <v>6.84</v>
      </c>
      <c r="I130" s="4">
        <v>6.74</v>
      </c>
      <c r="J130" s="4">
        <v>7.89</v>
      </c>
      <c r="K130" s="4">
        <v>7.75</v>
      </c>
      <c r="L130" s="4">
        <v>7.4</v>
      </c>
      <c r="M130" s="4">
        <v>7.04</v>
      </c>
      <c r="N130" s="4">
        <v>6.62</v>
      </c>
      <c r="O130" s="4">
        <v>7.04</v>
      </c>
      <c r="P130" s="4">
        <v>6.75</v>
      </c>
      <c r="Q130" s="4">
        <v>6.81</v>
      </c>
      <c r="R130" s="4">
        <v>6.72</v>
      </c>
      <c r="S130" s="4">
        <v>6.55</v>
      </c>
      <c r="T130" s="4">
        <v>6.65</v>
      </c>
      <c r="U130" s="4">
        <v>6.74</v>
      </c>
      <c r="V130" s="4">
        <v>6.5</v>
      </c>
      <c r="W130" s="4">
        <v>6.44</v>
      </c>
      <c r="X130" s="4">
        <v>6.17</v>
      </c>
      <c r="Y130" s="4">
        <v>6.1</v>
      </c>
      <c r="Z130" s="4">
        <v>6.01</v>
      </c>
      <c r="AA130" s="4">
        <v>5.96</v>
      </c>
      <c r="AB130" s="4">
        <v>5.85</v>
      </c>
      <c r="AC130" s="4">
        <v>5.27</v>
      </c>
      <c r="AD130" s="4">
        <v>5.22</v>
      </c>
      <c r="AE130" s="4">
        <v>5.17</v>
      </c>
      <c r="AF130" s="4">
        <v>4.93</v>
      </c>
      <c r="AG130" s="4">
        <v>4.83</v>
      </c>
      <c r="AH130" s="4">
        <v>4.6399999999999997</v>
      </c>
      <c r="AI130" s="4">
        <v>4.55</v>
      </c>
      <c r="AJ130" s="4">
        <v>4.5199999999999996</v>
      </c>
      <c r="AK130" s="4">
        <v>4.46</v>
      </c>
      <c r="AL130" s="4">
        <v>4.5999999999999996</v>
      </c>
      <c r="AM130" s="4">
        <v>4.53</v>
      </c>
      <c r="AN130" s="4">
        <v>4.6100000000000003</v>
      </c>
      <c r="AO130" s="4">
        <v>4.42</v>
      </c>
      <c r="AP130" s="4">
        <v>4.63</v>
      </c>
      <c r="AQ130" s="4">
        <v>4.4400000000000004</v>
      </c>
      <c r="AR130" s="4">
        <v>4.0999999999999996</v>
      </c>
      <c r="AS130" s="4">
        <v>4.1399999999999997</v>
      </c>
      <c r="AT130" s="4">
        <v>4.0999999999999996</v>
      </c>
      <c r="AU130" s="4">
        <v>4.07</v>
      </c>
      <c r="AV130" s="4">
        <v>4.1100000000000003</v>
      </c>
      <c r="AW130" s="4">
        <v>3.95</v>
      </c>
      <c r="AX130" s="4">
        <v>3.96</v>
      </c>
      <c r="AY130" s="12">
        <v>4.07</v>
      </c>
      <c r="AZ130" s="12">
        <v>4.1500000000000004</v>
      </c>
      <c r="BA130" s="12">
        <v>4</v>
      </c>
      <c r="BB130" s="15">
        <v>4.13</v>
      </c>
      <c r="BC130" s="52">
        <v>4.41</v>
      </c>
      <c r="BD130" s="52">
        <v>4.32</v>
      </c>
      <c r="BE130" s="52">
        <v>4.0999999999999996</v>
      </c>
      <c r="BF130" s="52">
        <v>4.09</v>
      </c>
      <c r="BG130" s="67">
        <v>4.08</v>
      </c>
      <c r="BH130" s="52">
        <v>4.0999999999999996</v>
      </c>
      <c r="BI130" s="52">
        <v>3.9</v>
      </c>
      <c r="BJ130" s="52">
        <v>3.89</v>
      </c>
      <c r="BK130" s="52">
        <v>3.68</v>
      </c>
      <c r="BL130" s="52">
        <v>3.57</v>
      </c>
      <c r="BM130" s="52">
        <v>3.46</v>
      </c>
      <c r="BN130" s="52">
        <v>3.22</v>
      </c>
      <c r="BO130" s="52">
        <v>3.15</v>
      </c>
      <c r="BP130" s="52" cm="1">
        <f t="array" aca="1" ref="BP130" ca="1">_FV(ED130,"Preço")</f>
        <v>2.85</v>
      </c>
      <c r="BQ130" s="69" t="s">
        <v>126</v>
      </c>
      <c r="BR130" s="36" cm="1">
        <f t="array" aca="1" ref="BR130" ca="1">_FV(ED130,"Média de volume",TRUE)</f>
        <v>1020640</v>
      </c>
      <c r="BS130" s="36">
        <v>550600</v>
      </c>
      <c r="BT130" s="36" cm="1">
        <f t="array" aca="1" ref="BT130" ca="1">_FV(ED130,"Volume")</f>
        <v>1194700</v>
      </c>
      <c r="BU130" s="24" cm="1">
        <f t="array" aca="1" ref="BU130" ca="1">_FV(ED130,"Beta")</f>
        <v>0.38869999999999999</v>
      </c>
      <c r="BV130" s="71" cm="1">
        <f t="array" aca="1" ref="BV130" ca="1">_FV(ED130,"Variação (%)",TRUE)</f>
        <v>0</v>
      </c>
      <c r="BX130" s="17" cm="1">
        <f t="array" aca="1" ref="BX130" ca="1">_FV(ED130,"Baixo")</f>
        <v>2.82</v>
      </c>
      <c r="BY130" s="17" cm="1">
        <f t="array" aca="1" ref="BY130" ca="1">_FV(ED130,"Alto")</f>
        <v>2.9</v>
      </c>
      <c r="BZ130" s="24"/>
      <c r="CA130" s="63" t="e">
        <f ca="1">SQRT(22.5*(BP130/VLOOKUP(BQ130,Fundamentus!A:U,3,FALSE))*(BP130/VLOOKUP(BQ130,Fundamentus!A:U,4,FALSE)))</f>
        <v>#NUM!</v>
      </c>
      <c r="CC130" s="62">
        <f t="shared" ca="1" si="112"/>
        <v>-9.5238095238095191E-2</v>
      </c>
      <c r="CD130" s="8"/>
      <c r="CE130" s="61">
        <f t="shared" si="113"/>
        <v>3.15</v>
      </c>
      <c r="CF130" s="61">
        <f t="shared" si="114"/>
        <v>7.89</v>
      </c>
      <c r="CG130" s="61">
        <f t="shared" si="115"/>
        <v>5.2823880597014927</v>
      </c>
      <c r="CH130" s="14"/>
      <c r="CI130" s="35">
        <f t="shared" si="98"/>
        <v>2.5705052534333954</v>
      </c>
      <c r="CJ130" s="15">
        <f t="shared" si="116"/>
        <v>2.9750000000000227</v>
      </c>
      <c r="CK130" s="35">
        <f t="shared" si="99"/>
        <v>3.3794947465666501</v>
      </c>
      <c r="CM130" s="14"/>
      <c r="CN130" s="17">
        <f t="shared" si="100"/>
        <v>-3.1700000000000004</v>
      </c>
      <c r="CO130" s="17">
        <f t="shared" si="101"/>
        <v>-1.0000000000000675E-2</v>
      </c>
      <c r="CP130" s="17">
        <f t="shared" si="102"/>
        <v>1.5699999999999994</v>
      </c>
      <c r="CQ130" s="38">
        <f t="shared" si="117"/>
        <v>4.7299999999999995</v>
      </c>
      <c r="CR130" s="17">
        <f t="shared" si="103"/>
        <v>6.3099999999999987</v>
      </c>
      <c r="CS130" s="17">
        <f t="shared" si="104"/>
        <v>9.4699999999999989</v>
      </c>
      <c r="CT130" s="17">
        <f t="shared" si="105"/>
        <v>11.049999999999999</v>
      </c>
      <c r="CU130" s="2" cm="1">
        <f t="array" aca="1" ref="CU130" ca="1">MAX(_xlfn._xlws.FILTER(CN130:CT130,CN130:CT130&lt;BP130))</f>
        <v>1.5699999999999994</v>
      </c>
      <c r="CV130" s="2" cm="1">
        <f t="array" aca="1" ref="CV130" ca="1">MIN(_xlfn._xlws.FILTER($CN130:$CT130,$CN130:$CT130&gt;BP130))</f>
        <v>4.7299999999999995</v>
      </c>
      <c r="CW130" s="16">
        <f t="shared" ca="1" si="136"/>
        <v>2.0127388535031856</v>
      </c>
      <c r="CX130" s="20">
        <f t="shared" ca="1" si="137"/>
        <v>-1.0063694267515928</v>
      </c>
      <c r="CY130" s="20">
        <f t="shared" ca="1" si="138"/>
        <v>-0.67091295116772853</v>
      </c>
      <c r="CZ130" s="20">
        <f t="shared" ca="1" si="139"/>
        <v>-0.40254777070063713</v>
      </c>
      <c r="DA130" s="20">
        <f t="shared" ca="1" si="140"/>
        <v>-0.22363765038924285</v>
      </c>
      <c r="DB130" s="20">
        <f t="shared" ca="1" si="141"/>
        <v>-0.11839640314724621</v>
      </c>
      <c r="DC130" s="20">
        <f t="shared" ca="1" si="142"/>
        <v>-6.0992086469793504E-2</v>
      </c>
      <c r="DD130" s="20">
        <f t="shared" ca="1" si="143"/>
        <v>-3.096521313081824E-2</v>
      </c>
      <c r="DE130" s="21">
        <f t="shared" ca="1" si="144"/>
        <v>3.096521313081824E-2</v>
      </c>
      <c r="DF130" s="21">
        <f t="shared" ca="1" si="145"/>
        <v>6.0992086469793504E-2</v>
      </c>
      <c r="DG130" s="21">
        <f t="shared" ca="1" si="146"/>
        <v>0.11839640314724621</v>
      </c>
      <c r="DH130" s="21">
        <f t="shared" ca="1" si="147"/>
        <v>0.22363765038924285</v>
      </c>
      <c r="DI130" s="21">
        <f t="shared" ca="1" si="148"/>
        <v>0.40254777070063713</v>
      </c>
      <c r="DJ130" s="21">
        <f t="shared" ca="1" si="149"/>
        <v>0.67091295116772853</v>
      </c>
      <c r="DK130" s="21">
        <f t="shared" ca="1" si="150"/>
        <v>1.0063694267515928</v>
      </c>
      <c r="DM130" s="16" cm="1">
        <f t="array" aca="1" ref="DM130" ca="1">MAX(_xlfn._xlws.FILTER(CX130:DK130,CX130:DK130&lt;BV130))</f>
        <v>-3.096521313081824E-2</v>
      </c>
      <c r="DN130" s="16" cm="1">
        <f t="array" aca="1" ref="DN130" ca="1">MIN(_xlfn._xlws.FILTER(CX130:DK130,CX130:DK130&gt;BV130))</f>
        <v>3.096521313081824E-2</v>
      </c>
      <c r="DO130" s="2" cm="1">
        <f t="array" aca="1" ref="DO130" ca="1">_FV(ED130,"Fechamento anterior",TRUE)</f>
        <v>2.85</v>
      </c>
      <c r="DP130" s="28">
        <f t="shared" ca="1" si="106"/>
        <v>0.5</v>
      </c>
      <c r="DQ130" s="15">
        <f t="shared" ca="1" si="151"/>
        <v>2.7617491425771683</v>
      </c>
      <c r="DR130" s="15">
        <f t="shared" ca="1" si="152"/>
        <v>2.9382508574228319</v>
      </c>
      <c r="DS130" s="9"/>
      <c r="DT130" s="9"/>
      <c r="DU130" s="9"/>
      <c r="DV130" s="89">
        <v>6.193042626163648E-2</v>
      </c>
      <c r="DW130" s="89">
        <f t="shared" ca="1" si="107"/>
        <v>6.193042626163648E-2</v>
      </c>
      <c r="DX130" s="72">
        <f t="shared" ca="1" si="108"/>
        <v>-0.30902749927169443</v>
      </c>
      <c r="DY130" s="37"/>
      <c r="DZ130" s="35">
        <f t="shared" si="118"/>
        <v>0.2022473732833136</v>
      </c>
      <c r="EA130" s="56"/>
      <c r="EB130" s="56"/>
      <c r="ED130" s="2" t="e" vm="129">
        <v>#VALUE!</v>
      </c>
      <c r="EF130" s="10" cm="1">
        <f t="array" aca="1" ref="EF130" ca="1">_FV(ED130,"Ações em circulação",TRUE)</f>
        <v>303541900</v>
      </c>
      <c r="EG130" s="18">
        <f>VLOOKUP(BQ130,Fundamentus!A:U,5,FALSE)</f>
        <v>0.45600000000000002</v>
      </c>
      <c r="EH130" s="2">
        <f t="shared" ca="1" si="109"/>
        <v>1897136875</v>
      </c>
      <c r="EI130" s="17">
        <v>-50114368.292763159</v>
      </c>
      <c r="EJ130" s="17">
        <f t="shared" ca="1" si="110"/>
        <v>-45341571.3125</v>
      </c>
      <c r="EL130" s="16">
        <f t="shared" ca="1" si="97"/>
        <v>-9.5238095238095233E-2</v>
      </c>
      <c r="EM130" s="32" t="str">
        <f>IF(VLOOKUP(BQ130,Fundamentus!A:U,3,FALSE)&lt;15,"Bom",IF(VLOOKUP(BQ130,Fundamentus!A:U,3,FALSE)&gt;15,"Ruim","n/a"))</f>
        <v>Bom</v>
      </c>
      <c r="EN130" s="28" t="str">
        <f>IF(VLOOKUP(BQ130,Fundamentus!A:U,4,FALSE)&lt;1,"Baixo",IF(VLOOKUP(BQ130,Fundamentus!A:U,4,FALSE)&lt;1.5,"Moderado",IF(VLOOKUP(BQ130,Fundamentus!A:U,4,FALSE)&gt;1.5,"Alto","n/a")))</f>
        <v>Baixo</v>
      </c>
      <c r="EO130" s="17" t="str">
        <f>IF(VLOOKUP(BQ130,Fundamentus!A:U,8,FALSE)&lt;0,"Risco elevado",IF(VLOOKUP(BQ130,Fundamentus!A:U,8,FALSE)&lt;1,"Saudável",IF(VLOOKUP(BQ130,Fundamentus!A:U,8,FALSE)&lt;3,"Estável",IF(VLOOKUP(BQ130,Fundamentus!A:U,8,FALSE)&gt;3,"Alerta","n/a"))))</f>
        <v>Saudável</v>
      </c>
      <c r="EP130" s="28" t="str">
        <f t="shared" si="111"/>
        <v>Ruim</v>
      </c>
      <c r="EQ130" s="17" t="str">
        <f>IF(VLOOKUP(BQ130,Fundamentus!A:U,12,FALSE)&lt;2,"Subvalorizada",IF(VLOOKUP(BQ130,Fundamentus!A:U,12,FALSE)&lt;6,"Muita barata",IF(VLOOKUP(BQ130,Fundamentus!A:U,12,FALSE)&lt;6,"Barata",IF(VLOOKUP(BQ130,Fundamentus!A:U,12,FALSE)&lt;8,"Atrativa",IF(VLOOKUP(BQ130,Fundamentus!A:U,12,FALSE)&gt;8,"Supervalorizada","n/a")))))</f>
        <v>Muita barata</v>
      </c>
      <c r="ES130" s="17" t="str">
        <f>IF(VLOOKUP(BQ130,Fundamentus!A:U,17,FALSE)&lt;0.1,"Fraco retorno",IF(VLOOKUP(BQ130,Fundamentus!A:U,17,FALSE)&gt;0.1,"Bom retorno","n/a"))</f>
        <v>Fraco retorno</v>
      </c>
      <c r="ET130" s="17" t="str">
        <f>IF(VLOOKUP(BQ130,Fundamentus!A:U,16,FALSE)&lt;0.1,"Ineficiente",IF(VLOOKUP(BQ130,Fundamentus!A:U,16,FALSE)&gt;0.1,"Eficiente","n/a"))</f>
        <v>Ineficiente</v>
      </c>
      <c r="EU130" s="33" t="str">
        <f>IF(VLOOKUP(BQ130,Fundamentus!A:U,16,FALSE)&lt;0.1,"Oper. Ineficiente",IF(VLOOKUP(BQ130,Fundamentus!A:U,16,FALSE)&gt;0.1,"Oper.Eficiente","n/a"))</f>
        <v>Oper. Ineficiente</v>
      </c>
      <c r="EV130" s="34">
        <f>VLOOKUP(BQ130,Fundamentus!A:U,14,FALSE)</f>
        <v>-2.3900000000000001E-2</v>
      </c>
      <c r="EW130" s="17" t="str">
        <f>IF(VLOOKUP(BQ130,Fundamentus!A:U,21,FALSE)&lt;0,"Negativo",IF(VLOOKUP(BQ130,Fundamentus!A:U,21,FALSE)&lt;0.05,"Fraco",IF(VLOOKUP(BQ130,Fundamentus!A:U,21,FALSE)&lt;0.1,"Bom",IF(VLOOKUP(BQ130,Fundamentus!A:U,21,FALSE)&gt;0.1,"Muito bom","n/a"))))</f>
        <v>Muito bom</v>
      </c>
      <c r="EY130" s="29" t="str">
        <f>IF(VLOOKUP(BQ130,Fundamentus!A:U,15,FALSE)&gt;1,"Bom",IF(VLOOKUP(BQ130,Fundamentus!A:U,15,FALSE)&lt;1,"Ruim","n/a"))</f>
        <v>Bom</v>
      </c>
      <c r="EZ130" s="17" t="str">
        <f>IF(VLOOKUP(BQ130,Fundamentus!A:U,20,FALSE)&lt;0.5,"Baixa",IF(VLOOKUP(BQ130,Fundamentus!A:U,20,FALSE)&lt;1,"Moderada",IF(VLOOKUP(BQ130,Fundamentus!A:U,20,FALSE)&lt;2,"Alerta",IF(VLOOKUP(BQ130,Fundamentus!A:U,20,FALSE)&gt;2,"Alta","n/a"))))</f>
        <v>Alta</v>
      </c>
      <c r="FA130" s="10"/>
    </row>
    <row r="131" spans="1:157" s="2" customFormat="1" ht="11.25" hidden="1" x14ac:dyDescent="0.2">
      <c r="A131" s="4">
        <v>20.23</v>
      </c>
      <c r="B131" s="4">
        <v>20.28</v>
      </c>
      <c r="C131" s="4">
        <v>20.149999999999999</v>
      </c>
      <c r="D131" s="4">
        <v>19.97</v>
      </c>
      <c r="E131" s="4">
        <v>19.28</v>
      </c>
      <c r="F131" s="4">
        <v>18.28</v>
      </c>
      <c r="G131" s="4">
        <v>18.010000000000002</v>
      </c>
      <c r="H131" s="4">
        <v>17.97</v>
      </c>
      <c r="I131" s="4">
        <v>18.53</v>
      </c>
      <c r="J131" s="4">
        <v>19.12</v>
      </c>
      <c r="K131" s="4">
        <v>19.239999999999998</v>
      </c>
      <c r="L131" s="4">
        <v>18.93</v>
      </c>
      <c r="M131" s="4">
        <v>18.57</v>
      </c>
      <c r="N131" s="4">
        <v>17.989999999999998</v>
      </c>
      <c r="O131" s="4">
        <v>18.07</v>
      </c>
      <c r="P131" s="4">
        <v>18.32</v>
      </c>
      <c r="Q131" s="4">
        <v>18.89</v>
      </c>
      <c r="R131" s="4">
        <v>19.47</v>
      </c>
      <c r="S131" s="4">
        <v>18.559999999999999</v>
      </c>
      <c r="T131" s="4">
        <v>18.829999999999998</v>
      </c>
      <c r="U131" s="4">
        <v>18.260000000000002</v>
      </c>
      <c r="V131" s="4">
        <v>20.3</v>
      </c>
      <c r="W131" s="4">
        <v>19.72</v>
      </c>
      <c r="X131" s="4">
        <v>19.45</v>
      </c>
      <c r="Y131" s="4">
        <v>18.91</v>
      </c>
      <c r="Z131" s="4">
        <v>19.38</v>
      </c>
      <c r="AA131" s="4">
        <v>19.77</v>
      </c>
      <c r="AB131" s="4">
        <v>19.37</v>
      </c>
      <c r="AC131" s="4">
        <v>17.62</v>
      </c>
      <c r="AD131" s="4">
        <v>18.05</v>
      </c>
      <c r="AE131" s="4">
        <v>18.45</v>
      </c>
      <c r="AF131" s="4">
        <v>17.48</v>
      </c>
      <c r="AG131" s="4">
        <v>17.510000000000002</v>
      </c>
      <c r="AH131" s="4">
        <v>16.739999999999998</v>
      </c>
      <c r="AI131" s="4">
        <v>16.61</v>
      </c>
      <c r="AJ131" s="4">
        <v>16.02</v>
      </c>
      <c r="AK131" s="4">
        <v>15.73</v>
      </c>
      <c r="AL131" s="4">
        <v>16.68</v>
      </c>
      <c r="AM131" s="4">
        <v>16.3</v>
      </c>
      <c r="AN131" s="4">
        <v>16.649999999999999</v>
      </c>
      <c r="AO131" s="4">
        <v>16.75</v>
      </c>
      <c r="AP131" s="4">
        <v>16.93</v>
      </c>
      <c r="AQ131" s="4">
        <v>17.46</v>
      </c>
      <c r="AR131" s="4">
        <v>16.600000000000001</v>
      </c>
      <c r="AS131" s="4">
        <v>17.14</v>
      </c>
      <c r="AT131" s="4">
        <v>17.5</v>
      </c>
      <c r="AU131" s="4">
        <v>17.940000000000001</v>
      </c>
      <c r="AV131" s="4">
        <v>18.23</v>
      </c>
      <c r="AW131" s="4">
        <v>16.71</v>
      </c>
      <c r="AX131" s="4">
        <v>17.170000000000002</v>
      </c>
      <c r="AY131" s="12">
        <v>17</v>
      </c>
      <c r="AZ131" s="12">
        <v>17.59</v>
      </c>
      <c r="BA131" s="12">
        <v>16.190000000000001</v>
      </c>
      <c r="BB131" s="15">
        <v>16.079999999999998</v>
      </c>
      <c r="BC131" s="52">
        <v>16.87</v>
      </c>
      <c r="BD131" s="52">
        <v>16.100000000000001</v>
      </c>
      <c r="BE131" s="52">
        <v>15.6</v>
      </c>
      <c r="BF131" s="52">
        <v>15.87</v>
      </c>
      <c r="BG131" s="67">
        <v>15.61</v>
      </c>
      <c r="BH131" s="52">
        <v>15.07</v>
      </c>
      <c r="BI131" s="52">
        <v>15.61</v>
      </c>
      <c r="BJ131" s="52">
        <v>16.489999999999998</v>
      </c>
      <c r="BK131" s="52">
        <v>16.66</v>
      </c>
      <c r="BL131" s="52">
        <v>16.190000000000001</v>
      </c>
      <c r="BM131" s="52">
        <v>16.52</v>
      </c>
      <c r="BN131" s="52">
        <v>15.7</v>
      </c>
      <c r="BO131" s="52">
        <v>16.03</v>
      </c>
      <c r="BP131" s="52" cm="1">
        <f t="array" aca="1" ref="BP131" ca="1">_FV(ED131,"Preço")</f>
        <v>15.82</v>
      </c>
      <c r="BQ131" s="69" t="s">
        <v>127</v>
      </c>
      <c r="BR131" s="36" cm="1">
        <f t="array" aca="1" ref="BR131" ca="1">_FV(ED131,"Média de volume",TRUE)</f>
        <v>3821570</v>
      </c>
      <c r="BS131" s="36">
        <v>3967000</v>
      </c>
      <c r="BT131" s="36" cm="1">
        <f t="array" aca="1" ref="BT131" ca="1">_FV(ED131,"Volume")</f>
        <v>2397000</v>
      </c>
      <c r="BU131" s="24" cm="1">
        <f t="array" aca="1" ref="BU131" ca="1">_FV(ED131,"Beta")</f>
        <v>0.9214</v>
      </c>
      <c r="BV131" s="71" cm="1">
        <f t="array" aca="1" ref="BV131" ca="1">_FV(ED131,"Variação (%)",TRUE)</f>
        <v>6.3250000000000003E-4</v>
      </c>
      <c r="BX131" s="17" cm="1">
        <f t="array" aca="1" ref="BX131" ca="1">_FV(ED131,"Baixo")</f>
        <v>15.71</v>
      </c>
      <c r="BY131" s="17" cm="1">
        <f t="array" aca="1" ref="BY131" ca="1">_FV(ED131,"Alto")</f>
        <v>15.92</v>
      </c>
      <c r="BZ131" s="24"/>
      <c r="CA131" s="63">
        <f ca="1">SQRT(22.5*(BP131/VLOOKUP(BQ131,Fundamentus!A:U,3,FALSE))*(BP131/VLOOKUP(BQ131,Fundamentus!A:U,4,FALSE)))</f>
        <v>35.756447277835264</v>
      </c>
      <c r="CC131" s="62">
        <f t="shared" ca="1" si="112"/>
        <v>-1.3100436681222761E-2</v>
      </c>
      <c r="CD131" s="8"/>
      <c r="CE131" s="61">
        <f t="shared" si="113"/>
        <v>15.07</v>
      </c>
      <c r="CF131" s="61">
        <f t="shared" si="114"/>
        <v>20.3</v>
      </c>
      <c r="CG131" s="61">
        <f t="shared" si="115"/>
        <v>17.691044776119398</v>
      </c>
      <c r="CH131" s="14"/>
      <c r="CI131" s="35">
        <f t="shared" si="98"/>
        <v>15.097395462493125</v>
      </c>
      <c r="CJ131" s="15">
        <f t="shared" si="116"/>
        <v>15.784999999999968</v>
      </c>
      <c r="CK131" s="35">
        <f t="shared" si="99"/>
        <v>16.472604537506811</v>
      </c>
      <c r="CM131" s="14"/>
      <c r="CN131" s="17">
        <f t="shared" si="100"/>
        <v>8.7366666666666717</v>
      </c>
      <c r="CO131" s="17">
        <f t="shared" si="101"/>
        <v>11.903333333333336</v>
      </c>
      <c r="CP131" s="17">
        <f t="shared" si="102"/>
        <v>13.966666666666672</v>
      </c>
      <c r="CQ131" s="38">
        <f t="shared" si="117"/>
        <v>17.133333333333336</v>
      </c>
      <c r="CR131" s="17">
        <f t="shared" si="103"/>
        <v>19.196666666666673</v>
      </c>
      <c r="CS131" s="17">
        <f t="shared" si="104"/>
        <v>22.363333333333337</v>
      </c>
      <c r="CT131" s="17">
        <f t="shared" si="105"/>
        <v>24.426666666666673</v>
      </c>
      <c r="CU131" s="2" cm="1">
        <f t="array" aca="1" ref="CU131" ca="1">MAX(_xlfn._xlws.FILTER(CN131:CT131,CN131:CT131&lt;BP131))</f>
        <v>13.966666666666672</v>
      </c>
      <c r="CV131" s="2" cm="1">
        <f t="array" aca="1" ref="CV131" ca="1">MIN(_xlfn._xlws.FILTER($CN131:$CT131,$CN131:$CT131&gt;BP131))</f>
        <v>17.133333333333336</v>
      </c>
      <c r="CW131" s="16">
        <f t="shared" ca="1" si="136"/>
        <v>0.22673031026252954</v>
      </c>
      <c r="CX131" s="20">
        <f t="shared" ca="1" si="137"/>
        <v>-0.11336515513126477</v>
      </c>
      <c r="CY131" s="20">
        <f t="shared" ca="1" si="138"/>
        <v>-7.5576770087509848E-2</v>
      </c>
      <c r="CZ131" s="20">
        <f t="shared" ca="1" si="139"/>
        <v>-4.5346062052505909E-2</v>
      </c>
      <c r="DA131" s="20">
        <f t="shared" ca="1" si="140"/>
        <v>-2.5192256695836617E-2</v>
      </c>
      <c r="DB131" s="20">
        <f t="shared" ca="1" si="141"/>
        <v>-1.3337077074266443E-2</v>
      </c>
      <c r="DC131" s="20">
        <f t="shared" ca="1" si="142"/>
        <v>-6.8706154625008953E-3</v>
      </c>
      <c r="DD131" s="20">
        <f t="shared" ca="1" si="143"/>
        <v>-3.4881586194235314E-3</v>
      </c>
      <c r="DE131" s="21">
        <f t="shared" ca="1" si="144"/>
        <v>3.4881586194235314E-3</v>
      </c>
      <c r="DF131" s="21">
        <f t="shared" ca="1" si="145"/>
        <v>6.8706154625008953E-3</v>
      </c>
      <c r="DG131" s="21">
        <f t="shared" ca="1" si="146"/>
        <v>1.3337077074266443E-2</v>
      </c>
      <c r="DH131" s="21">
        <f t="shared" ca="1" si="147"/>
        <v>2.5192256695836617E-2</v>
      </c>
      <c r="DI131" s="21">
        <f t="shared" ca="1" si="148"/>
        <v>4.5346062052505909E-2</v>
      </c>
      <c r="DJ131" s="21">
        <f t="shared" ca="1" si="149"/>
        <v>7.5576770087509848E-2</v>
      </c>
      <c r="DK131" s="21">
        <f t="shared" ca="1" si="150"/>
        <v>0.11336515513126477</v>
      </c>
      <c r="DM131" s="16" cm="1">
        <f t="array" aca="1" ref="DM131" ca="1">MAX(_xlfn._xlws.FILTER(CX131:DK131,CX131:DK131&lt;BV131))</f>
        <v>-3.4881586194235314E-3</v>
      </c>
      <c r="DN131" s="16" cm="1">
        <f t="array" aca="1" ref="DN131" ca="1">MIN(_xlfn._xlws.FILTER(CX131:DK131,CX131:DK131&gt;BV131))</f>
        <v>3.4881586194235314E-3</v>
      </c>
      <c r="DO131" s="2" cm="1">
        <f t="array" aca="1" ref="DO131" ca="1">_FV(ED131,"Fechamento anterior",TRUE)</f>
        <v>15.81</v>
      </c>
      <c r="DP131" s="28">
        <f t="shared" ca="1" si="106"/>
        <v>0.59066546822464006</v>
      </c>
      <c r="DQ131" s="15">
        <f t="shared" ca="1" si="151"/>
        <v>15.754852212226915</v>
      </c>
      <c r="DR131" s="15">
        <f t="shared" ca="1" si="152"/>
        <v>15.865147787773086</v>
      </c>
      <c r="DS131" s="9"/>
      <c r="DT131" s="9"/>
      <c r="DU131" s="9"/>
      <c r="DV131" s="89">
        <v>1.1855179621570174E-2</v>
      </c>
      <c r="DW131" s="89">
        <f t="shared" ca="1" si="107"/>
        <v>6.9763172388470629E-3</v>
      </c>
      <c r="DX131" s="72">
        <f t="shared" ca="1" si="108"/>
        <v>5.0901351126822376E-2</v>
      </c>
      <c r="DY131" s="37"/>
      <c r="DZ131" s="35">
        <f t="shared" si="118"/>
        <v>0.34380226875342174</v>
      </c>
      <c r="EA131" s="56"/>
      <c r="EB131" s="56"/>
      <c r="ED131" s="2" t="e" vm="130">
        <v>#VALUE!</v>
      </c>
      <c r="EF131" s="10" cm="1">
        <f t="array" aca="1" ref="EF131" ca="1">_FV(ED131,"Ações em circulação",TRUE)</f>
        <v>393096600</v>
      </c>
      <c r="EG131" s="18">
        <f>VLOOKUP(BQ131,Fundamentus!A:U,5,FALSE)</f>
        <v>0</v>
      </c>
      <c r="EH131" s="2" t="e">
        <f t="shared" ca="1" si="109"/>
        <v>#DIV/0!</v>
      </c>
      <c r="EI131" s="17" t="e">
        <v>#DIV/0!</v>
      </c>
      <c r="EJ131" s="17" t="e">
        <f t="shared" ca="1" si="110"/>
        <v>#DIV/0!</v>
      </c>
      <c r="EL131" s="16" t="e">
        <f t="shared" ref="EL131:EL194" ca="1" si="153">(EJ131/EI131)-1</f>
        <v>#DIV/0!</v>
      </c>
      <c r="EM131" s="32" t="str">
        <f>IF(VLOOKUP(BQ131,Fundamentus!A:U,3,FALSE)&lt;15,"Bom",IF(VLOOKUP(BQ131,Fundamentus!A:U,3,FALSE)&gt;15,"Ruim","n/a"))</f>
        <v>Bom</v>
      </c>
      <c r="EN131" s="28" t="str">
        <f>IF(VLOOKUP(BQ131,Fundamentus!A:U,4,FALSE)&lt;1,"Baixo",IF(VLOOKUP(BQ131,Fundamentus!A:U,4,FALSE)&lt;1.5,"Moderado",IF(VLOOKUP(BQ131,Fundamentus!A:U,4,FALSE)&gt;1.5,"Alto","n/a")))</f>
        <v>Baixo</v>
      </c>
      <c r="EO131" s="17" t="str">
        <f>IF(VLOOKUP(BQ131,Fundamentus!A:U,8,FALSE)&lt;0,"Risco elevado",IF(VLOOKUP(BQ131,Fundamentus!A:U,8,FALSE)&lt;1,"Saudável",IF(VLOOKUP(BQ131,Fundamentus!A:U,8,FALSE)&lt;3,"Estável",IF(VLOOKUP(BQ131,Fundamentus!A:U,8,FALSE)&gt;3,"Alerta","n/a"))))</f>
        <v>Alerta</v>
      </c>
      <c r="EP131" s="28" t="str">
        <f t="shared" si="111"/>
        <v>Ruim</v>
      </c>
      <c r="EQ131" s="17" t="str">
        <f>IF(VLOOKUP(BQ131,Fundamentus!A:U,12,FALSE)&lt;2,"Subvalorizada",IF(VLOOKUP(BQ131,Fundamentus!A:U,12,FALSE)&lt;6,"Muita barata",IF(VLOOKUP(BQ131,Fundamentus!A:U,12,FALSE)&lt;6,"Barata",IF(VLOOKUP(BQ131,Fundamentus!A:U,12,FALSE)&lt;8,"Atrativa",IF(VLOOKUP(BQ131,Fundamentus!A:U,12,FALSE)&gt;8,"Supervalorizada","n/a")))))</f>
        <v>Subvalorizada</v>
      </c>
      <c r="ES131" s="17" t="str">
        <f>IF(VLOOKUP(BQ131,Fundamentus!A:U,17,FALSE)&lt;0.1,"Fraco retorno",IF(VLOOKUP(BQ131,Fundamentus!A:U,17,FALSE)&gt;0.1,"Bom retorno","n/a"))</f>
        <v>Bom retorno</v>
      </c>
      <c r="ET131" s="17" t="str">
        <f>IF(VLOOKUP(BQ131,Fundamentus!A:U,16,FALSE)&lt;0.1,"Ineficiente",IF(VLOOKUP(BQ131,Fundamentus!A:U,16,FALSE)&gt;0.1,"Eficiente","n/a"))</f>
        <v>Ineficiente</v>
      </c>
      <c r="EU131" s="33" t="str">
        <f>IF(VLOOKUP(BQ131,Fundamentus!A:U,16,FALSE)&lt;0.1,"Oper. Ineficiente",IF(VLOOKUP(BQ131,Fundamentus!A:U,16,FALSE)&gt;0.1,"Oper.Eficiente","n/a"))</f>
        <v>Oper. Ineficiente</v>
      </c>
      <c r="EV131" s="34">
        <f>VLOOKUP(BQ131,Fundamentus!A:U,14,FALSE)</f>
        <v>0</v>
      </c>
      <c r="EW131" s="17" t="str">
        <f>IF(VLOOKUP(BQ131,Fundamentus!A:U,21,FALSE)&lt;0,"Negativo",IF(VLOOKUP(BQ131,Fundamentus!A:U,21,FALSE)&lt;0.05,"Fraco",IF(VLOOKUP(BQ131,Fundamentus!A:U,21,FALSE)&lt;0.1,"Bom",IF(VLOOKUP(BQ131,Fundamentus!A:U,21,FALSE)&gt;0.1,"Muito bom","n/a"))))</f>
        <v>Fraco</v>
      </c>
      <c r="EY131" s="29" t="str">
        <f>IF(VLOOKUP(BQ131,Fundamentus!A:U,15,FALSE)&gt;1,"Bom",IF(VLOOKUP(BQ131,Fundamentus!A:U,15,FALSE)&lt;1,"Ruim","n/a"))</f>
        <v>Bom</v>
      </c>
      <c r="EZ131" s="17" t="str">
        <f>IF(VLOOKUP(BQ131,Fundamentus!A:U,20,FALSE)&lt;0.5,"Baixa",IF(VLOOKUP(BQ131,Fundamentus!A:U,20,FALSE)&lt;1,"Moderada",IF(VLOOKUP(BQ131,Fundamentus!A:U,20,FALSE)&lt;2,"Alerta",IF(VLOOKUP(BQ131,Fundamentus!A:U,20,FALSE)&gt;2,"Alta","n/a"))))</f>
        <v>Baixa</v>
      </c>
      <c r="FA131" s="10"/>
    </row>
    <row r="132" spans="1:157" s="2" customFormat="1" ht="11.25" hidden="1" x14ac:dyDescent="0.2">
      <c r="A132" s="4">
        <v>19.38</v>
      </c>
      <c r="B132" s="4">
        <v>19.329999999999998</v>
      </c>
      <c r="C132" s="4">
        <v>20.48</v>
      </c>
      <c r="D132" s="4">
        <v>20.54</v>
      </c>
      <c r="E132" s="4">
        <v>20.16</v>
      </c>
      <c r="F132" s="4">
        <v>19.72</v>
      </c>
      <c r="G132" s="4">
        <v>19.61</v>
      </c>
      <c r="H132" s="4">
        <v>20.65</v>
      </c>
      <c r="I132" s="4">
        <v>20.89</v>
      </c>
      <c r="J132" s="4">
        <v>20.69</v>
      </c>
      <c r="K132" s="4">
        <v>20.66</v>
      </c>
      <c r="L132" s="4">
        <v>20.32</v>
      </c>
      <c r="M132" s="4">
        <v>21.81</v>
      </c>
      <c r="N132" s="4">
        <v>21.01</v>
      </c>
      <c r="O132" s="4">
        <v>22.38</v>
      </c>
      <c r="P132" s="4">
        <v>22.99</v>
      </c>
      <c r="Q132" s="4">
        <v>23.53</v>
      </c>
      <c r="R132" s="4">
        <v>23.72</v>
      </c>
      <c r="S132" s="4">
        <v>24.8</v>
      </c>
      <c r="T132" s="4">
        <v>25.44</v>
      </c>
      <c r="U132" s="4">
        <v>24.89</v>
      </c>
      <c r="V132" s="4">
        <v>22.67</v>
      </c>
      <c r="W132" s="4">
        <v>22.83</v>
      </c>
      <c r="X132" s="4">
        <v>21.91</v>
      </c>
      <c r="Y132" s="4">
        <v>23.39</v>
      </c>
      <c r="Z132" s="4">
        <v>22.55</v>
      </c>
      <c r="AA132" s="4">
        <v>23.29</v>
      </c>
      <c r="AB132" s="4">
        <v>23.29</v>
      </c>
      <c r="AC132" s="4">
        <v>24.64</v>
      </c>
      <c r="AD132" s="4">
        <v>25.22</v>
      </c>
      <c r="AE132" s="4">
        <v>25.38</v>
      </c>
      <c r="AF132" s="4">
        <v>24.75</v>
      </c>
      <c r="AG132" s="4">
        <v>22.7</v>
      </c>
      <c r="AH132" s="4">
        <v>21.07</v>
      </c>
      <c r="AI132" s="4">
        <v>20.239999999999998</v>
      </c>
      <c r="AJ132" s="4">
        <v>20.8</v>
      </c>
      <c r="AK132" s="4">
        <v>21.51</v>
      </c>
      <c r="AL132" s="4">
        <v>21.72</v>
      </c>
      <c r="AM132" s="4">
        <v>21.48</v>
      </c>
      <c r="AN132" s="4">
        <v>22.38</v>
      </c>
      <c r="AO132" s="4">
        <v>23.26</v>
      </c>
      <c r="AP132" s="4">
        <v>24.52</v>
      </c>
      <c r="AQ132" s="4">
        <v>23.2</v>
      </c>
      <c r="AR132" s="4">
        <v>23.27</v>
      </c>
      <c r="AS132" s="4">
        <v>22.84</v>
      </c>
      <c r="AT132" s="4">
        <v>24</v>
      </c>
      <c r="AU132" s="4">
        <v>23.934999999999999</v>
      </c>
      <c r="AV132" s="4">
        <v>20.399999999999999</v>
      </c>
      <c r="AW132" s="4">
        <v>19.63</v>
      </c>
      <c r="AX132" s="4">
        <v>19.75</v>
      </c>
      <c r="AY132" s="12">
        <v>20.010000000000002</v>
      </c>
      <c r="AZ132" s="12">
        <v>21.24</v>
      </c>
      <c r="BA132" s="12">
        <v>21.44</v>
      </c>
      <c r="BB132" s="15">
        <v>21.04</v>
      </c>
      <c r="BC132" s="52">
        <v>22.31</v>
      </c>
      <c r="BD132" s="52">
        <v>24.28</v>
      </c>
      <c r="BE132" s="52">
        <v>23.88</v>
      </c>
      <c r="BF132" s="52">
        <v>24.29</v>
      </c>
      <c r="BG132" s="67">
        <v>26.52</v>
      </c>
      <c r="BH132" s="52">
        <v>27.51</v>
      </c>
      <c r="BI132" s="52">
        <v>27.75</v>
      </c>
      <c r="BJ132" s="52">
        <v>28.64</v>
      </c>
      <c r="BK132" s="52">
        <v>27.28</v>
      </c>
      <c r="BL132" s="52">
        <v>26.12</v>
      </c>
      <c r="BM132" s="52">
        <v>25.46</v>
      </c>
      <c r="BN132" s="52">
        <v>25.83</v>
      </c>
      <c r="BO132" s="52">
        <v>25.2</v>
      </c>
      <c r="BP132" s="52" cm="1">
        <f t="array" aca="1" ref="BP132" ca="1">_FV(ED132,"Preço")</f>
        <v>26.73</v>
      </c>
      <c r="BQ132" s="66" t="s">
        <v>128</v>
      </c>
      <c r="BR132" s="36" cm="1">
        <f t="array" aca="1" ref="BR132" ca="1">_FV(ED132,"Média de volume",TRUE)</f>
        <v>2834510</v>
      </c>
      <c r="BS132" s="36">
        <v>3006500</v>
      </c>
      <c r="BT132" s="36" cm="1">
        <f t="array" aca="1" ref="BT132" ca="1">_FV(ED132,"Volume")</f>
        <v>2330600</v>
      </c>
      <c r="BU132" s="24" cm="1">
        <f t="array" aca="1" ref="BU132" ca="1">_FV(ED132,"Beta")</f>
        <v>0.89080000000000004</v>
      </c>
      <c r="BV132" s="71" cm="1">
        <f t="array" aca="1" ref="BV132" ca="1">_FV(ED132,"Variação (%)",TRUE)</f>
        <v>-1.183E-2</v>
      </c>
      <c r="BX132" s="17" cm="1">
        <f t="array" aca="1" ref="BX132" ca="1">_FV(ED132,"Baixo")</f>
        <v>26.65</v>
      </c>
      <c r="BY132" s="17" cm="1">
        <f t="array" aca="1" ref="BY132" ca="1">_FV(ED132,"Alto")</f>
        <v>27.23</v>
      </c>
      <c r="BZ132" s="24"/>
      <c r="CA132" s="63">
        <f ca="1">SQRT(22.5*(BP132/VLOOKUP(BQ132,Fundamentus!A:U,3,FALSE))*(BP132/VLOOKUP(BQ132,Fundamentus!A:U,4,FALSE)))</f>
        <v>43.990903786984902</v>
      </c>
      <c r="CC132" s="62">
        <f t="shared" ca="1" si="112"/>
        <v>6.0714285714285762E-2</v>
      </c>
      <c r="CD132" s="8"/>
      <c r="CE132" s="61">
        <f t="shared" si="113"/>
        <v>19.329999999999998</v>
      </c>
      <c r="CF132" s="61">
        <f t="shared" si="114"/>
        <v>28.64</v>
      </c>
      <c r="CG132" s="61">
        <f t="shared" si="115"/>
        <v>22.812313432835822</v>
      </c>
      <c r="CH132" s="14"/>
      <c r="CI132" s="35">
        <f t="shared" si="98"/>
        <v>23.6097650710004</v>
      </c>
      <c r="CJ132" s="15">
        <f t="shared" si="116"/>
        <v>25.054999999999836</v>
      </c>
      <c r="CK132" s="35">
        <f t="shared" si="99"/>
        <v>26.500234928999273</v>
      </c>
      <c r="CM132" s="14"/>
      <c r="CN132" s="17">
        <f t="shared" si="100"/>
        <v>10.829999999999998</v>
      </c>
      <c r="CO132" s="17">
        <f t="shared" si="101"/>
        <v>15.079999999999998</v>
      </c>
      <c r="CP132" s="17">
        <f t="shared" si="102"/>
        <v>20.14</v>
      </c>
      <c r="CQ132" s="38">
        <f t="shared" si="117"/>
        <v>24.39</v>
      </c>
      <c r="CR132" s="17">
        <f t="shared" si="103"/>
        <v>29.450000000000003</v>
      </c>
      <c r="CS132" s="17">
        <f t="shared" si="104"/>
        <v>33.700000000000003</v>
      </c>
      <c r="CT132" s="17">
        <f t="shared" si="105"/>
        <v>38.760000000000005</v>
      </c>
      <c r="CU132" s="2" cm="1">
        <f t="array" aca="1" ref="CU132" ca="1">MAX(_xlfn._xlws.FILTER(CN132:CT132,CN132:CT132&lt;BP132))</f>
        <v>24.39</v>
      </c>
      <c r="CV132" s="2" cm="1">
        <f t="array" aca="1" ref="CV132" ca="1">MIN(_xlfn._xlws.FILTER($CN132:$CT132,$CN132:$CT132&gt;BP132))</f>
        <v>29.450000000000003</v>
      </c>
      <c r="CW132" s="16">
        <f t="shared" ca="1" si="136"/>
        <v>0.20746207462074628</v>
      </c>
      <c r="CX132" s="20">
        <f t="shared" ca="1" si="137"/>
        <v>-0.10373103731037314</v>
      </c>
      <c r="CY132" s="20">
        <f t="shared" ca="1" si="138"/>
        <v>-6.915402487358209E-2</v>
      </c>
      <c r="CZ132" s="20">
        <f t="shared" ca="1" si="139"/>
        <v>-4.1492414924149255E-2</v>
      </c>
      <c r="DA132" s="20">
        <f t="shared" ca="1" si="140"/>
        <v>-2.3051341624527363E-2</v>
      </c>
      <c r="DB132" s="20">
        <f t="shared" ca="1" si="141"/>
        <v>-1.2203651448279193E-2</v>
      </c>
      <c r="DC132" s="20">
        <f t="shared" ca="1" si="142"/>
        <v>-6.2867295339620087E-3</v>
      </c>
      <c r="DD132" s="20">
        <f t="shared" ca="1" si="143"/>
        <v>-3.1917242249345583E-3</v>
      </c>
      <c r="DE132" s="21">
        <f t="shared" ca="1" si="144"/>
        <v>3.1917242249345583E-3</v>
      </c>
      <c r="DF132" s="21">
        <f t="shared" ca="1" si="145"/>
        <v>6.2867295339620087E-3</v>
      </c>
      <c r="DG132" s="21">
        <f t="shared" ca="1" si="146"/>
        <v>1.2203651448279193E-2</v>
      </c>
      <c r="DH132" s="21">
        <f t="shared" ca="1" si="147"/>
        <v>2.3051341624527363E-2</v>
      </c>
      <c r="DI132" s="21">
        <f t="shared" ca="1" si="148"/>
        <v>4.1492414924149255E-2</v>
      </c>
      <c r="DJ132" s="21">
        <f t="shared" ca="1" si="149"/>
        <v>6.915402487358209E-2</v>
      </c>
      <c r="DK132" s="21">
        <f t="shared" ca="1" si="150"/>
        <v>0.10373103731037314</v>
      </c>
      <c r="DM132" s="16" cm="1">
        <f t="array" aca="1" ref="DM132" ca="1">MAX(_xlfn._xlws.FILTER(CX132:DK132,CX132:DK132&lt;BV132))</f>
        <v>-1.2203651448279193E-2</v>
      </c>
      <c r="DN132" s="16" cm="1">
        <f t="array" aca="1" ref="DN132" ca="1">MIN(_xlfn._xlws.FILTER(CX132:DK132,CX132:DK132&gt;BV132))</f>
        <v>-6.2867295339620087E-3</v>
      </c>
      <c r="DO132" s="2" cm="1">
        <f t="array" aca="1" ref="DO132" ca="1">_FV(ED132,"Fechamento anterior",TRUE)</f>
        <v>27.05</v>
      </c>
      <c r="DP132" s="28">
        <f t="shared" ca="1" si="106"/>
        <v>6.3159005063088844E-2</v>
      </c>
      <c r="DQ132" s="15">
        <f t="shared" ca="1" si="151"/>
        <v>26.719891228324048</v>
      </c>
      <c r="DR132" s="15">
        <f t="shared" ca="1" si="152"/>
        <v>26.879943966106328</v>
      </c>
      <c r="DS132" s="9"/>
      <c r="DT132" s="9"/>
      <c r="DU132" s="9"/>
      <c r="DV132" s="89">
        <v>3.0950053090274504E-3</v>
      </c>
      <c r="DW132" s="89">
        <f t="shared" ca="1" si="107"/>
        <v>5.9169219143171839E-3</v>
      </c>
      <c r="DX132" s="72">
        <f t="shared" ca="1" si="108"/>
        <v>1.1589811223008555</v>
      </c>
      <c r="DY132" s="37"/>
      <c r="DZ132" s="35">
        <f t="shared" si="118"/>
        <v>0.72261746449971775</v>
      </c>
      <c r="EA132" s="56"/>
      <c r="EB132" s="56"/>
      <c r="ED132" s="2" t="e" vm="131">
        <v>#VALUE!</v>
      </c>
      <c r="EF132" s="10" cm="1">
        <f t="array" aca="1" ref="EF132" ca="1">_FV(ED132,"Ações em circulação",TRUE)</f>
        <v>380253100</v>
      </c>
      <c r="EG132" s="18">
        <f>VLOOKUP(BQ132,Fundamentus!A:U,5,FALSE)</f>
        <v>1.216</v>
      </c>
      <c r="EH132" s="2">
        <f t="shared" ca="1" si="109"/>
        <v>8358688620.8881578</v>
      </c>
      <c r="EI132" s="17">
        <v>1360130315.3881578</v>
      </c>
      <c r="EJ132" s="17">
        <f t="shared" ca="1" si="110"/>
        <v>1442709655.965296</v>
      </c>
      <c r="EL132" s="16">
        <f t="shared" ca="1" si="153"/>
        <v>6.0714285714285721E-2</v>
      </c>
      <c r="EM132" s="32" t="str">
        <f>IF(VLOOKUP(BQ132,Fundamentus!A:U,3,FALSE)&lt;15,"Bom",IF(VLOOKUP(BQ132,Fundamentus!A:U,3,FALSE)&gt;15,"Ruim","n/a"))</f>
        <v>Bom</v>
      </c>
      <c r="EN132" s="28" t="str">
        <f>IF(VLOOKUP(BQ132,Fundamentus!A:U,4,FALSE)&lt;1,"Baixo",IF(VLOOKUP(BQ132,Fundamentus!A:U,4,FALSE)&lt;1.5,"Moderado",IF(VLOOKUP(BQ132,Fundamentus!A:U,4,FALSE)&gt;1.5,"Alto","n/a")))</f>
        <v>Moderado</v>
      </c>
      <c r="EO132" s="17" t="str">
        <f>IF(VLOOKUP(BQ132,Fundamentus!A:U,8,FALSE)&lt;0,"Risco elevado",IF(VLOOKUP(BQ132,Fundamentus!A:U,8,FALSE)&lt;1,"Saudável",IF(VLOOKUP(BQ132,Fundamentus!A:U,8,FALSE)&lt;3,"Estável",IF(VLOOKUP(BQ132,Fundamentus!A:U,8,FALSE)&gt;3,"Alerta","n/a"))))</f>
        <v>Alerta</v>
      </c>
      <c r="EP132" s="28" t="str">
        <f t="shared" si="111"/>
        <v>Bom</v>
      </c>
      <c r="EQ132" s="17" t="str">
        <f>IF(VLOOKUP(BQ132,Fundamentus!A:U,12,FALSE)&lt;2,"Subvalorizada",IF(VLOOKUP(BQ132,Fundamentus!A:U,12,FALSE)&lt;6,"Muita barata",IF(VLOOKUP(BQ132,Fundamentus!A:U,12,FALSE)&lt;6,"Barata",IF(VLOOKUP(BQ132,Fundamentus!A:U,12,FALSE)&lt;8,"Atrativa",IF(VLOOKUP(BQ132,Fundamentus!A:U,12,FALSE)&gt;8,"Supervalorizada","n/a")))))</f>
        <v>Muita barata</v>
      </c>
      <c r="ES132" s="17" t="str">
        <f>IF(VLOOKUP(BQ132,Fundamentus!A:U,17,FALSE)&lt;0.1,"Fraco retorno",IF(VLOOKUP(BQ132,Fundamentus!A:U,17,FALSE)&gt;0.1,"Bom retorno","n/a"))</f>
        <v>Bom retorno</v>
      </c>
      <c r="ET132" s="17" t="str">
        <f>IF(VLOOKUP(BQ132,Fundamentus!A:U,16,FALSE)&lt;0.1,"Ineficiente",IF(VLOOKUP(BQ132,Fundamentus!A:U,16,FALSE)&gt;0.1,"Eficiente","n/a"))</f>
        <v>Eficiente</v>
      </c>
      <c r="EU132" s="33" t="str">
        <f>IF(VLOOKUP(BQ132,Fundamentus!A:U,16,FALSE)&lt;0.1,"Oper. Ineficiente",IF(VLOOKUP(BQ132,Fundamentus!A:U,16,FALSE)&gt;0.1,"Oper.Eficiente","n/a"))</f>
        <v>Oper.Eficiente</v>
      </c>
      <c r="EV132" s="34">
        <f>VLOOKUP(BQ132,Fundamentus!A:U,14,FALSE)</f>
        <v>0.1726</v>
      </c>
      <c r="EW132" s="17" t="str">
        <f>IF(VLOOKUP(BQ132,Fundamentus!A:U,21,FALSE)&lt;0,"Negativo",IF(VLOOKUP(BQ132,Fundamentus!A:U,21,FALSE)&lt;0.05,"Fraco",IF(VLOOKUP(BQ132,Fundamentus!A:U,21,FALSE)&lt;0.1,"Bom",IF(VLOOKUP(BQ132,Fundamentus!A:U,21,FALSE)&gt;0.1,"Muito bom","n/a"))))</f>
        <v>Muito bom</v>
      </c>
      <c r="EY132" s="29" t="str">
        <f>IF(VLOOKUP(BQ132,Fundamentus!A:U,15,FALSE)&gt;1,"Bom",IF(VLOOKUP(BQ132,Fundamentus!A:U,15,FALSE)&lt;1,"Ruim","n/a"))</f>
        <v>Bom</v>
      </c>
      <c r="EZ132" s="17" t="str">
        <f>IF(VLOOKUP(BQ132,Fundamentus!A:U,20,FALSE)&lt;0.5,"Baixa",IF(VLOOKUP(BQ132,Fundamentus!A:U,20,FALSE)&lt;1,"Moderada",IF(VLOOKUP(BQ132,Fundamentus!A:U,20,FALSE)&lt;2,"Alerta",IF(VLOOKUP(BQ132,Fundamentus!A:U,20,FALSE)&gt;2,"Alta","n/a"))))</f>
        <v>Moderada</v>
      </c>
      <c r="FA132" s="10"/>
    </row>
    <row r="133" spans="1:157" s="2" customFormat="1" ht="11.25" hidden="1" x14ac:dyDescent="0.2">
      <c r="A133" s="4">
        <v>49.88</v>
      </c>
      <c r="B133" s="4">
        <v>49.55</v>
      </c>
      <c r="C133" s="4">
        <v>48.4</v>
      </c>
      <c r="D133" s="4">
        <v>45.06</v>
      </c>
      <c r="E133" s="4">
        <v>42.7</v>
      </c>
      <c r="F133" s="4">
        <v>42.75</v>
      </c>
      <c r="G133" s="4">
        <v>40.42</v>
      </c>
      <c r="H133" s="4">
        <v>41.7</v>
      </c>
      <c r="I133" s="4">
        <v>41.76</v>
      </c>
      <c r="J133" s="4">
        <v>43.74</v>
      </c>
      <c r="K133" s="4">
        <v>46.7</v>
      </c>
      <c r="L133" s="4">
        <v>43.41</v>
      </c>
      <c r="M133" s="4">
        <v>43.93</v>
      </c>
      <c r="N133" s="4">
        <v>45.08</v>
      </c>
      <c r="O133" s="4">
        <v>48.85</v>
      </c>
      <c r="P133" s="4">
        <v>42.6</v>
      </c>
      <c r="Q133" s="4">
        <v>42.3</v>
      </c>
      <c r="R133" s="4">
        <v>41.37</v>
      </c>
      <c r="S133" s="4">
        <v>42.02</v>
      </c>
      <c r="T133" s="4">
        <v>44.2</v>
      </c>
      <c r="U133" s="4">
        <v>43</v>
      </c>
      <c r="V133" s="4">
        <v>41.37</v>
      </c>
      <c r="W133" s="4">
        <v>41.9</v>
      </c>
      <c r="X133" s="4">
        <v>41.58</v>
      </c>
      <c r="Y133" s="4">
        <v>42.16</v>
      </c>
      <c r="Z133" s="4">
        <v>42.13</v>
      </c>
      <c r="AA133" s="4">
        <v>40.76</v>
      </c>
      <c r="AB133" s="4">
        <v>40.9</v>
      </c>
      <c r="AC133" s="4">
        <v>44.73</v>
      </c>
      <c r="AD133" s="4">
        <v>44.2</v>
      </c>
      <c r="AE133" s="4">
        <v>37.700000000000003</v>
      </c>
      <c r="AF133" s="4">
        <v>34.82</v>
      </c>
      <c r="AG133" s="4">
        <v>32.229999999999997</v>
      </c>
      <c r="AH133" s="4">
        <v>32.880000000000003</v>
      </c>
      <c r="AI133" s="4">
        <v>32.5</v>
      </c>
      <c r="AJ133" s="4">
        <v>32.28</v>
      </c>
      <c r="AK133" s="4">
        <v>28.87</v>
      </c>
      <c r="AL133" s="4">
        <v>30.44</v>
      </c>
      <c r="AM133" s="4">
        <v>30.32</v>
      </c>
      <c r="AN133" s="4">
        <v>30.87</v>
      </c>
      <c r="AO133" s="4">
        <v>29.94</v>
      </c>
      <c r="AP133" s="4">
        <v>31.61</v>
      </c>
      <c r="AQ133" s="4">
        <v>29.24</v>
      </c>
      <c r="AR133" s="4">
        <v>28.1</v>
      </c>
      <c r="AS133" s="4">
        <v>29.82</v>
      </c>
      <c r="AT133" s="4">
        <v>32.85</v>
      </c>
      <c r="AU133" s="4">
        <v>33.344999999999999</v>
      </c>
      <c r="AV133" s="4">
        <v>34.479999999999997</v>
      </c>
      <c r="AW133" s="4">
        <v>36.1</v>
      </c>
      <c r="AX133" s="4">
        <v>38.57</v>
      </c>
      <c r="AY133" s="12">
        <v>40.25</v>
      </c>
      <c r="AZ133" s="12">
        <v>42.81</v>
      </c>
      <c r="BA133" s="12">
        <v>42.96</v>
      </c>
      <c r="BB133" s="15">
        <v>43.9</v>
      </c>
      <c r="BC133" s="52">
        <v>40.75</v>
      </c>
      <c r="BD133" s="52">
        <v>40.590000000000003</v>
      </c>
      <c r="BE133" s="52">
        <v>42.96</v>
      </c>
      <c r="BF133" s="52">
        <v>43.8</v>
      </c>
      <c r="BG133" s="67">
        <v>44.02</v>
      </c>
      <c r="BH133" s="52">
        <v>43.26</v>
      </c>
      <c r="BI133" s="52">
        <v>40.549999999999997</v>
      </c>
      <c r="BJ133" s="52">
        <v>39.18</v>
      </c>
      <c r="BK133" s="52">
        <v>36.659999999999997</v>
      </c>
      <c r="BL133" s="52">
        <v>35.799999999999997</v>
      </c>
      <c r="BM133" s="52">
        <v>36.18</v>
      </c>
      <c r="BN133" s="52">
        <v>34.369999999999997</v>
      </c>
      <c r="BO133" s="52">
        <v>35.4</v>
      </c>
      <c r="BP133" s="52" cm="1">
        <f t="array" aca="1" ref="BP133" ca="1">_FV(ED133,"Preço")</f>
        <v>34.22</v>
      </c>
      <c r="BQ133" s="69" t="s">
        <v>129</v>
      </c>
      <c r="BR133" s="36" cm="1">
        <f t="array" aca="1" ref="BR133" ca="1">_FV(ED133,"Média de volume",TRUE)</f>
        <v>9944190</v>
      </c>
      <c r="BS133" s="36">
        <v>11062900</v>
      </c>
      <c r="BT133" s="36" cm="1">
        <f t="array" aca="1" ref="BT133" ca="1">_FV(ED133,"Volume")</f>
        <v>9977200</v>
      </c>
      <c r="BU133" s="24" cm="1">
        <f t="array" aca="1" ref="BU133" ca="1">_FV(ED133,"Beta")</f>
        <v>1.2023999999999999</v>
      </c>
      <c r="BV133" s="71" cm="1">
        <f t="array" aca="1" ref="BV133" ca="1">_FV(ED133,"Variação (%)",TRUE)</f>
        <v>-5.2329999999999998E-3</v>
      </c>
      <c r="BX133" s="17" cm="1">
        <f t="array" aca="1" ref="BX133" ca="1">_FV(ED133,"Baixo")</f>
        <v>33.89</v>
      </c>
      <c r="BY133" s="17" cm="1">
        <f t="array" aca="1" ref="BY133" ca="1">_FV(ED133,"Alto")</f>
        <v>34.840000000000003</v>
      </c>
      <c r="BZ133" s="24"/>
      <c r="CA133" s="63">
        <f ca="1">SQRT(22.5*(BP133/VLOOKUP(BQ133,Fundamentus!A:U,3,FALSE))*(BP133/VLOOKUP(BQ133,Fundamentus!A:U,4,FALSE)))</f>
        <v>29.541008857053747</v>
      </c>
      <c r="CC133" s="62">
        <f t="shared" ca="1" si="112"/>
        <v>-3.3333333333333326E-2</v>
      </c>
      <c r="CD133" s="8"/>
      <c r="CE133" s="61">
        <f t="shared" si="113"/>
        <v>28.1</v>
      </c>
      <c r="CF133" s="61">
        <f t="shared" si="114"/>
        <v>49.88</v>
      </c>
      <c r="CG133" s="61">
        <f t="shared" si="115"/>
        <v>39.396343283582091</v>
      </c>
      <c r="CH133" s="14"/>
      <c r="CI133" s="35">
        <f t="shared" si="98"/>
        <v>33.130836559431351</v>
      </c>
      <c r="CJ133" s="15">
        <f t="shared" si="116"/>
        <v>34.684999999999945</v>
      </c>
      <c r="CK133" s="35">
        <f t="shared" si="99"/>
        <v>36.239163440568539</v>
      </c>
      <c r="CM133" s="14"/>
      <c r="CN133" s="17">
        <f t="shared" si="100"/>
        <v>3.9266666666666552</v>
      </c>
      <c r="CO133" s="17">
        <f t="shared" si="101"/>
        <v>16.013333333333328</v>
      </c>
      <c r="CP133" s="17">
        <f t="shared" si="102"/>
        <v>25.706666666666656</v>
      </c>
      <c r="CQ133" s="38">
        <f t="shared" si="117"/>
        <v>37.793333333333329</v>
      </c>
      <c r="CR133" s="17">
        <f t="shared" si="103"/>
        <v>47.486666666666657</v>
      </c>
      <c r="CS133" s="17">
        <f t="shared" si="104"/>
        <v>59.573333333333331</v>
      </c>
      <c r="CT133" s="17">
        <f t="shared" si="105"/>
        <v>69.266666666666652</v>
      </c>
      <c r="CU133" s="2" cm="1">
        <f t="array" aca="1" ref="CU133" ca="1">MAX(_xlfn._xlws.FILTER(CN133:CT133,CN133:CT133&lt;BP133))</f>
        <v>25.706666666666656</v>
      </c>
      <c r="CV133" s="2" cm="1">
        <f t="array" aca="1" ref="CV133" ca="1">MIN(_xlfn._xlws.FILTER($CN133:$CT133,$CN133:$CT133&gt;BP133))</f>
        <v>37.793333333333329</v>
      </c>
      <c r="CW133" s="16">
        <f t="shared" ca="1" si="136"/>
        <v>0.47017634854771839</v>
      </c>
      <c r="CX133" s="20">
        <f t="shared" ca="1" si="137"/>
        <v>-0.2350881742738592</v>
      </c>
      <c r="CY133" s="20">
        <f t="shared" ca="1" si="138"/>
        <v>-0.15672544951590614</v>
      </c>
      <c r="CZ133" s="20">
        <f t="shared" ca="1" si="139"/>
        <v>-9.4035269709543678E-2</v>
      </c>
      <c r="DA133" s="20">
        <f t="shared" ca="1" si="140"/>
        <v>-5.2241816505302047E-2</v>
      </c>
      <c r="DB133" s="20">
        <f t="shared" ca="1" si="141"/>
        <v>-2.7657432267512848E-2</v>
      </c>
      <c r="DC133" s="20">
        <f t="shared" ca="1" si="142"/>
        <v>-1.4247768137809648E-2</v>
      </c>
      <c r="DD133" s="20">
        <f t="shared" ca="1" si="143"/>
        <v>-7.2334822853495134E-3</v>
      </c>
      <c r="DE133" s="21">
        <f t="shared" ca="1" si="144"/>
        <v>7.2334822853495134E-3</v>
      </c>
      <c r="DF133" s="21">
        <f t="shared" ca="1" si="145"/>
        <v>1.4247768137809648E-2</v>
      </c>
      <c r="DG133" s="21">
        <f t="shared" ca="1" si="146"/>
        <v>2.7657432267512848E-2</v>
      </c>
      <c r="DH133" s="21">
        <f t="shared" ca="1" si="147"/>
        <v>5.2241816505302047E-2</v>
      </c>
      <c r="DI133" s="21">
        <f t="shared" ca="1" si="148"/>
        <v>9.4035269709543678E-2</v>
      </c>
      <c r="DJ133" s="21">
        <f t="shared" ca="1" si="149"/>
        <v>0.15672544951590614</v>
      </c>
      <c r="DK133" s="21">
        <f t="shared" ca="1" si="150"/>
        <v>0.2350881742738592</v>
      </c>
      <c r="DM133" s="16" cm="1">
        <f t="array" aca="1" ref="DM133" ca="1">MAX(_xlfn._xlws.FILTER(CX133:DK133,CX133:DK133&lt;BV133))</f>
        <v>-7.2334822853495134E-3</v>
      </c>
      <c r="DN133" s="16" cm="1">
        <f t="array" aca="1" ref="DN133" ca="1">MIN(_xlfn._xlws.FILTER(CX133:DK133,CX133:DK133&gt;BV133))</f>
        <v>7.2334822853495134E-3</v>
      </c>
      <c r="DO133" s="2" cm="1">
        <f t="array" aca="1" ref="DO133" ca="1">_FV(ED133,"Fechamento anterior",TRUE)</f>
        <v>34.4</v>
      </c>
      <c r="DP133" s="28">
        <f t="shared" ca="1" si="106"/>
        <v>0.13830988083479887</v>
      </c>
      <c r="DQ133" s="15">
        <f t="shared" ca="1" si="151"/>
        <v>34.151168209383975</v>
      </c>
      <c r="DR133" s="15">
        <f t="shared" ca="1" si="152"/>
        <v>34.648831790616022</v>
      </c>
      <c r="DS133" s="9"/>
      <c r="DT133" s="9"/>
      <c r="DU133" s="9"/>
      <c r="DV133" s="89">
        <v>1.4466964570699027E-2</v>
      </c>
      <c r="DW133" s="89">
        <f t="shared" ca="1" si="107"/>
        <v>1.4466964570699027E-2</v>
      </c>
      <c r="DX133" s="72">
        <f t="shared" ca="1" si="108"/>
        <v>-0.29919633151956354</v>
      </c>
      <c r="DY133" s="37"/>
      <c r="DZ133" s="35">
        <f t="shared" si="118"/>
        <v>0.77708172028429545</v>
      </c>
      <c r="EA133" s="56"/>
      <c r="EB133" s="56"/>
      <c r="ED133" s="2" t="e" vm="132">
        <v>#VALUE!</v>
      </c>
      <c r="EF133" s="10" cm="1">
        <f t="array" aca="1" ref="EF133" ca="1">_FV(ED133,"Ações em circulação",TRUE)</f>
        <v>1082621000</v>
      </c>
      <c r="EG133" s="18">
        <f>VLOOKUP(BQ133,Fundamentus!A:U,5,FALSE)</f>
        <v>1.0129999999999999</v>
      </c>
      <c r="EH133" s="2">
        <f t="shared" ca="1" si="109"/>
        <v>36571856485.686081</v>
      </c>
      <c r="EI133" s="17">
        <v>1876514567.2655482</v>
      </c>
      <c r="EJ133" s="17">
        <f t="shared" ca="1" si="110"/>
        <v>1813964081.6900296</v>
      </c>
      <c r="EL133" s="16">
        <f t="shared" ca="1" si="153"/>
        <v>-3.3333333333333548E-2</v>
      </c>
      <c r="EM133" s="32" t="str">
        <f>IF(VLOOKUP(BQ133,Fundamentus!A:U,3,FALSE)&lt;15,"Bom",IF(VLOOKUP(BQ133,Fundamentus!A:U,3,FALSE)&gt;15,"Ruim","n/a"))</f>
        <v>Ruim</v>
      </c>
      <c r="EN133" s="28" t="str">
        <f>IF(VLOOKUP(BQ133,Fundamentus!A:U,4,FALSE)&lt;1,"Baixo",IF(VLOOKUP(BQ133,Fundamentus!A:U,4,FALSE)&lt;1.5,"Moderado",IF(VLOOKUP(BQ133,Fundamentus!A:U,4,FALSE)&gt;1.5,"Alto","n/a")))</f>
        <v>Moderado</v>
      </c>
      <c r="EO133" s="17" t="str">
        <f>IF(VLOOKUP(BQ133,Fundamentus!A:U,8,FALSE)&lt;0,"Risco elevado",IF(VLOOKUP(BQ133,Fundamentus!A:U,8,FALSE)&lt;1,"Saudável",IF(VLOOKUP(BQ133,Fundamentus!A:U,8,FALSE)&lt;3,"Estável",IF(VLOOKUP(BQ133,Fundamentus!A:U,8,FALSE)&gt;3,"Alerta","n/a"))))</f>
        <v>Alerta</v>
      </c>
      <c r="EP133" s="28" t="str">
        <f t="shared" si="111"/>
        <v>Bom</v>
      </c>
      <c r="EQ133" s="17" t="str">
        <f>IF(VLOOKUP(BQ133,Fundamentus!A:U,12,FALSE)&lt;2,"Subvalorizada",IF(VLOOKUP(BQ133,Fundamentus!A:U,12,FALSE)&lt;6,"Muita barata",IF(VLOOKUP(BQ133,Fundamentus!A:U,12,FALSE)&lt;6,"Barata",IF(VLOOKUP(BQ133,Fundamentus!A:U,12,FALSE)&lt;8,"Atrativa",IF(VLOOKUP(BQ133,Fundamentus!A:U,12,FALSE)&gt;8,"Supervalorizada","n/a")))))</f>
        <v>Muita barata</v>
      </c>
      <c r="ES133" s="17" t="str">
        <f>IF(VLOOKUP(BQ133,Fundamentus!A:U,17,FALSE)&lt;0.1,"Fraco retorno",IF(VLOOKUP(BQ133,Fundamentus!A:U,17,FALSE)&gt;0.1,"Bom retorno","n/a"))</f>
        <v>Fraco retorno</v>
      </c>
      <c r="ET133" s="17" t="str">
        <f>IF(VLOOKUP(BQ133,Fundamentus!A:U,16,FALSE)&lt;0.1,"Ineficiente",IF(VLOOKUP(BQ133,Fundamentus!A:U,16,FALSE)&gt;0.1,"Eficiente","n/a"))</f>
        <v>Ineficiente</v>
      </c>
      <c r="EU133" s="33" t="str">
        <f>IF(VLOOKUP(BQ133,Fundamentus!A:U,16,FALSE)&lt;0.1,"Oper. Ineficiente",IF(VLOOKUP(BQ133,Fundamentus!A:U,16,FALSE)&gt;0.1,"Oper.Eficiente","n/a"))</f>
        <v>Oper. Ineficiente</v>
      </c>
      <c r="EV133" s="34">
        <f>VLOOKUP(BQ133,Fundamentus!A:U,14,FALSE)</f>
        <v>4.9599999999999998E-2</v>
      </c>
      <c r="EW133" s="17" t="str">
        <f>IF(VLOOKUP(BQ133,Fundamentus!A:U,21,FALSE)&lt;0,"Negativo",IF(VLOOKUP(BQ133,Fundamentus!A:U,21,FALSE)&lt;0.05,"Fraco",IF(VLOOKUP(BQ133,Fundamentus!A:U,21,FALSE)&lt;0.1,"Bom",IF(VLOOKUP(BQ133,Fundamentus!A:U,21,FALSE)&gt;0.1,"Muito bom","n/a"))))</f>
        <v>Muito bom</v>
      </c>
      <c r="EY133" s="29" t="str">
        <f>IF(VLOOKUP(BQ133,Fundamentus!A:U,15,FALSE)&gt;1,"Bom",IF(VLOOKUP(BQ133,Fundamentus!A:U,15,FALSE)&lt;1,"Ruim","n/a"))</f>
        <v>Bom</v>
      </c>
      <c r="EZ133" s="17" t="str">
        <f>IF(VLOOKUP(BQ133,Fundamentus!A:U,20,FALSE)&lt;0.5,"Baixa",IF(VLOOKUP(BQ133,Fundamentus!A:U,20,FALSE)&lt;1,"Moderada",IF(VLOOKUP(BQ133,Fundamentus!A:U,20,FALSE)&lt;2,"Alerta",IF(VLOOKUP(BQ133,Fundamentus!A:U,20,FALSE)&gt;2,"Alta","n/a"))))</f>
        <v>Alerta</v>
      </c>
      <c r="FA133" s="10"/>
    </row>
    <row r="134" spans="1:157" s="2" customFormat="1" ht="11.25" hidden="1" x14ac:dyDescent="0.2">
      <c r="A134" s="4">
        <v>11.2</v>
      </c>
      <c r="B134" s="4">
        <v>10.39</v>
      </c>
      <c r="C134" s="4">
        <v>9.93</v>
      </c>
      <c r="D134" s="4">
        <v>9.9700000000000006</v>
      </c>
      <c r="E134" s="4">
        <v>9.51</v>
      </c>
      <c r="F134" s="4">
        <v>9.35</v>
      </c>
      <c r="G134" s="4">
        <v>9.33</v>
      </c>
      <c r="H134" s="4">
        <v>10.15</v>
      </c>
      <c r="I134" s="4">
        <v>11</v>
      </c>
      <c r="J134" s="4">
        <v>11.75</v>
      </c>
      <c r="K134" s="4">
        <v>12.28</v>
      </c>
      <c r="L134" s="4">
        <v>11.73</v>
      </c>
      <c r="M134" s="4">
        <v>10.98</v>
      </c>
      <c r="N134" s="4">
        <v>10.67</v>
      </c>
      <c r="O134" s="4">
        <v>11.18</v>
      </c>
      <c r="P134" s="4">
        <v>10.91</v>
      </c>
      <c r="Q134" s="4">
        <v>11.28</v>
      </c>
      <c r="R134" s="4">
        <v>11.01</v>
      </c>
      <c r="S134" s="4">
        <v>10.94</v>
      </c>
      <c r="T134" s="4">
        <v>11.14</v>
      </c>
      <c r="U134" s="4">
        <v>11.1</v>
      </c>
      <c r="V134" s="4">
        <v>10.9</v>
      </c>
      <c r="W134" s="4">
        <v>10.6</v>
      </c>
      <c r="X134" s="4">
        <v>10.73</v>
      </c>
      <c r="Y134" s="4">
        <v>10.89</v>
      </c>
      <c r="Z134" s="4">
        <v>10.93</v>
      </c>
      <c r="AA134" s="4">
        <v>10.4</v>
      </c>
      <c r="AB134" s="4">
        <v>10.47</v>
      </c>
      <c r="AC134" s="4">
        <v>10.53</v>
      </c>
      <c r="AD134" s="4">
        <v>10.62</v>
      </c>
      <c r="AE134" s="4">
        <v>10.42</v>
      </c>
      <c r="AF134" s="4">
        <v>10.210000000000001</v>
      </c>
      <c r="AG134" s="4">
        <v>10.23</v>
      </c>
      <c r="AH134" s="4">
        <v>9.77</v>
      </c>
      <c r="AI134" s="4">
        <v>9.89</v>
      </c>
      <c r="AJ134" s="4">
        <v>9.6999999999999993</v>
      </c>
      <c r="AK134" s="4">
        <v>8.9</v>
      </c>
      <c r="AL134" s="4">
        <v>8.1199999999999992</v>
      </c>
      <c r="AM134" s="4">
        <v>8.83</v>
      </c>
      <c r="AN134" s="4">
        <v>9.11</v>
      </c>
      <c r="AO134" s="4">
        <v>8.58</v>
      </c>
      <c r="AP134" s="4">
        <v>9.4499999999999993</v>
      </c>
      <c r="AQ134" s="4">
        <v>9.26</v>
      </c>
      <c r="AR134" s="4">
        <v>8.9700000000000006</v>
      </c>
      <c r="AS134" s="4">
        <v>9.1999999999999993</v>
      </c>
      <c r="AT134" s="4">
        <v>9.34</v>
      </c>
      <c r="AU134" s="4">
        <v>9.19</v>
      </c>
      <c r="AV134" s="4">
        <v>8.68</v>
      </c>
      <c r="AW134" s="4">
        <v>8.36</v>
      </c>
      <c r="AX134" s="4">
        <v>7.98</v>
      </c>
      <c r="AY134" s="12">
        <v>8.56</v>
      </c>
      <c r="AZ134" s="12">
        <v>9.2100000000000009</v>
      </c>
      <c r="BA134" s="12">
        <v>8.9700000000000006</v>
      </c>
      <c r="BB134" s="15">
        <v>8.52</v>
      </c>
      <c r="BC134" s="52">
        <v>8.2899999999999991</v>
      </c>
      <c r="BD134" s="52">
        <v>8.25</v>
      </c>
      <c r="BE134" s="52">
        <v>9.07</v>
      </c>
      <c r="BF134" s="52">
        <v>8.99</v>
      </c>
      <c r="BG134" s="67">
        <v>8.65</v>
      </c>
      <c r="BH134" s="52">
        <v>8.8000000000000007</v>
      </c>
      <c r="BI134" s="52">
        <v>8.6199999999999992</v>
      </c>
      <c r="BJ134" s="52">
        <v>8.77</v>
      </c>
      <c r="BK134" s="52">
        <v>8.0399999999999991</v>
      </c>
      <c r="BL134" s="52">
        <v>7.87</v>
      </c>
      <c r="BM134" s="52">
        <v>7.17</v>
      </c>
      <c r="BN134" s="52">
        <v>7.15</v>
      </c>
      <c r="BO134" s="52">
        <v>6.31</v>
      </c>
      <c r="BP134" s="52" cm="1">
        <f t="array" aca="1" ref="BP134" ca="1">_FV(ED134,"Preço")</f>
        <v>6.61</v>
      </c>
      <c r="BQ134" s="69" t="s">
        <v>130</v>
      </c>
      <c r="BR134" s="36" cm="1">
        <f t="array" aca="1" ref="BR134" ca="1">_FV(ED134,"Média de volume",TRUE)</f>
        <v>3793500</v>
      </c>
      <c r="BS134" s="36">
        <v>8865800</v>
      </c>
      <c r="BT134" s="36" cm="1">
        <f t="array" aca="1" ref="BT134" ca="1">_FV(ED134,"Volume")</f>
        <v>3123800</v>
      </c>
      <c r="BU134" s="24" cm="1">
        <f t="array" aca="1" ref="BU134" ca="1">_FV(ED134,"Beta")</f>
        <v>0.81879999999999997</v>
      </c>
      <c r="BV134" s="71" cm="1">
        <f t="array" aca="1" ref="BV134" ca="1">_FV(ED134,"Variação (%)",TRUE)</f>
        <v>-1.6369000000000002E-2</v>
      </c>
      <c r="BX134" s="17" cm="1">
        <f t="array" aca="1" ref="BX134" ca="1">_FV(ED134,"Baixo")</f>
        <v>6.53</v>
      </c>
      <c r="BY134" s="17" cm="1">
        <f t="array" aca="1" ref="BY134" ca="1">_FV(ED134,"Alto")</f>
        <v>6.73</v>
      </c>
      <c r="BZ134" s="24"/>
      <c r="CA134" s="63">
        <f ca="1">SQRT(22.5*(BP134/VLOOKUP(BQ134,Fundamentus!A:U,3,FALSE))*(BP134/VLOOKUP(BQ134,Fundamentus!A:U,4,FALSE)))</f>
        <v>13.021165769889166</v>
      </c>
      <c r="CC134" s="62">
        <f t="shared" ca="1" si="112"/>
        <v>4.7543581616481888E-2</v>
      </c>
      <c r="CD134" s="8"/>
      <c r="CE134" s="61">
        <f t="shared" si="113"/>
        <v>6.31</v>
      </c>
      <c r="CF134" s="61">
        <f t="shared" si="114"/>
        <v>12.28</v>
      </c>
      <c r="CG134" s="61">
        <f t="shared" si="115"/>
        <v>9.6611940298507424</v>
      </c>
      <c r="CH134" s="14"/>
      <c r="CI134" s="35">
        <f t="shared" ref="CI134:CI197" si="154">CJ134-DZ134*2</f>
        <v>4.7198195254356667</v>
      </c>
      <c r="CJ134" s="15">
        <f t="shared" si="116"/>
        <v>5.9500000000002728</v>
      </c>
      <c r="CK134" s="35">
        <f t="shared" ref="CK134:CK197" si="155">CJ134+DZ134*2</f>
        <v>7.180180474564879</v>
      </c>
      <c r="CM134" s="14"/>
      <c r="CN134" s="17">
        <f t="shared" ref="CN134:CN197" si="156">CE134-2*(CF134-CQ134)</f>
        <v>-1.6500000000000012</v>
      </c>
      <c r="CO134" s="17">
        <f t="shared" ref="CO134:CO197" si="157">CQ134-(CF134-CE134)</f>
        <v>2.3299999999999992</v>
      </c>
      <c r="CP134" s="17">
        <f t="shared" ref="CP134:CP197" si="158">2*CQ134-CF134</f>
        <v>4.3199999999999985</v>
      </c>
      <c r="CQ134" s="38">
        <f t="shared" si="117"/>
        <v>8.2999999999999989</v>
      </c>
      <c r="CR134" s="17">
        <f t="shared" ref="CR134:CR197" si="159">2*CQ134-CE134</f>
        <v>10.29</v>
      </c>
      <c r="CS134" s="17">
        <f t="shared" ref="CS134:CS197" si="160">CQ134+(CF134-CE134)</f>
        <v>14.27</v>
      </c>
      <c r="CT134" s="17">
        <f t="shared" ref="CT134:CT197" si="161">CF134+2*(CQ134-CE134)</f>
        <v>16.259999999999998</v>
      </c>
      <c r="CU134" s="2" cm="1">
        <f t="array" aca="1" ref="CU134" ca="1">MAX(_xlfn._xlws.FILTER(CN134:CT134,CN134:CT134&lt;BP134))</f>
        <v>4.3199999999999985</v>
      </c>
      <c r="CV134" s="2" cm="1">
        <f t="array" aca="1" ref="CV134" ca="1">MIN(_xlfn._xlws.FILTER($CN134:$CT134,$CN134:$CT134&gt;BP134))</f>
        <v>8.2999999999999989</v>
      </c>
      <c r="CW134" s="16">
        <f t="shared" ca="1" si="136"/>
        <v>0.92129629629629672</v>
      </c>
      <c r="CX134" s="20">
        <f t="shared" ca="1" si="137"/>
        <v>-0.46064814814814836</v>
      </c>
      <c r="CY134" s="20">
        <f t="shared" ca="1" si="138"/>
        <v>-0.30709876543209891</v>
      </c>
      <c r="CZ134" s="20">
        <f t="shared" ca="1" si="139"/>
        <v>-0.18425925925925934</v>
      </c>
      <c r="DA134" s="20">
        <f t="shared" ca="1" si="140"/>
        <v>-0.10236625514403297</v>
      </c>
      <c r="DB134" s="20">
        <f t="shared" ca="1" si="141"/>
        <v>-5.4193899782135103E-2</v>
      </c>
      <c r="DC134" s="20">
        <f t="shared" ca="1" si="142"/>
        <v>-2.7918069584736263E-2</v>
      </c>
      <c r="DD134" s="20">
        <f t="shared" ca="1" si="143"/>
        <v>-1.417378917378918E-2</v>
      </c>
      <c r="DE134" s="21">
        <f t="shared" ca="1" si="144"/>
        <v>1.417378917378918E-2</v>
      </c>
      <c r="DF134" s="21">
        <f t="shared" ca="1" si="145"/>
        <v>2.7918069584736263E-2</v>
      </c>
      <c r="DG134" s="21">
        <f t="shared" ca="1" si="146"/>
        <v>5.4193899782135103E-2</v>
      </c>
      <c r="DH134" s="21">
        <f t="shared" ca="1" si="147"/>
        <v>0.10236625514403297</v>
      </c>
      <c r="DI134" s="21">
        <f t="shared" ca="1" si="148"/>
        <v>0.18425925925925934</v>
      </c>
      <c r="DJ134" s="21">
        <f t="shared" ca="1" si="149"/>
        <v>0.30709876543209891</v>
      </c>
      <c r="DK134" s="21">
        <f t="shared" ca="1" si="150"/>
        <v>0.46064814814814836</v>
      </c>
      <c r="DM134" s="16" cm="1">
        <f t="array" aca="1" ref="DM134" ca="1">MAX(_xlfn._xlws.FILTER(CX134:DK134,CX134:DK134&lt;BV134))</f>
        <v>-2.7918069584736263E-2</v>
      </c>
      <c r="DN134" s="16" cm="1">
        <f t="array" aca="1" ref="DN134" ca="1">MIN(_xlfn._xlws.FILTER(CX134:DK134,CX134:DK134&gt;BV134))</f>
        <v>-1.417378917378918E-2</v>
      </c>
      <c r="DO134" s="2" cm="1">
        <f t="array" aca="1" ref="DO134" ca="1">_FV(ED134,"Fechamento anterior",TRUE)</f>
        <v>6.72</v>
      </c>
      <c r="DP134" s="28">
        <f t="shared" ref="DP134:DP197" ca="1" si="162">(BP134-DQ134)/(DR134-DQ134)</f>
        <v>0.84027840093324269</v>
      </c>
      <c r="DQ134" s="15">
        <f t="shared" ca="1" si="151"/>
        <v>6.5323905723905717</v>
      </c>
      <c r="DR134" s="15">
        <f t="shared" ca="1" si="152"/>
        <v>6.6247521367521367</v>
      </c>
      <c r="DS134" s="9"/>
      <c r="DT134" s="9"/>
      <c r="DU134" s="9"/>
      <c r="DV134" s="89">
        <v>4.8172355361897866E-2</v>
      </c>
      <c r="DW134" s="89">
        <f t="shared" ref="DW134:DW197" ca="1" si="163">DN134-DM134</f>
        <v>1.3744280410947083E-2</v>
      </c>
      <c r="DX134" s="72">
        <f t="shared" ref="DX134:DX197" ca="1" si="164">(BP134-CJ134)/(CJ134-CI134)</f>
        <v>0.53650664568816153</v>
      </c>
      <c r="DY134" s="37"/>
      <c r="DZ134" s="35">
        <f t="shared" si="118"/>
        <v>0.61509023728230305</v>
      </c>
      <c r="EA134" s="56"/>
      <c r="EB134" s="56"/>
      <c r="ED134" s="2" t="e" vm="133">
        <v>#VALUE!</v>
      </c>
      <c r="EF134" s="10" cm="1">
        <f t="array" aca="1" ref="EF134" ca="1">_FV(ED134,"Ações em circulação",TRUE)</f>
        <v>355608600</v>
      </c>
      <c r="EG134" s="18">
        <f>VLOOKUP(BQ134,Fundamentus!A:U,5,FALSE)</f>
        <v>0.191</v>
      </c>
      <c r="EH134" s="2">
        <f t="shared" ref="EH134:EH197" ca="1" si="165">(BP134*EF134)/EG134</f>
        <v>12306664115.183247</v>
      </c>
      <c r="EI134" s="17">
        <v>541588174.14973819</v>
      </c>
      <c r="EJ134" s="17">
        <f t="shared" ref="EJ134:EJ197" ca="1" si="166">EH134*EV134</f>
        <v>567337215.70994771</v>
      </c>
      <c r="EL134" s="16">
        <f t="shared" ca="1" si="153"/>
        <v>4.7543581616481978E-2</v>
      </c>
      <c r="EM134" s="32" t="str">
        <f>IF(VLOOKUP(BQ134,Fundamentus!A:U,3,FALSE)&lt;15,"Bom",IF(VLOOKUP(BQ134,Fundamentus!A:U,3,FALSE)&gt;15,"Ruim","n/a"))</f>
        <v>Bom</v>
      </c>
      <c r="EN134" s="28" t="str">
        <f>IF(VLOOKUP(BQ134,Fundamentus!A:U,4,FALSE)&lt;1,"Baixo",IF(VLOOKUP(BQ134,Fundamentus!A:U,4,FALSE)&lt;1.5,"Moderado",IF(VLOOKUP(BQ134,Fundamentus!A:U,4,FALSE)&gt;1.5,"Alto","n/a")))</f>
        <v>Baixo</v>
      </c>
      <c r="EO134" s="17" t="str">
        <f>IF(VLOOKUP(BQ134,Fundamentus!A:U,8,FALSE)&lt;0,"Risco elevado",IF(VLOOKUP(BQ134,Fundamentus!A:U,8,FALSE)&lt;1,"Saudável",IF(VLOOKUP(BQ134,Fundamentus!A:U,8,FALSE)&lt;3,"Estável",IF(VLOOKUP(BQ134,Fundamentus!A:U,8,FALSE)&gt;3,"Alerta","n/a"))))</f>
        <v>Saudável</v>
      </c>
      <c r="EP134" s="28" t="str">
        <f t="shared" ref="EP134:EP197" si="167">IF(EG134&gt;1,"Bom","Ruim")</f>
        <v>Ruim</v>
      </c>
      <c r="EQ134" s="17" t="str">
        <f>IF(VLOOKUP(BQ134,Fundamentus!A:U,12,FALSE)&lt;2,"Subvalorizada",IF(VLOOKUP(BQ134,Fundamentus!A:U,12,FALSE)&lt;6,"Muita barata",IF(VLOOKUP(BQ134,Fundamentus!A:U,12,FALSE)&lt;6,"Barata",IF(VLOOKUP(BQ134,Fundamentus!A:U,12,FALSE)&lt;8,"Atrativa",IF(VLOOKUP(BQ134,Fundamentus!A:U,12,FALSE)&gt;8,"Supervalorizada","n/a")))))</f>
        <v>Muita barata</v>
      </c>
      <c r="ES134" s="17" t="str">
        <f>IF(VLOOKUP(BQ134,Fundamentus!A:U,17,FALSE)&lt;0.1,"Fraco retorno",IF(VLOOKUP(BQ134,Fundamentus!A:U,17,FALSE)&gt;0.1,"Bom retorno","n/a"))</f>
        <v>Bom retorno</v>
      </c>
      <c r="ET134" s="17" t="str">
        <f>IF(VLOOKUP(BQ134,Fundamentus!A:U,16,FALSE)&lt;0.1,"Ineficiente",IF(VLOOKUP(BQ134,Fundamentus!A:U,16,FALSE)&gt;0.1,"Eficiente","n/a"))</f>
        <v>Ineficiente</v>
      </c>
      <c r="EU134" s="33" t="str">
        <f>IF(VLOOKUP(BQ134,Fundamentus!A:U,16,FALSE)&lt;0.1,"Oper. Ineficiente",IF(VLOOKUP(BQ134,Fundamentus!A:U,16,FALSE)&gt;0.1,"Oper.Eficiente","n/a"))</f>
        <v>Oper. Ineficiente</v>
      </c>
      <c r="EV134" s="34">
        <f>VLOOKUP(BQ134,Fundamentus!A:U,14,FALSE)</f>
        <v>4.6100000000000002E-2</v>
      </c>
      <c r="EW134" s="17" t="str">
        <f>IF(VLOOKUP(BQ134,Fundamentus!A:U,21,FALSE)&lt;0,"Negativo",IF(VLOOKUP(BQ134,Fundamentus!A:U,21,FALSE)&lt;0.05,"Fraco",IF(VLOOKUP(BQ134,Fundamentus!A:U,21,FALSE)&lt;0.1,"Bom",IF(VLOOKUP(BQ134,Fundamentus!A:U,21,FALSE)&gt;0.1,"Muito bom","n/a"))))</f>
        <v>Muito bom</v>
      </c>
      <c r="EY134" s="29" t="str">
        <f>IF(VLOOKUP(BQ134,Fundamentus!A:U,15,FALSE)&gt;1,"Bom",IF(VLOOKUP(BQ134,Fundamentus!A:U,15,FALSE)&lt;1,"Ruim","n/a"))</f>
        <v>Bom</v>
      </c>
      <c r="EZ134" s="17" t="str">
        <f>IF(VLOOKUP(BQ134,Fundamentus!A:U,20,FALSE)&lt;0.5,"Baixa",IF(VLOOKUP(BQ134,Fundamentus!A:U,20,FALSE)&lt;1,"Moderada",IF(VLOOKUP(BQ134,Fundamentus!A:U,20,FALSE)&lt;2,"Alerta",IF(VLOOKUP(BQ134,Fundamentus!A:U,20,FALSE)&gt;2,"Alta","n/a"))))</f>
        <v>Alta</v>
      </c>
      <c r="FA134" s="10"/>
    </row>
    <row r="135" spans="1:157" s="2" customFormat="1" ht="11.25" hidden="1" x14ac:dyDescent="0.2">
      <c r="A135" s="4">
        <v>9.5</v>
      </c>
      <c r="B135" s="4">
        <v>9.26</v>
      </c>
      <c r="C135" s="4">
        <v>8.82</v>
      </c>
      <c r="D135" s="4">
        <v>8.5</v>
      </c>
      <c r="E135" s="4">
        <v>8.1999999999999993</v>
      </c>
      <c r="F135" s="4">
        <v>8.1</v>
      </c>
      <c r="G135" s="4">
        <v>7.91</v>
      </c>
      <c r="H135" s="4">
        <v>8.6300000000000008</v>
      </c>
      <c r="I135" s="4">
        <v>9.26</v>
      </c>
      <c r="J135" s="4">
        <v>10.1</v>
      </c>
      <c r="K135" s="4">
        <v>10.4</v>
      </c>
      <c r="L135" s="4">
        <v>9.85</v>
      </c>
      <c r="M135" s="4">
        <v>9.5500000000000007</v>
      </c>
      <c r="N135" s="4">
        <v>8.9</v>
      </c>
      <c r="O135" s="4">
        <v>9.3000000000000007</v>
      </c>
      <c r="P135" s="4">
        <v>8.85</v>
      </c>
      <c r="Q135" s="4">
        <v>9.06</v>
      </c>
      <c r="R135" s="4">
        <v>8.93</v>
      </c>
      <c r="S135" s="4">
        <v>8.6999999999999993</v>
      </c>
      <c r="T135" s="4">
        <v>8.84</v>
      </c>
      <c r="U135" s="4">
        <v>8.64</v>
      </c>
      <c r="V135" s="4">
        <v>8.85</v>
      </c>
      <c r="W135" s="4">
        <v>8.76</v>
      </c>
      <c r="X135" s="4">
        <v>8.74</v>
      </c>
      <c r="Y135" s="4">
        <v>9.14</v>
      </c>
      <c r="Z135" s="4">
        <v>9.39</v>
      </c>
      <c r="AA135" s="4">
        <v>9.15</v>
      </c>
      <c r="AB135" s="4">
        <v>9.32</v>
      </c>
      <c r="AC135" s="4">
        <v>9.35</v>
      </c>
      <c r="AD135" s="4">
        <v>9.07</v>
      </c>
      <c r="AE135" s="4">
        <v>8.89</v>
      </c>
      <c r="AF135" s="4">
        <v>8.73</v>
      </c>
      <c r="AG135" s="4">
        <v>8.6300000000000008</v>
      </c>
      <c r="AH135" s="4">
        <v>8.17</v>
      </c>
      <c r="AI135" s="4">
        <v>8.2100000000000009</v>
      </c>
      <c r="AJ135" s="4">
        <v>8.1999999999999993</v>
      </c>
      <c r="AK135" s="4">
        <v>7.97</v>
      </c>
      <c r="AL135" s="4">
        <v>7.46</v>
      </c>
      <c r="AM135" s="4">
        <v>7.89</v>
      </c>
      <c r="AN135" s="4">
        <v>8</v>
      </c>
      <c r="AO135" s="4">
        <v>7.8</v>
      </c>
      <c r="AP135" s="4">
        <v>8.5399999999999991</v>
      </c>
      <c r="AQ135" s="4">
        <v>8.27</v>
      </c>
      <c r="AR135" s="4">
        <v>8.3000000000000007</v>
      </c>
      <c r="AS135" s="4">
        <v>8.34</v>
      </c>
      <c r="AT135" s="4">
        <v>8.64</v>
      </c>
      <c r="AU135" s="4">
        <v>8.5500000000000007</v>
      </c>
      <c r="AV135" s="4">
        <v>8.08</v>
      </c>
      <c r="AW135" s="4">
        <v>7.95</v>
      </c>
      <c r="AX135" s="4">
        <v>7.83</v>
      </c>
      <c r="AY135" s="12">
        <v>8.06</v>
      </c>
      <c r="AZ135" s="12">
        <v>8.3000000000000007</v>
      </c>
      <c r="BA135" s="12">
        <v>8.1999999999999993</v>
      </c>
      <c r="BB135" s="15">
        <v>7.85</v>
      </c>
      <c r="BC135" s="52">
        <v>7.58</v>
      </c>
      <c r="BD135" s="52">
        <v>7.66</v>
      </c>
      <c r="BE135" s="52">
        <v>8.02</v>
      </c>
      <c r="BF135" s="52">
        <v>8.15</v>
      </c>
      <c r="BG135" s="67">
        <v>8.0299999999999994</v>
      </c>
      <c r="BH135" s="52">
        <v>8.3000000000000007</v>
      </c>
      <c r="BI135" s="52">
        <v>8.23</v>
      </c>
      <c r="BJ135" s="52">
        <v>8.27</v>
      </c>
      <c r="BK135" s="52">
        <v>7.91</v>
      </c>
      <c r="BL135" s="52">
        <v>7.65</v>
      </c>
      <c r="BM135" s="52">
        <v>7.08</v>
      </c>
      <c r="BN135" s="52">
        <v>6.97</v>
      </c>
      <c r="BO135" s="52">
        <v>6.26</v>
      </c>
      <c r="BP135" s="52" cm="1">
        <f t="array" aca="1" ref="BP135" ca="1">_FV(ED135,"Preço")</f>
        <v>6.27</v>
      </c>
      <c r="BQ135" s="69" t="s">
        <v>131</v>
      </c>
      <c r="BR135" s="36" cm="1">
        <f t="array" aca="1" ref="BR135" ca="1">_FV(ED135,"Média de volume",TRUE)</f>
        <v>3793500</v>
      </c>
      <c r="BS135" s="36">
        <v>124900</v>
      </c>
      <c r="BT135" s="36" cm="1">
        <f t="array" aca="1" ref="BT135" ca="1">_FV(ED135,"Volume")</f>
        <v>22300</v>
      </c>
      <c r="BU135" s="24" cm="1">
        <f t="array" aca="1" ref="BU135" ca="1">_FV(ED135,"Beta")</f>
        <v>0.81879999999999997</v>
      </c>
      <c r="BV135" s="71" cm="1">
        <f t="array" aca="1" ref="BV135" ca="1">_FV(ED135,"Variação (%)",TRUE)</f>
        <v>0</v>
      </c>
      <c r="BX135" s="17" cm="1">
        <f t="array" aca="1" ref="BX135" ca="1">_FV(ED135,"Baixo")</f>
        <v>6.23</v>
      </c>
      <c r="BY135" s="17" cm="1">
        <f t="array" aca="1" ref="BY135" ca="1">_FV(ED135,"Alto")</f>
        <v>6.4</v>
      </c>
      <c r="BZ135" s="24"/>
      <c r="CA135" s="63">
        <f ca="1">SQRT(22.5*(BP135/VLOOKUP(BQ135,Fundamentus!A:U,3,FALSE))*(BP135/VLOOKUP(BQ135,Fundamentus!A:U,4,FALSE)))</f>
        <v>12.55809669826311</v>
      </c>
      <c r="CC135" s="62">
        <f t="shared" ref="CC135:CC198" ca="1" si="168">(BP135 - BO135) / BO135</f>
        <v>1.5974440894568351E-3</v>
      </c>
      <c r="CD135" s="8"/>
      <c r="CE135" s="61">
        <f t="shared" ref="CE135:CE198" si="169">MIN(A135:BO135)</f>
        <v>6.26</v>
      </c>
      <c r="CF135" s="61">
        <f t="shared" ref="CF135:CF198" si="170">MAX(A135:BO135)</f>
        <v>10.4</v>
      </c>
      <c r="CG135" s="61">
        <f t="shared" ref="CG135:CG198" si="171">AVERAGE(A135:BO135)</f>
        <v>8.4782089552238791</v>
      </c>
      <c r="CH135" s="14"/>
      <c r="CI135" s="35">
        <f t="shared" si="154"/>
        <v>4.7696539651040304</v>
      </c>
      <c r="CJ135" s="15">
        <f t="shared" ref="CJ135:CJ198" si="172">FORECAST("15/08/2025", BL135:BO135, $BL$5:$BO$5)</f>
        <v>5.919999999999618</v>
      </c>
      <c r="CK135" s="35">
        <f t="shared" si="155"/>
        <v>7.0703460348952056</v>
      </c>
      <c r="CM135" s="14"/>
      <c r="CN135" s="17">
        <f t="shared" si="156"/>
        <v>0.74000000000000021</v>
      </c>
      <c r="CO135" s="17">
        <f t="shared" si="157"/>
        <v>3.5</v>
      </c>
      <c r="CP135" s="17">
        <f t="shared" si="158"/>
        <v>4.8800000000000008</v>
      </c>
      <c r="CQ135" s="38">
        <f t="shared" ref="CQ135:CQ198" si="173">(CF135+CE135+BO135)/3</f>
        <v>7.6400000000000006</v>
      </c>
      <c r="CR135" s="17">
        <f t="shared" si="159"/>
        <v>9.0200000000000014</v>
      </c>
      <c r="CS135" s="17">
        <f t="shared" si="160"/>
        <v>11.780000000000001</v>
      </c>
      <c r="CT135" s="17">
        <f t="shared" si="161"/>
        <v>13.160000000000002</v>
      </c>
      <c r="CU135" s="2" cm="1">
        <f t="array" aca="1" ref="CU135" ca="1">MAX(_xlfn._xlws.FILTER(CN135:CT135,CN135:CT135&lt;BP135))</f>
        <v>4.8800000000000008</v>
      </c>
      <c r="CV135" s="2" cm="1">
        <f t="array" aca="1" ref="CV135" ca="1">MIN(_xlfn._xlws.FILTER($CN135:$CT135,$CN135:$CT135&gt;BP135))</f>
        <v>7.6400000000000006</v>
      </c>
      <c r="CW135" s="16">
        <f t="shared" ca="1" si="136"/>
        <v>0.56557377049180313</v>
      </c>
      <c r="CX135" s="20">
        <f t="shared" ca="1" si="137"/>
        <v>-0.28278688524590156</v>
      </c>
      <c r="CY135" s="20">
        <f t="shared" ca="1" si="138"/>
        <v>-0.18852459016393439</v>
      </c>
      <c r="CZ135" s="20">
        <f t="shared" ca="1" si="139"/>
        <v>-0.11311475409836062</v>
      </c>
      <c r="DA135" s="20">
        <f t="shared" ca="1" si="140"/>
        <v>-6.2841530054644795E-2</v>
      </c>
      <c r="DB135" s="20">
        <f t="shared" ca="1" si="141"/>
        <v>-3.3269045323047246E-2</v>
      </c>
      <c r="DC135" s="20">
        <f t="shared" ca="1" si="142"/>
        <v>-1.7138599105812218E-2</v>
      </c>
      <c r="DD135" s="20">
        <f t="shared" ca="1" si="143"/>
        <v>-8.7011349306431243E-3</v>
      </c>
      <c r="DE135" s="21">
        <f t="shared" ca="1" si="144"/>
        <v>8.7011349306431243E-3</v>
      </c>
      <c r="DF135" s="21">
        <f t="shared" ca="1" si="145"/>
        <v>1.7138599105812218E-2</v>
      </c>
      <c r="DG135" s="21">
        <f t="shared" ca="1" si="146"/>
        <v>3.3269045323047246E-2</v>
      </c>
      <c r="DH135" s="21">
        <f t="shared" ca="1" si="147"/>
        <v>6.2841530054644795E-2</v>
      </c>
      <c r="DI135" s="21">
        <f t="shared" ca="1" si="148"/>
        <v>0.11311475409836062</v>
      </c>
      <c r="DJ135" s="21">
        <f t="shared" ca="1" si="149"/>
        <v>0.18852459016393439</v>
      </c>
      <c r="DK135" s="21">
        <f t="shared" ca="1" si="150"/>
        <v>0.28278688524590156</v>
      </c>
      <c r="DM135" s="16" cm="1">
        <f t="array" aca="1" ref="DM135" ca="1">MAX(_xlfn._xlws.FILTER(CX135:DK135,CX135:DK135&lt;BV135))</f>
        <v>-8.7011349306431243E-3</v>
      </c>
      <c r="DN135" s="16" cm="1">
        <f t="array" aca="1" ref="DN135" ca="1">MIN(_xlfn._xlws.FILTER(CX135:DK135,CX135:DK135&gt;BV135))</f>
        <v>8.7011349306431243E-3</v>
      </c>
      <c r="DO135" s="2" cm="1">
        <f t="array" aca="1" ref="DO135" ca="1">_FV(ED135,"Fechamento anterior",TRUE)</f>
        <v>6.27</v>
      </c>
      <c r="DP135" s="28">
        <f t="shared" ca="1" si="162"/>
        <v>0.5</v>
      </c>
      <c r="DQ135" s="15">
        <f t="shared" ca="1" si="151"/>
        <v>6.2154438839848671</v>
      </c>
      <c r="DR135" s="15">
        <f t="shared" ca="1" si="152"/>
        <v>6.324556116015132</v>
      </c>
      <c r="DS135" s="9"/>
      <c r="DT135" s="9"/>
      <c r="DU135" s="9"/>
      <c r="DV135" s="89">
        <v>5.0273224043715828E-2</v>
      </c>
      <c r="DW135" s="89">
        <f t="shared" ca="1" si="163"/>
        <v>1.7402269861286249E-2</v>
      </c>
      <c r="DX135" s="72">
        <f t="shared" ca="1" si="164"/>
        <v>0.3042562754016444</v>
      </c>
      <c r="DY135" s="37"/>
      <c r="DZ135" s="35">
        <f t="shared" ref="DZ135:DZ198" si="174">_xlfn.STDEV.P(BK135:BO135)</f>
        <v>0.57517301744779392</v>
      </c>
      <c r="EA135" s="56"/>
      <c r="EB135" s="56"/>
      <c r="ED135" s="2" t="e" vm="134">
        <v>#VALUE!</v>
      </c>
      <c r="EF135" s="10" cm="1">
        <f t="array" aca="1" ref="EF135" ca="1">_FV(ED135,"Ações em circulação",TRUE)</f>
        <v>355608600</v>
      </c>
      <c r="EG135" s="18">
        <f>VLOOKUP(BQ135,Fundamentus!A:U,5,FALSE)</f>
        <v>0.187</v>
      </c>
      <c r="EH135" s="2">
        <f t="shared" ca="1" si="165"/>
        <v>11923347176.470589</v>
      </c>
      <c r="EI135" s="17">
        <v>548789644.0620321</v>
      </c>
      <c r="EJ135" s="17">
        <f t="shared" ca="1" si="166"/>
        <v>549666304.83529413</v>
      </c>
      <c r="EL135" s="16">
        <f t="shared" ca="1" si="153"/>
        <v>1.5974440894568342E-3</v>
      </c>
      <c r="EM135" s="32" t="str">
        <f>IF(VLOOKUP(BQ135,Fundamentus!A:U,3,FALSE)&lt;15,"Bom",IF(VLOOKUP(BQ135,Fundamentus!A:U,3,FALSE)&gt;15,"Ruim","n/a"))</f>
        <v>Bom</v>
      </c>
      <c r="EN135" s="28" t="str">
        <f>IF(VLOOKUP(BQ135,Fundamentus!A:U,4,FALSE)&lt;1,"Baixo",IF(VLOOKUP(BQ135,Fundamentus!A:U,4,FALSE)&lt;1.5,"Moderado",IF(VLOOKUP(BQ135,Fundamentus!A:U,4,FALSE)&gt;1.5,"Alto","n/a")))</f>
        <v>Baixo</v>
      </c>
      <c r="EO135" s="17" t="str">
        <f>IF(VLOOKUP(BQ135,Fundamentus!A:U,8,FALSE)&lt;0,"Risco elevado",IF(VLOOKUP(BQ135,Fundamentus!A:U,8,FALSE)&lt;1,"Saudável",IF(VLOOKUP(BQ135,Fundamentus!A:U,8,FALSE)&lt;3,"Estável",IF(VLOOKUP(BQ135,Fundamentus!A:U,8,FALSE)&gt;3,"Alerta","n/a"))))</f>
        <v>Saudável</v>
      </c>
      <c r="EP135" s="28" t="str">
        <f t="shared" si="167"/>
        <v>Ruim</v>
      </c>
      <c r="EQ135" s="17" t="str">
        <f>IF(VLOOKUP(BQ135,Fundamentus!A:U,12,FALSE)&lt;2,"Subvalorizada",IF(VLOOKUP(BQ135,Fundamentus!A:U,12,FALSE)&lt;6,"Muita barata",IF(VLOOKUP(BQ135,Fundamentus!A:U,12,FALSE)&lt;6,"Barata",IF(VLOOKUP(BQ135,Fundamentus!A:U,12,FALSE)&lt;8,"Atrativa",IF(VLOOKUP(BQ135,Fundamentus!A:U,12,FALSE)&gt;8,"Supervalorizada","n/a")))))</f>
        <v>Muita barata</v>
      </c>
      <c r="ES135" s="17" t="str">
        <f>IF(VLOOKUP(BQ135,Fundamentus!A:U,17,FALSE)&lt;0.1,"Fraco retorno",IF(VLOOKUP(BQ135,Fundamentus!A:U,17,FALSE)&gt;0.1,"Bom retorno","n/a"))</f>
        <v>Bom retorno</v>
      </c>
      <c r="ET135" s="17" t="str">
        <f>IF(VLOOKUP(BQ135,Fundamentus!A:U,16,FALSE)&lt;0.1,"Ineficiente",IF(VLOOKUP(BQ135,Fundamentus!A:U,16,FALSE)&gt;0.1,"Eficiente","n/a"))</f>
        <v>Ineficiente</v>
      </c>
      <c r="EU135" s="33" t="str">
        <f>IF(VLOOKUP(BQ135,Fundamentus!A:U,16,FALSE)&lt;0.1,"Oper. Ineficiente",IF(VLOOKUP(BQ135,Fundamentus!A:U,16,FALSE)&gt;0.1,"Oper.Eficiente","n/a"))</f>
        <v>Oper. Ineficiente</v>
      </c>
      <c r="EV135" s="34">
        <f>VLOOKUP(BQ135,Fundamentus!A:U,14,FALSE)</f>
        <v>4.6100000000000002E-2</v>
      </c>
      <c r="EW135" s="17" t="str">
        <f>IF(VLOOKUP(BQ135,Fundamentus!A:U,21,FALSE)&lt;0,"Negativo",IF(VLOOKUP(BQ135,Fundamentus!A:U,21,FALSE)&lt;0.05,"Fraco",IF(VLOOKUP(BQ135,Fundamentus!A:U,21,FALSE)&lt;0.1,"Bom",IF(VLOOKUP(BQ135,Fundamentus!A:U,21,FALSE)&gt;0.1,"Muito bom","n/a"))))</f>
        <v>Muito bom</v>
      </c>
      <c r="EY135" s="29" t="str">
        <f>IF(VLOOKUP(BQ135,Fundamentus!A:U,15,FALSE)&gt;1,"Bom",IF(VLOOKUP(BQ135,Fundamentus!A:U,15,FALSE)&lt;1,"Ruim","n/a"))</f>
        <v>Bom</v>
      </c>
      <c r="EZ135" s="17" t="str">
        <f>IF(VLOOKUP(BQ135,Fundamentus!A:U,20,FALSE)&lt;0.5,"Baixa",IF(VLOOKUP(BQ135,Fundamentus!A:U,20,FALSE)&lt;1,"Moderada",IF(VLOOKUP(BQ135,Fundamentus!A:U,20,FALSE)&lt;2,"Alerta",IF(VLOOKUP(BQ135,Fundamentus!A:U,20,FALSE)&gt;2,"Alta","n/a"))))</f>
        <v>Alta</v>
      </c>
      <c r="FA135" s="10"/>
    </row>
    <row r="136" spans="1:157" s="2" customFormat="1" ht="11.25" hidden="1" x14ac:dyDescent="0.2">
      <c r="A136" s="4">
        <v>2.2999999999999998</v>
      </c>
      <c r="B136" s="4">
        <v>2.06</v>
      </c>
      <c r="C136" s="4">
        <v>2.2400000000000002</v>
      </c>
      <c r="D136" s="4">
        <v>2.06</v>
      </c>
      <c r="E136" s="4">
        <v>2.1</v>
      </c>
      <c r="F136" s="4">
        <v>2.16</v>
      </c>
      <c r="G136" s="4">
        <v>2.09</v>
      </c>
      <c r="H136" s="4">
        <v>2.12</v>
      </c>
      <c r="I136" s="4">
        <v>2.17</v>
      </c>
      <c r="J136" s="4">
        <v>2.14</v>
      </c>
      <c r="K136" s="4">
        <v>2.62</v>
      </c>
      <c r="L136" s="4">
        <v>2.62</v>
      </c>
      <c r="M136" s="4">
        <v>2.75</v>
      </c>
      <c r="N136" s="4">
        <v>2.73</v>
      </c>
      <c r="O136" s="4">
        <v>3.08</v>
      </c>
      <c r="P136" s="4">
        <v>2.8</v>
      </c>
      <c r="Q136" s="4">
        <v>2.72</v>
      </c>
      <c r="R136" s="4">
        <v>2.94</v>
      </c>
      <c r="S136" s="4">
        <v>2.65</v>
      </c>
      <c r="T136" s="4">
        <v>2.78</v>
      </c>
      <c r="U136" s="4">
        <v>2.46</v>
      </c>
      <c r="V136" s="4">
        <v>2.7</v>
      </c>
      <c r="W136" s="4">
        <v>2.2400000000000002</v>
      </c>
      <c r="X136" s="4">
        <v>2.14</v>
      </c>
      <c r="Y136" s="4">
        <v>2.0299999999999998</v>
      </c>
      <c r="Z136" s="4">
        <v>2.09</v>
      </c>
      <c r="AA136" s="4">
        <v>2.09</v>
      </c>
      <c r="AB136" s="4">
        <v>1.95</v>
      </c>
      <c r="AC136" s="4">
        <v>2.09</v>
      </c>
      <c r="AD136" s="4">
        <v>2.2000000000000002</v>
      </c>
      <c r="AE136" s="4">
        <v>1.96</v>
      </c>
      <c r="AF136" s="4">
        <v>1.77</v>
      </c>
      <c r="AG136" s="4">
        <v>1.59</v>
      </c>
      <c r="AH136" s="4">
        <v>1.43</v>
      </c>
      <c r="AI136" s="4">
        <v>1.48</v>
      </c>
      <c r="AJ136" s="4">
        <v>1.41</v>
      </c>
      <c r="AK136" s="4">
        <v>1.43</v>
      </c>
      <c r="AL136" s="4">
        <v>1.52</v>
      </c>
      <c r="AM136" s="4">
        <v>1.54</v>
      </c>
      <c r="AN136" s="4">
        <v>1.59</v>
      </c>
      <c r="AO136" s="4">
        <v>1.35</v>
      </c>
      <c r="AP136" s="4">
        <v>1.41</v>
      </c>
      <c r="AQ136" s="4">
        <v>1.39</v>
      </c>
      <c r="AR136" s="4">
        <v>1.39</v>
      </c>
      <c r="AS136" s="4">
        <v>1.32</v>
      </c>
      <c r="AT136" s="4">
        <v>1.2</v>
      </c>
      <c r="AU136" s="4">
        <v>1.1599999999999999</v>
      </c>
      <c r="AV136" s="4">
        <v>1.1399999999999999</v>
      </c>
      <c r="AW136" s="4">
        <v>1.03</v>
      </c>
      <c r="AX136" s="4">
        <v>1</v>
      </c>
      <c r="AY136" s="12">
        <v>1.04</v>
      </c>
      <c r="AZ136" s="12">
        <v>1.1599999999999999</v>
      </c>
      <c r="BA136" s="12">
        <v>1.06</v>
      </c>
      <c r="BB136" s="15">
        <v>1</v>
      </c>
      <c r="BC136" s="52">
        <v>1.01</v>
      </c>
      <c r="BD136" s="52">
        <v>0.94</v>
      </c>
      <c r="BE136" s="52">
        <v>0.98</v>
      </c>
      <c r="BF136" s="52">
        <v>0.97</v>
      </c>
      <c r="BG136" s="67">
        <v>0.96</v>
      </c>
      <c r="BH136" s="52">
        <v>0.99</v>
      </c>
      <c r="BI136" s="52">
        <v>0.89</v>
      </c>
      <c r="BJ136" s="52">
        <v>0.88</v>
      </c>
      <c r="BK136" s="52">
        <v>1.0900000000000001</v>
      </c>
      <c r="BL136" s="52">
        <v>1</v>
      </c>
      <c r="BM136" s="52">
        <v>1</v>
      </c>
      <c r="BN136" s="52">
        <v>1.2</v>
      </c>
      <c r="BO136" s="52">
        <v>1.18</v>
      </c>
      <c r="BP136" s="52" cm="1">
        <f t="array" aca="1" ref="BP136" ca="1">_FV(ED136,"Preço")</f>
        <v>1.01</v>
      </c>
      <c r="BQ136" s="69" t="s">
        <v>132</v>
      </c>
      <c r="BR136" s="36" cm="1">
        <f t="array" aca="1" ref="BR136" ca="1">_FV(ED136,"Média de volume",TRUE)</f>
        <v>844050</v>
      </c>
      <c r="BS136" s="36">
        <v>850000</v>
      </c>
      <c r="BT136" s="36" cm="1">
        <f t="array" aca="1" ref="BT136" ca="1">_FV(ED136,"Volume")</f>
        <v>516000</v>
      </c>
      <c r="BU136" s="24" cm="1">
        <f t="array" aca="1" ref="BU136" ca="1">_FV(ED136,"Beta")</f>
        <v>1.3983000000000001</v>
      </c>
      <c r="BV136" s="71" cm="1">
        <f t="array" aca="1" ref="BV136" ca="1">_FV(ED136,"Variação (%)",TRUE)</f>
        <v>-4.7169999999999997E-2</v>
      </c>
      <c r="BX136" s="17" cm="1">
        <f t="array" aca="1" ref="BX136" ca="1">_FV(ED136,"Baixo")</f>
        <v>1</v>
      </c>
      <c r="BY136" s="17" cm="1">
        <f t="array" aca="1" ref="BY136" ca="1">_FV(ED136,"Alto")</f>
        <v>1.0900000000000001</v>
      </c>
      <c r="BZ136" s="24"/>
      <c r="CA136" s="63" t="e">
        <f ca="1">SQRT(22.5*(BP136/VLOOKUP(BQ136,Fundamentus!A:U,3,FALSE))*(BP136/VLOOKUP(BQ136,Fundamentus!A:U,4,FALSE)))</f>
        <v>#N/A</v>
      </c>
      <c r="CC136" s="62">
        <f t="shared" ca="1" si="168"/>
        <v>-0.14406779661016944</v>
      </c>
      <c r="CD136" s="8"/>
      <c r="CE136" s="61">
        <f t="shared" si="169"/>
        <v>0.88</v>
      </c>
      <c r="CF136" s="61">
        <f t="shared" si="170"/>
        <v>3.08</v>
      </c>
      <c r="CG136" s="61">
        <f t="shared" si="171"/>
        <v>1.7400000000000002</v>
      </c>
      <c r="CH136" s="14"/>
      <c r="CI136" s="35">
        <f t="shared" si="154"/>
        <v>1.1095417939786727</v>
      </c>
      <c r="CJ136" s="15">
        <f t="shared" si="172"/>
        <v>1.2799999999999727</v>
      </c>
      <c r="CK136" s="35">
        <f t="shared" si="155"/>
        <v>1.4504582060212727</v>
      </c>
      <c r="CM136" s="14"/>
      <c r="CN136" s="17">
        <f t="shared" si="156"/>
        <v>-1.8533333333333339</v>
      </c>
      <c r="CO136" s="17">
        <f t="shared" si="157"/>
        <v>-0.48666666666666702</v>
      </c>
      <c r="CP136" s="17">
        <f t="shared" si="158"/>
        <v>0.34666666666666623</v>
      </c>
      <c r="CQ136" s="38">
        <f t="shared" si="173"/>
        <v>1.7133333333333332</v>
      </c>
      <c r="CR136" s="17">
        <f t="shared" si="159"/>
        <v>2.5466666666666664</v>
      </c>
      <c r="CS136" s="17">
        <f t="shared" si="160"/>
        <v>3.9133333333333331</v>
      </c>
      <c r="CT136" s="17">
        <f t="shared" si="161"/>
        <v>4.7466666666666661</v>
      </c>
      <c r="CU136" s="2" cm="1">
        <f t="array" aca="1" ref="CU136" ca="1">MAX(_xlfn._xlws.FILTER(CN136:CT136,CN136:CT136&lt;BP136))</f>
        <v>0.34666666666666623</v>
      </c>
      <c r="CV136" s="2" cm="1">
        <f t="array" aca="1" ref="CV136" ca="1">MIN(_xlfn._xlws.FILTER($CN136:$CT136,$CN136:$CT136&gt;BP136))</f>
        <v>1.7133333333333332</v>
      </c>
      <c r="CW136" s="16">
        <f t="shared" ca="1" si="136"/>
        <v>3.9423076923076978</v>
      </c>
      <c r="CX136" s="20">
        <f t="shared" ca="1" si="137"/>
        <v>-1.9711538461538489</v>
      </c>
      <c r="CY136" s="20">
        <f t="shared" ca="1" si="138"/>
        <v>-1.3141025641025659</v>
      </c>
      <c r="CZ136" s="20">
        <f t="shared" ca="1" si="139"/>
        <v>-0.78846153846153955</v>
      </c>
      <c r="DA136" s="20">
        <f t="shared" ca="1" si="140"/>
        <v>-0.43803418803418864</v>
      </c>
      <c r="DB136" s="20">
        <f t="shared" ca="1" si="141"/>
        <v>-0.2319004524886881</v>
      </c>
      <c r="DC136" s="20">
        <f t="shared" ca="1" si="142"/>
        <v>-0.11946386946386964</v>
      </c>
      <c r="DD136" s="20">
        <f t="shared" ca="1" si="143"/>
        <v>-6.0650887573964585E-2</v>
      </c>
      <c r="DE136" s="21">
        <f t="shared" ca="1" si="144"/>
        <v>6.0650887573964585E-2</v>
      </c>
      <c r="DF136" s="21">
        <f t="shared" ca="1" si="145"/>
        <v>0.11946386946386964</v>
      </c>
      <c r="DG136" s="21">
        <f t="shared" ca="1" si="146"/>
        <v>0.2319004524886881</v>
      </c>
      <c r="DH136" s="21">
        <f t="shared" ca="1" si="147"/>
        <v>0.43803418803418864</v>
      </c>
      <c r="DI136" s="21">
        <f t="shared" ca="1" si="148"/>
        <v>0.78846153846153955</v>
      </c>
      <c r="DJ136" s="21">
        <f t="shared" ca="1" si="149"/>
        <v>1.3141025641025659</v>
      </c>
      <c r="DK136" s="21">
        <f t="shared" ca="1" si="150"/>
        <v>1.9711538461538489</v>
      </c>
      <c r="DM136" s="16" cm="1">
        <f t="array" aca="1" ref="DM136" ca="1">MAX(_xlfn._xlws.FILTER(CX136:DK136,CX136:DK136&lt;BV136))</f>
        <v>-6.0650887573964585E-2</v>
      </c>
      <c r="DN136" s="16" cm="1">
        <f t="array" aca="1" ref="DN136" ca="1">MIN(_xlfn._xlws.FILTER(CX136:DK136,CX136:DK136&gt;BV136))</f>
        <v>6.0650887573964585E-2</v>
      </c>
      <c r="DO136" s="2" cm="1">
        <f t="array" aca="1" ref="DO136" ca="1">_FV(ED136,"Fechamento anterior",TRUE)</f>
        <v>1.06</v>
      </c>
      <c r="DP136" s="28">
        <f t="shared" ca="1" si="162"/>
        <v>0.11113667740450994</v>
      </c>
      <c r="DQ136" s="15">
        <f t="shared" ca="1" si="151"/>
        <v>0.99571005917159761</v>
      </c>
      <c r="DR136" s="15">
        <f t="shared" ca="1" si="152"/>
        <v>1.1242899408284026</v>
      </c>
      <c r="DS136" s="9"/>
      <c r="DT136" s="9"/>
      <c r="DU136" s="9"/>
      <c r="DV136" s="89">
        <v>5.8812981889905053E-2</v>
      </c>
      <c r="DW136" s="89">
        <f t="shared" ca="1" si="163"/>
        <v>0.12130177514792917</v>
      </c>
      <c r="DX136" s="72">
        <f t="shared" ca="1" si="164"/>
        <v>-1.5839659838156117</v>
      </c>
      <c r="DY136" s="37"/>
      <c r="DZ136" s="35">
        <f t="shared" si="174"/>
        <v>8.5229103010650037E-2</v>
      </c>
      <c r="EA136" s="56"/>
      <c r="EB136" s="56"/>
      <c r="ED136" s="2" t="e" vm="135">
        <v>#VALUE!</v>
      </c>
      <c r="EF136" s="10" cm="1">
        <f t="array" aca="1" ref="EF136" ca="1">_FV(ED136,"Ações em circulação",TRUE)</f>
        <v>122763400</v>
      </c>
      <c r="EG136" s="18" t="e">
        <f>VLOOKUP(BQ136,Fundamentus!A:U,5,FALSE)</f>
        <v>#N/A</v>
      </c>
      <c r="EH136" s="2" t="e">
        <f t="shared" ca="1" si="165"/>
        <v>#N/A</v>
      </c>
      <c r="EI136" s="17" t="e">
        <v>#N/A</v>
      </c>
      <c r="EJ136" s="17" t="e">
        <f t="shared" ca="1" si="166"/>
        <v>#N/A</v>
      </c>
      <c r="EL136" s="16" t="e">
        <f t="shared" ca="1" si="153"/>
        <v>#N/A</v>
      </c>
      <c r="EM136" s="32" t="e">
        <f>IF(VLOOKUP(BQ136,Fundamentus!A:U,3,FALSE)&lt;15,"Bom",IF(VLOOKUP(BQ136,Fundamentus!A:U,3,FALSE)&gt;15,"Ruim","n/a"))</f>
        <v>#N/A</v>
      </c>
      <c r="EN136" s="28" t="e">
        <f>IF(VLOOKUP(BQ136,Fundamentus!A:U,4,FALSE)&lt;1,"Baixo",IF(VLOOKUP(BQ136,Fundamentus!A:U,4,FALSE)&lt;1.5,"Moderado",IF(VLOOKUP(BQ136,Fundamentus!A:U,4,FALSE)&gt;1.5,"Alto","n/a")))</f>
        <v>#N/A</v>
      </c>
      <c r="EO136" s="17" t="e">
        <f>IF(VLOOKUP(BQ136,Fundamentus!A:U,8,FALSE)&lt;0,"Risco elevado",IF(VLOOKUP(BQ136,Fundamentus!A:U,8,FALSE)&lt;1,"Saudável",IF(VLOOKUP(BQ136,Fundamentus!A:U,8,FALSE)&lt;3,"Estável",IF(VLOOKUP(BQ136,Fundamentus!A:U,8,FALSE)&gt;3,"Alerta","n/a"))))</f>
        <v>#N/A</v>
      </c>
      <c r="EP136" s="28" t="e">
        <f t="shared" si="167"/>
        <v>#N/A</v>
      </c>
      <c r="EQ136" s="17" t="e">
        <f>IF(VLOOKUP(BQ136,Fundamentus!A:U,12,FALSE)&lt;2,"Subvalorizada",IF(VLOOKUP(BQ136,Fundamentus!A:U,12,FALSE)&lt;6,"Muita barata",IF(VLOOKUP(BQ136,Fundamentus!A:U,12,FALSE)&lt;6,"Barata",IF(VLOOKUP(BQ136,Fundamentus!A:U,12,FALSE)&lt;8,"Atrativa",IF(VLOOKUP(BQ136,Fundamentus!A:U,12,FALSE)&gt;8,"Supervalorizada","n/a")))))</f>
        <v>#N/A</v>
      </c>
      <c r="ES136" s="17" t="e">
        <f>IF(VLOOKUP(BQ136,Fundamentus!A:U,17,FALSE)&lt;0.1,"Fraco retorno",IF(VLOOKUP(BQ136,Fundamentus!A:U,17,FALSE)&gt;0.1,"Bom retorno","n/a"))</f>
        <v>#N/A</v>
      </c>
      <c r="ET136" s="17" t="e">
        <f>IF(VLOOKUP(BQ136,Fundamentus!A:U,16,FALSE)&lt;0.1,"Ineficiente",IF(VLOOKUP(BQ136,Fundamentus!A:U,16,FALSE)&gt;0.1,"Eficiente","n/a"))</f>
        <v>#N/A</v>
      </c>
      <c r="EU136" s="33" t="e">
        <f>IF(VLOOKUP(BQ136,Fundamentus!A:U,16,FALSE)&lt;0.1,"Oper. Ineficiente",IF(VLOOKUP(BQ136,Fundamentus!A:U,16,FALSE)&gt;0.1,"Oper.Eficiente","n/a"))</f>
        <v>#N/A</v>
      </c>
      <c r="EV136" s="34" t="e">
        <f>VLOOKUP(BQ136,Fundamentus!A:U,14,FALSE)</f>
        <v>#N/A</v>
      </c>
      <c r="EW136" s="17" t="e">
        <f>IF(VLOOKUP(BQ136,Fundamentus!A:U,21,FALSE)&lt;0,"Negativo",IF(VLOOKUP(BQ136,Fundamentus!A:U,21,FALSE)&lt;0.05,"Fraco",IF(VLOOKUP(BQ136,Fundamentus!A:U,21,FALSE)&lt;0.1,"Bom",IF(VLOOKUP(BQ136,Fundamentus!A:U,21,FALSE)&gt;0.1,"Muito bom","n/a"))))</f>
        <v>#N/A</v>
      </c>
      <c r="EY136" s="29" t="e">
        <f>IF(VLOOKUP(BQ136,Fundamentus!A:U,15,FALSE)&gt;1,"Bom",IF(VLOOKUP(BQ136,Fundamentus!A:U,15,FALSE)&lt;1,"Ruim","n/a"))</f>
        <v>#N/A</v>
      </c>
      <c r="EZ136" s="17" t="e">
        <f>IF(VLOOKUP(BQ136,Fundamentus!A:U,20,FALSE)&lt;0.5,"Baixa",IF(VLOOKUP(BQ136,Fundamentus!A:U,20,FALSE)&lt;1,"Moderada",IF(VLOOKUP(BQ136,Fundamentus!A:U,20,FALSE)&lt;2,"Alerta",IF(VLOOKUP(BQ136,Fundamentus!A:U,20,FALSE)&gt;2,"Alta","n/a"))))</f>
        <v>#N/A</v>
      </c>
      <c r="FA136" s="10"/>
    </row>
    <row r="137" spans="1:157" s="2" customFormat="1" ht="11.25" hidden="1" x14ac:dyDescent="0.2">
      <c r="A137" s="4">
        <v>11.42</v>
      </c>
      <c r="B137" s="4">
        <v>11.27</v>
      </c>
      <c r="C137" s="4">
        <v>11.3</v>
      </c>
      <c r="D137" s="4">
        <v>10.99</v>
      </c>
      <c r="E137" s="4">
        <v>10.7</v>
      </c>
      <c r="F137" s="4">
        <v>10</v>
      </c>
      <c r="G137" s="4">
        <v>9.99</v>
      </c>
      <c r="H137" s="4">
        <v>10.34</v>
      </c>
      <c r="I137" s="4">
        <v>10.66</v>
      </c>
      <c r="J137" s="4">
        <v>10.59</v>
      </c>
      <c r="K137" s="4">
        <v>10.73</v>
      </c>
      <c r="L137" s="4">
        <v>11.06</v>
      </c>
      <c r="M137" s="4">
        <v>10.62</v>
      </c>
      <c r="N137" s="4">
        <v>10.19</v>
      </c>
      <c r="O137" s="4">
        <v>10.18</v>
      </c>
      <c r="P137" s="4">
        <v>10.06</v>
      </c>
      <c r="Q137" s="4">
        <v>10.55</v>
      </c>
      <c r="R137" s="4">
        <v>10.49</v>
      </c>
      <c r="S137" s="4">
        <v>10.48</v>
      </c>
      <c r="T137" s="4">
        <v>10.77</v>
      </c>
      <c r="U137" s="4">
        <v>10.43</v>
      </c>
      <c r="V137" s="4">
        <v>10.87</v>
      </c>
      <c r="W137" s="4">
        <v>10.86</v>
      </c>
      <c r="X137" s="4">
        <v>10.47</v>
      </c>
      <c r="Y137" s="4">
        <v>10.15</v>
      </c>
      <c r="Z137" s="4">
        <v>10.08</v>
      </c>
      <c r="AA137" s="4">
        <v>10.17</v>
      </c>
      <c r="AB137" s="4">
        <v>11.45</v>
      </c>
      <c r="AC137" s="4">
        <v>11.06</v>
      </c>
      <c r="AD137" s="4">
        <v>10.99</v>
      </c>
      <c r="AE137" s="4">
        <v>11.46</v>
      </c>
      <c r="AF137" s="4">
        <v>11.57</v>
      </c>
      <c r="AG137" s="4">
        <v>11.3</v>
      </c>
      <c r="AH137" s="4">
        <v>10.62</v>
      </c>
      <c r="AI137" s="4">
        <v>10.32</v>
      </c>
      <c r="AJ137" s="4">
        <v>9.75</v>
      </c>
      <c r="AK137" s="4">
        <v>9.41</v>
      </c>
      <c r="AL137" s="4">
        <v>9.69</v>
      </c>
      <c r="AM137" s="4">
        <v>9.81</v>
      </c>
      <c r="AN137" s="4">
        <v>9.6199999999999992</v>
      </c>
      <c r="AO137" s="4">
        <v>9.35</v>
      </c>
      <c r="AP137" s="4">
        <v>9.73</v>
      </c>
      <c r="AQ137" s="4">
        <v>8.9499999999999993</v>
      </c>
      <c r="AR137" s="4">
        <v>9.17</v>
      </c>
      <c r="AS137" s="4">
        <v>9.2200000000000006</v>
      </c>
      <c r="AT137" s="4">
        <v>9.36</v>
      </c>
      <c r="AU137" s="4">
        <v>9.4499999999999993</v>
      </c>
      <c r="AV137" s="4">
        <v>9.34</v>
      </c>
      <c r="AW137" s="4">
        <v>8.35</v>
      </c>
      <c r="AX137" s="4">
        <v>8.16</v>
      </c>
      <c r="AY137" s="12">
        <v>8.3000000000000007</v>
      </c>
      <c r="AZ137" s="12">
        <v>8.59</v>
      </c>
      <c r="BA137" s="12">
        <v>8.41</v>
      </c>
      <c r="BB137" s="15">
        <v>8.35</v>
      </c>
      <c r="BC137" s="52">
        <v>8.67</v>
      </c>
      <c r="BD137" s="52">
        <v>8.51</v>
      </c>
      <c r="BE137" s="52">
        <v>8.36</v>
      </c>
      <c r="BF137" s="52">
        <v>9.2200000000000006</v>
      </c>
      <c r="BG137" s="67">
        <v>9.19</v>
      </c>
      <c r="BH137" s="52">
        <v>8.91</v>
      </c>
      <c r="BI137" s="52">
        <v>8.82</v>
      </c>
      <c r="BJ137" s="52">
        <v>9.3699999999999992</v>
      </c>
      <c r="BK137" s="52">
        <v>9.32</v>
      </c>
      <c r="BL137" s="52">
        <v>9</v>
      </c>
      <c r="BM137" s="52">
        <v>9.5399999999999991</v>
      </c>
      <c r="BN137" s="52">
        <v>8.99</v>
      </c>
      <c r="BO137" s="52">
        <v>9.1199999999999992</v>
      </c>
      <c r="BP137" s="52" cm="1">
        <f t="array" aca="1" ref="BP137" ca="1">_FV(ED137,"Preço")</f>
        <v>9.09</v>
      </c>
      <c r="BQ137" s="69" t="s">
        <v>133</v>
      </c>
      <c r="BR137" s="36" cm="1">
        <f t="array" aca="1" ref="BR137" ca="1">_FV(ED137,"Média de volume",TRUE)</f>
        <v>7424690</v>
      </c>
      <c r="BS137" s="36">
        <v>6404900</v>
      </c>
      <c r="BT137" s="36" cm="1">
        <f t="array" aca="1" ref="BT137" ca="1">_FV(ED137,"Volume")</f>
        <v>4585500</v>
      </c>
      <c r="BU137" s="24" cm="1">
        <f t="array" aca="1" ref="BU137" ca="1">_FV(ED137,"Beta")</f>
        <v>0.68500000000000005</v>
      </c>
      <c r="BV137" s="71" cm="1">
        <f t="array" aca="1" ref="BV137" ca="1">_FV(ED137,"Variação (%)",TRUE)</f>
        <v>2.2049999999999999E-3</v>
      </c>
      <c r="BX137" s="17" cm="1">
        <f t="array" aca="1" ref="BX137" ca="1">_FV(ED137,"Baixo")</f>
        <v>8.99</v>
      </c>
      <c r="BY137" s="17" cm="1">
        <f t="array" aca="1" ref="BY137" ca="1">_FV(ED137,"Alto")</f>
        <v>9.17</v>
      </c>
      <c r="BZ137" s="24"/>
      <c r="CA137" s="63">
        <f ca="1">SQRT(22.5*(BP137/VLOOKUP(BQ137,Fundamentus!A:U,3,FALSE))*(BP137/VLOOKUP(BQ137,Fundamentus!A:U,4,FALSE)))</f>
        <v>21.041015258334596</v>
      </c>
      <c r="CC137" s="62">
        <f t="shared" ca="1" si="168"/>
        <v>-3.2894736842104563E-3</v>
      </c>
      <c r="CD137" s="8"/>
      <c r="CE137" s="61">
        <f t="shared" si="169"/>
        <v>8.16</v>
      </c>
      <c r="CF137" s="61">
        <f t="shared" si="170"/>
        <v>11.57</v>
      </c>
      <c r="CG137" s="61">
        <f t="shared" si="171"/>
        <v>9.913731343283585</v>
      </c>
      <c r="CH137" s="14"/>
      <c r="CI137" s="35">
        <f t="shared" si="154"/>
        <v>8.6951714635711479</v>
      </c>
      <c r="CJ137" s="15">
        <f t="shared" si="172"/>
        <v>9.1150000000000091</v>
      </c>
      <c r="CK137" s="35">
        <f t="shared" si="155"/>
        <v>9.5348285364288703</v>
      </c>
      <c r="CM137" s="14"/>
      <c r="CN137" s="17">
        <f t="shared" si="156"/>
        <v>4.2533333333333339</v>
      </c>
      <c r="CO137" s="17">
        <f t="shared" si="157"/>
        <v>6.206666666666667</v>
      </c>
      <c r="CP137" s="17">
        <f t="shared" si="158"/>
        <v>7.663333333333334</v>
      </c>
      <c r="CQ137" s="38">
        <f t="shared" si="173"/>
        <v>9.6166666666666671</v>
      </c>
      <c r="CR137" s="17">
        <f t="shared" si="159"/>
        <v>11.073333333333334</v>
      </c>
      <c r="CS137" s="17">
        <f t="shared" si="160"/>
        <v>13.026666666666667</v>
      </c>
      <c r="CT137" s="17">
        <f t="shared" si="161"/>
        <v>14.483333333333334</v>
      </c>
      <c r="CU137" s="2" cm="1">
        <f t="array" aca="1" ref="CU137" ca="1">MAX(_xlfn._xlws.FILTER(CN137:CT137,CN137:CT137&lt;BP137))</f>
        <v>7.663333333333334</v>
      </c>
      <c r="CV137" s="2" cm="1">
        <f t="array" aca="1" ref="CV137" ca="1">MIN(_xlfn._xlws.FILTER($CN137:$CT137,$CN137:$CT137&gt;BP137))</f>
        <v>9.6166666666666671</v>
      </c>
      <c r="CW137" s="16">
        <f t="shared" ca="1" si="136"/>
        <v>0.25489343192692471</v>
      </c>
      <c r="CX137" s="20">
        <f t="shared" ca="1" si="137"/>
        <v>-0.12744671596346235</v>
      </c>
      <c r="CY137" s="20">
        <f t="shared" ca="1" si="138"/>
        <v>-8.4964477308974898E-2</v>
      </c>
      <c r="CZ137" s="20">
        <f t="shared" ca="1" si="139"/>
        <v>-5.0978686385384941E-2</v>
      </c>
      <c r="DA137" s="20">
        <f t="shared" ca="1" si="140"/>
        <v>-2.8321492436324966E-2</v>
      </c>
      <c r="DB137" s="20">
        <f t="shared" ca="1" si="141"/>
        <v>-1.4993731289819101E-2</v>
      </c>
      <c r="DC137" s="20">
        <f t="shared" ca="1" si="142"/>
        <v>-7.7240433917249909E-3</v>
      </c>
      <c r="DD137" s="20">
        <f t="shared" ca="1" si="143"/>
        <v>-3.9214374142603802E-3</v>
      </c>
      <c r="DE137" s="21">
        <f t="shared" ca="1" si="144"/>
        <v>3.9214374142603802E-3</v>
      </c>
      <c r="DF137" s="21">
        <f t="shared" ca="1" si="145"/>
        <v>7.7240433917249909E-3</v>
      </c>
      <c r="DG137" s="21">
        <f t="shared" ca="1" si="146"/>
        <v>1.4993731289819101E-2</v>
      </c>
      <c r="DH137" s="21">
        <f t="shared" ca="1" si="147"/>
        <v>2.8321492436324966E-2</v>
      </c>
      <c r="DI137" s="21">
        <f t="shared" ca="1" si="148"/>
        <v>5.0978686385384941E-2</v>
      </c>
      <c r="DJ137" s="21">
        <f t="shared" ca="1" si="149"/>
        <v>8.4964477308974898E-2</v>
      </c>
      <c r="DK137" s="21">
        <f t="shared" ca="1" si="150"/>
        <v>0.12744671596346235</v>
      </c>
      <c r="DM137" s="16" cm="1">
        <f t="array" aca="1" ref="DM137" ca="1">MAX(_xlfn._xlws.FILTER(CX137:DK137,CX137:DK137&lt;BV137))</f>
        <v>-3.9214374142603802E-3</v>
      </c>
      <c r="DN137" s="16" cm="1">
        <f t="array" aca="1" ref="DN137" ca="1">MIN(_xlfn._xlws.FILTER(CX137:DK137,CX137:DK137&gt;BV137))</f>
        <v>3.9214374142603802E-3</v>
      </c>
      <c r="DO137" s="2" cm="1">
        <f t="array" aca="1" ref="DO137" ca="1">_FV(ED137,"Fechamento anterior",TRUE)</f>
        <v>9.07</v>
      </c>
      <c r="DP137" s="28">
        <f t="shared" ca="1" si="162"/>
        <v>0.78115604456803533</v>
      </c>
      <c r="DQ137" s="15">
        <f t="shared" ca="1" si="151"/>
        <v>9.0344325626526594</v>
      </c>
      <c r="DR137" s="15">
        <f t="shared" ca="1" si="152"/>
        <v>9.1055674373473412</v>
      </c>
      <c r="DS137" s="9"/>
      <c r="DT137" s="9"/>
      <c r="DU137" s="9"/>
      <c r="DV137" s="89">
        <v>7.2696878980941099E-3</v>
      </c>
      <c r="DW137" s="89">
        <f t="shared" ca="1" si="163"/>
        <v>7.8428748285207604E-3</v>
      </c>
      <c r="DX137" s="72">
        <f t="shared" ca="1" si="164"/>
        <v>-5.9548119841170963E-2</v>
      </c>
      <c r="DY137" s="37"/>
      <c r="DZ137" s="35">
        <f t="shared" si="174"/>
        <v>0.20991426821443057</v>
      </c>
      <c r="EA137" s="56"/>
      <c r="EB137" s="56"/>
      <c r="ED137" s="2" t="e" vm="136">
        <v>#VALUE!</v>
      </c>
      <c r="EF137" s="10" cm="1">
        <f t="array" aca="1" ref="EF137" ca="1">_FV(ED137,"Ações em circulação",TRUE)</f>
        <v>993705800</v>
      </c>
      <c r="EG137" s="18">
        <f>VLOOKUP(BQ137,Fundamentus!A:U,5,FALSE)</f>
        <v>0.14000000000000001</v>
      </c>
      <c r="EH137" s="2">
        <f t="shared" ca="1" si="165"/>
        <v>64519898014.285706</v>
      </c>
      <c r="EI137" s="17">
        <v>3146015779.6114283</v>
      </c>
      <c r="EJ137" s="17">
        <f t="shared" ca="1" si="166"/>
        <v>3135667043.4942851</v>
      </c>
      <c r="EL137" s="16">
        <f t="shared" ca="1" si="153"/>
        <v>-3.2894736842106198E-3</v>
      </c>
      <c r="EM137" s="32" t="str">
        <f>IF(VLOOKUP(BQ137,Fundamentus!A:U,3,FALSE)&lt;15,"Bom",IF(VLOOKUP(BQ137,Fundamentus!A:U,3,FALSE)&gt;15,"Ruim","n/a"))</f>
        <v>Bom</v>
      </c>
      <c r="EN137" s="28" t="str">
        <f>IF(VLOOKUP(BQ137,Fundamentus!A:U,4,FALSE)&lt;1,"Baixo",IF(VLOOKUP(BQ137,Fundamentus!A:U,4,FALSE)&lt;1.5,"Moderado",IF(VLOOKUP(BQ137,Fundamentus!A:U,4,FALSE)&gt;1.5,"Alto","n/a")))</f>
        <v>Baixo</v>
      </c>
      <c r="EO137" s="17" t="str">
        <f>IF(VLOOKUP(BQ137,Fundamentus!A:U,8,FALSE)&lt;0,"Risco elevado",IF(VLOOKUP(BQ137,Fundamentus!A:U,8,FALSE)&lt;1,"Saudável",IF(VLOOKUP(BQ137,Fundamentus!A:U,8,FALSE)&lt;3,"Estável",IF(VLOOKUP(BQ137,Fundamentus!A:U,8,FALSE)&gt;3,"Alerta","n/a"))))</f>
        <v>Saudável</v>
      </c>
      <c r="EP137" s="28" t="str">
        <f t="shared" si="167"/>
        <v>Ruim</v>
      </c>
      <c r="EQ137" s="17" t="str">
        <f>IF(VLOOKUP(BQ137,Fundamentus!A:U,12,FALSE)&lt;2,"Subvalorizada",IF(VLOOKUP(BQ137,Fundamentus!A:U,12,FALSE)&lt;6,"Muita barata",IF(VLOOKUP(BQ137,Fundamentus!A:U,12,FALSE)&lt;6,"Barata",IF(VLOOKUP(BQ137,Fundamentus!A:U,12,FALSE)&lt;8,"Atrativa",IF(VLOOKUP(BQ137,Fundamentus!A:U,12,FALSE)&gt;8,"Supervalorizada","n/a")))))</f>
        <v>Subvalorizada</v>
      </c>
      <c r="ES137" s="17" t="str">
        <f>IF(VLOOKUP(BQ137,Fundamentus!A:U,17,FALSE)&lt;0.1,"Fraco retorno",IF(VLOOKUP(BQ137,Fundamentus!A:U,17,FALSE)&gt;0.1,"Bom retorno","n/a"))</f>
        <v>Fraco retorno</v>
      </c>
      <c r="ET137" s="17" t="str">
        <f>IF(VLOOKUP(BQ137,Fundamentus!A:U,16,FALSE)&lt;0.1,"Ineficiente",IF(VLOOKUP(BQ137,Fundamentus!A:U,16,FALSE)&gt;0.1,"Eficiente","n/a"))</f>
        <v>Ineficiente</v>
      </c>
      <c r="EU137" s="33" t="str">
        <f>IF(VLOOKUP(BQ137,Fundamentus!A:U,16,FALSE)&lt;0.1,"Oper. Ineficiente",IF(VLOOKUP(BQ137,Fundamentus!A:U,16,FALSE)&gt;0.1,"Oper.Eficiente","n/a"))</f>
        <v>Oper. Ineficiente</v>
      </c>
      <c r="EV137" s="34">
        <f>VLOOKUP(BQ137,Fundamentus!A:U,14,FALSE)</f>
        <v>4.8599999999999997E-2</v>
      </c>
      <c r="EW137" s="17" t="str">
        <f>IF(VLOOKUP(BQ137,Fundamentus!A:U,21,FALSE)&lt;0,"Negativo",IF(VLOOKUP(BQ137,Fundamentus!A:U,21,FALSE)&lt;0.05,"Fraco",IF(VLOOKUP(BQ137,Fundamentus!A:U,21,FALSE)&lt;0.1,"Bom",IF(VLOOKUP(BQ137,Fundamentus!A:U,21,FALSE)&gt;0.1,"Muito bom","n/a"))))</f>
        <v>Fraco</v>
      </c>
      <c r="EY137" s="29" t="str">
        <f>IF(VLOOKUP(BQ137,Fundamentus!A:U,15,FALSE)&gt;1,"Bom",IF(VLOOKUP(BQ137,Fundamentus!A:U,15,FALSE)&lt;1,"Ruim","n/a"))</f>
        <v>Bom</v>
      </c>
      <c r="EZ137" s="17" t="str">
        <f>IF(VLOOKUP(BQ137,Fundamentus!A:U,20,FALSE)&lt;0.5,"Baixa",IF(VLOOKUP(BQ137,Fundamentus!A:U,20,FALSE)&lt;1,"Moderada",IF(VLOOKUP(BQ137,Fundamentus!A:U,20,FALSE)&lt;2,"Alerta",IF(VLOOKUP(BQ137,Fundamentus!A:U,20,FALSE)&gt;2,"Alta","n/a"))))</f>
        <v>Moderada</v>
      </c>
      <c r="FA137" s="10"/>
    </row>
    <row r="138" spans="1:157" s="2" customFormat="1" ht="11.25" hidden="1" x14ac:dyDescent="0.2">
      <c r="A138" s="4">
        <v>4.57</v>
      </c>
      <c r="B138" s="4">
        <v>4.54</v>
      </c>
      <c r="C138" s="4">
        <v>4.46</v>
      </c>
      <c r="D138" s="4">
        <v>4.4000000000000004</v>
      </c>
      <c r="E138" s="4">
        <v>4.3099999999999996</v>
      </c>
      <c r="F138" s="4">
        <v>4.08</v>
      </c>
      <c r="G138" s="4">
        <v>4.16</v>
      </c>
      <c r="H138" s="4">
        <v>4.0199999999999996</v>
      </c>
      <c r="I138" s="4">
        <v>3.99</v>
      </c>
      <c r="J138" s="4">
        <v>3.9</v>
      </c>
      <c r="K138" s="4">
        <v>4</v>
      </c>
      <c r="L138" s="4">
        <v>4.1399999999999997</v>
      </c>
      <c r="M138" s="4">
        <v>4.1900000000000004</v>
      </c>
      <c r="N138" s="4">
        <v>4.1399999999999997</v>
      </c>
      <c r="O138" s="4">
        <v>4.2</v>
      </c>
      <c r="P138" s="4">
        <v>4.0999999999999996</v>
      </c>
      <c r="Q138" s="4">
        <v>4.17</v>
      </c>
      <c r="R138" s="4">
        <v>4.37</v>
      </c>
      <c r="S138" s="4">
        <v>4.4000000000000004</v>
      </c>
      <c r="T138" s="4">
        <v>4.18</v>
      </c>
      <c r="U138" s="4">
        <v>4.21</v>
      </c>
      <c r="V138" s="4">
        <v>4.1900000000000004</v>
      </c>
      <c r="W138" s="4">
        <v>4.18</v>
      </c>
      <c r="X138" s="4">
        <v>4.1100000000000003</v>
      </c>
      <c r="Y138" s="4">
        <v>4.12</v>
      </c>
      <c r="Z138" s="4">
        <v>4.1500000000000004</v>
      </c>
      <c r="AA138" s="4">
        <v>4.05</v>
      </c>
      <c r="AB138" s="4">
        <v>4.04</v>
      </c>
      <c r="AC138" s="4">
        <v>4</v>
      </c>
      <c r="AD138" s="4">
        <v>4.03</v>
      </c>
      <c r="AE138" s="4">
        <v>4.12</v>
      </c>
      <c r="AF138" s="4">
        <v>4</v>
      </c>
      <c r="AG138" s="4">
        <v>3.98</v>
      </c>
      <c r="AH138" s="4">
        <v>4</v>
      </c>
      <c r="AI138" s="4">
        <v>4.0999999999999996</v>
      </c>
      <c r="AJ138" s="4">
        <v>4.0599999999999996</v>
      </c>
      <c r="AK138" s="4">
        <v>3.95</v>
      </c>
      <c r="AL138" s="4">
        <v>4</v>
      </c>
      <c r="AM138" s="4">
        <v>4</v>
      </c>
      <c r="AN138" s="4">
        <v>4.1500000000000004</v>
      </c>
      <c r="AO138" s="4">
        <v>4.0999999999999996</v>
      </c>
      <c r="AP138" s="4">
        <v>4.12</v>
      </c>
      <c r="AQ138" s="4">
        <v>4.0999999999999996</v>
      </c>
      <c r="AR138" s="4">
        <v>4.09</v>
      </c>
      <c r="AS138" s="4">
        <v>4</v>
      </c>
      <c r="AT138" s="4">
        <v>3.99</v>
      </c>
      <c r="AU138" s="4">
        <v>4.0199999999999996</v>
      </c>
      <c r="AV138" s="4">
        <v>3.94</v>
      </c>
      <c r="AW138" s="4">
        <v>3.94</v>
      </c>
      <c r="AX138" s="4">
        <v>3.9</v>
      </c>
      <c r="AY138" s="12">
        <v>3.73</v>
      </c>
      <c r="AZ138" s="12">
        <v>3.76</v>
      </c>
      <c r="BA138" s="12">
        <v>3.9</v>
      </c>
      <c r="BB138" s="15">
        <v>3.75</v>
      </c>
      <c r="BC138" s="52">
        <v>4.09</v>
      </c>
      <c r="BD138" s="52">
        <v>4.05</v>
      </c>
      <c r="BE138" s="52">
        <v>3.85</v>
      </c>
      <c r="BF138" s="52">
        <v>3.99</v>
      </c>
      <c r="BG138" s="67">
        <v>3.98</v>
      </c>
      <c r="BH138" s="52">
        <v>3.83</v>
      </c>
      <c r="BI138" s="52">
        <v>3.95</v>
      </c>
      <c r="BJ138" s="52">
        <v>4</v>
      </c>
      <c r="BK138" s="52">
        <v>4.33</v>
      </c>
      <c r="BL138" s="52">
        <v>4.25</v>
      </c>
      <c r="BM138" s="52">
        <v>4.3</v>
      </c>
      <c r="BN138" s="52">
        <v>4</v>
      </c>
      <c r="BO138" s="52">
        <v>4.03</v>
      </c>
      <c r="BP138" s="52" cm="1">
        <f t="array" aca="1" ref="BP138" ca="1">_FV(ED138,"Preço")</f>
        <v>4</v>
      </c>
      <c r="BQ138" s="69" t="s">
        <v>134</v>
      </c>
      <c r="BR138" s="36" t="e" cm="1" vm="3">
        <f t="array" ref="BR138">_FV(ED138,"Média de volume",TRUE)</f>
        <v>#VALUE!</v>
      </c>
      <c r="BS138" s="36">
        <v>200</v>
      </c>
      <c r="BT138" s="36" cm="1">
        <f t="array" aca="1" ref="BT138" ca="1">_FV(ED138,"Volume")</f>
        <v>100</v>
      </c>
      <c r="BU138" s="24" t="e" cm="1" vm="137">
        <f t="array" ref="BU138">_FV(ED138,"Beta")</f>
        <v>#VALUE!</v>
      </c>
      <c r="BV138" s="71" cm="1">
        <f t="array" aca="1" ref="BV138" ca="1">_FV(ED138,"Variação (%)",TRUE)</f>
        <v>1.7811999999999998E-2</v>
      </c>
      <c r="BX138" s="17" cm="1">
        <f t="array" aca="1" ref="BX138" ca="1">_FV(ED138,"Baixo")</f>
        <v>4</v>
      </c>
      <c r="BY138" s="17" cm="1">
        <f t="array" aca="1" ref="BY138" ca="1">_FV(ED138,"Alto")</f>
        <v>4</v>
      </c>
      <c r="BZ138" s="24"/>
      <c r="CA138" s="63" t="e">
        <f ca="1">SQRT(22.5*(BP138/VLOOKUP(BQ138,Fundamentus!A:U,3,FALSE))*(BP138/VLOOKUP(BQ138,Fundamentus!A:U,4,FALSE)))</f>
        <v>#NUM!</v>
      </c>
      <c r="CC138" s="62">
        <f t="shared" ca="1" si="168"/>
        <v>-7.4441687344913767E-3</v>
      </c>
      <c r="CD138" s="8"/>
      <c r="CE138" s="61">
        <f t="shared" si="169"/>
        <v>3.73</v>
      </c>
      <c r="CF138" s="61">
        <f t="shared" si="170"/>
        <v>4.57</v>
      </c>
      <c r="CG138" s="61">
        <f t="shared" si="171"/>
        <v>4.0858208955223878</v>
      </c>
      <c r="CH138" s="14"/>
      <c r="CI138" s="35">
        <f t="shared" si="154"/>
        <v>3.6268921072676736</v>
      </c>
      <c r="CJ138" s="15">
        <f t="shared" si="172"/>
        <v>3.9049999999999727</v>
      </c>
      <c r="CK138" s="35">
        <f t="shared" si="155"/>
        <v>4.1831078927322718</v>
      </c>
      <c r="CM138" s="14"/>
      <c r="CN138" s="17">
        <f t="shared" si="156"/>
        <v>2.81</v>
      </c>
      <c r="CO138" s="17">
        <f t="shared" si="157"/>
        <v>3.27</v>
      </c>
      <c r="CP138" s="17">
        <f t="shared" si="158"/>
        <v>3.6500000000000004</v>
      </c>
      <c r="CQ138" s="38">
        <f t="shared" si="173"/>
        <v>4.1100000000000003</v>
      </c>
      <c r="CR138" s="17">
        <f t="shared" si="159"/>
        <v>4.49</v>
      </c>
      <c r="CS138" s="17">
        <f t="shared" si="160"/>
        <v>4.9500000000000011</v>
      </c>
      <c r="CT138" s="17">
        <f t="shared" si="161"/>
        <v>5.330000000000001</v>
      </c>
      <c r="CU138" s="2" cm="1">
        <f t="array" aca="1" ref="CU138" ca="1">MAX(_xlfn._xlws.FILTER(CN138:CT138,CN138:CT138&lt;BP138))</f>
        <v>3.6500000000000004</v>
      </c>
      <c r="CV138" s="2" cm="1">
        <f t="array" aca="1" ref="CV138" ca="1">MIN(_xlfn._xlws.FILTER($CN138:$CT138,$CN138:$CT138&gt;BP138))</f>
        <v>4.1100000000000003</v>
      </c>
      <c r="CW138" s="16">
        <f t="shared" ca="1" si="136"/>
        <v>0.1260273972602739</v>
      </c>
      <c r="CX138" s="20">
        <f t="shared" ca="1" si="137"/>
        <v>-6.3013698630136949E-2</v>
      </c>
      <c r="CY138" s="20">
        <f t="shared" ca="1" si="138"/>
        <v>-4.20091324200913E-2</v>
      </c>
      <c r="CZ138" s="20">
        <f t="shared" ca="1" si="139"/>
        <v>-2.5205479452054778E-2</v>
      </c>
      <c r="DA138" s="20">
        <f t="shared" ca="1" si="140"/>
        <v>-1.4003044140030433E-2</v>
      </c>
      <c r="DB138" s="20">
        <f t="shared" ca="1" si="141"/>
        <v>-7.4133763094278767E-3</v>
      </c>
      <c r="DC138" s="20">
        <f t="shared" ca="1" si="142"/>
        <v>-3.8190120381901183E-3</v>
      </c>
      <c r="DD138" s="20">
        <f t="shared" ca="1" si="143"/>
        <v>-1.9388830347734445E-3</v>
      </c>
      <c r="DE138" s="21">
        <f t="shared" ca="1" si="144"/>
        <v>1.9388830347734445E-3</v>
      </c>
      <c r="DF138" s="21">
        <f t="shared" ca="1" si="145"/>
        <v>3.8190120381901183E-3</v>
      </c>
      <c r="DG138" s="21">
        <f t="shared" ca="1" si="146"/>
        <v>7.4133763094278767E-3</v>
      </c>
      <c r="DH138" s="21">
        <f t="shared" ca="1" si="147"/>
        <v>1.4003044140030433E-2</v>
      </c>
      <c r="DI138" s="21">
        <f t="shared" ca="1" si="148"/>
        <v>2.5205479452054778E-2</v>
      </c>
      <c r="DJ138" s="21">
        <f t="shared" ca="1" si="149"/>
        <v>4.20091324200913E-2</v>
      </c>
      <c r="DK138" s="21">
        <f t="shared" ca="1" si="150"/>
        <v>6.3013698630136949E-2</v>
      </c>
      <c r="DM138" s="16" cm="1">
        <f t="array" aca="1" ref="DM138" ca="1">MAX(_xlfn._xlws.FILTER(CX138:DK138,CX138:DK138&lt;BV138))</f>
        <v>1.4003044140030433E-2</v>
      </c>
      <c r="DN138" s="16" cm="1">
        <f t="array" aca="1" ref="DN138" ca="1">MIN(_xlfn._xlws.FILTER(CX138:DK138,CX138:DK138&gt;BV138))</f>
        <v>2.5205479452054778E-2</v>
      </c>
      <c r="DO138" s="2" cm="1">
        <f t="array" aca="1" ref="DO138" ca="1">_FV(ED138,"Fechamento anterior",TRUE)</f>
        <v>3.93</v>
      </c>
      <c r="DP138" s="28">
        <f t="shared" ca="1" si="162"/>
        <v>0.33998506471954387</v>
      </c>
      <c r="DQ138" s="15">
        <f t="shared" ca="1" si="151"/>
        <v>3.9850319634703197</v>
      </c>
      <c r="DR138" s="15">
        <f t="shared" ca="1" si="152"/>
        <v>4.0290575342465758</v>
      </c>
      <c r="DS138" s="9"/>
      <c r="DT138" s="9"/>
      <c r="DU138" s="9"/>
      <c r="DV138" s="89">
        <v>3.877766069546889E-3</v>
      </c>
      <c r="DW138" s="89">
        <f t="shared" ca="1" si="163"/>
        <v>1.1202435312024346E-2</v>
      </c>
      <c r="DX138" s="72">
        <f t="shared" ca="1" si="164"/>
        <v>0.34159404491073658</v>
      </c>
      <c r="DY138" s="37"/>
      <c r="DZ138" s="35">
        <f t="shared" si="174"/>
        <v>0.13905394636614951</v>
      </c>
      <c r="EA138" s="56"/>
      <c r="EB138" s="56"/>
      <c r="ED138" s="2" t="e" vm="138">
        <v>#VALUE!</v>
      </c>
      <c r="EF138" s="10" cm="1">
        <f t="array" aca="1" ref="EF138" ca="1">_FV(ED138,"Ações em circulação",TRUE)</f>
        <v>75645290</v>
      </c>
      <c r="EG138" s="18">
        <f>VLOOKUP(BQ138,Fundamentus!A:U,5,FALSE)</f>
        <v>0.50700000000000001</v>
      </c>
      <c r="EH138" s="2">
        <f t="shared" ca="1" si="165"/>
        <v>596807021.69625247</v>
      </c>
      <c r="EI138" s="17">
        <v>-3908339.9833333339</v>
      </c>
      <c r="EJ138" s="17">
        <f t="shared" ca="1" si="166"/>
        <v>-3879245.641025641</v>
      </c>
      <c r="EL138" s="16">
        <f t="shared" ca="1" si="153"/>
        <v>-7.4441687344914964E-3</v>
      </c>
      <c r="EM138" s="32" t="str">
        <f>IF(VLOOKUP(BQ138,Fundamentus!A:U,3,FALSE)&lt;15,"Bom",IF(VLOOKUP(BQ138,Fundamentus!A:U,3,FALSE)&gt;15,"Ruim","n/a"))</f>
        <v>Bom</v>
      </c>
      <c r="EN138" s="28" t="str">
        <f>IF(VLOOKUP(BQ138,Fundamentus!A:U,4,FALSE)&lt;1,"Baixo",IF(VLOOKUP(BQ138,Fundamentus!A:U,4,FALSE)&lt;1.5,"Moderado",IF(VLOOKUP(BQ138,Fundamentus!A:U,4,FALSE)&gt;1.5,"Alto","n/a")))</f>
        <v>Baixo</v>
      </c>
      <c r="EO138" s="17" t="str">
        <f>IF(VLOOKUP(BQ138,Fundamentus!A:U,8,FALSE)&lt;0,"Risco elevado",IF(VLOOKUP(BQ138,Fundamentus!A:U,8,FALSE)&lt;1,"Saudável",IF(VLOOKUP(BQ138,Fundamentus!A:U,8,FALSE)&lt;3,"Estável",IF(VLOOKUP(BQ138,Fundamentus!A:U,8,FALSE)&gt;3,"Alerta","n/a"))))</f>
        <v>Saudável</v>
      </c>
      <c r="EP138" s="28" t="str">
        <f t="shared" si="167"/>
        <v>Ruim</v>
      </c>
      <c r="EQ138" s="17" t="str">
        <f>IF(VLOOKUP(BQ138,Fundamentus!A:U,12,FALSE)&lt;2,"Subvalorizada",IF(VLOOKUP(BQ138,Fundamentus!A:U,12,FALSE)&lt;6,"Muita barata",IF(VLOOKUP(BQ138,Fundamentus!A:U,12,FALSE)&lt;6,"Barata",IF(VLOOKUP(BQ138,Fundamentus!A:U,12,FALSE)&lt;8,"Atrativa",IF(VLOOKUP(BQ138,Fundamentus!A:U,12,FALSE)&gt;8,"Supervalorizada","n/a")))))</f>
        <v>Subvalorizada</v>
      </c>
      <c r="ES138" s="17" t="str">
        <f>IF(VLOOKUP(BQ138,Fundamentus!A:U,17,FALSE)&lt;0.1,"Fraco retorno",IF(VLOOKUP(BQ138,Fundamentus!A:U,17,FALSE)&gt;0.1,"Bom retorno","n/a"))</f>
        <v>Fraco retorno</v>
      </c>
      <c r="ET138" s="17" t="str">
        <f>IF(VLOOKUP(BQ138,Fundamentus!A:U,16,FALSE)&lt;0.1,"Ineficiente",IF(VLOOKUP(BQ138,Fundamentus!A:U,16,FALSE)&gt;0.1,"Eficiente","n/a"))</f>
        <v>Ineficiente</v>
      </c>
      <c r="EU138" s="33" t="str">
        <f>IF(VLOOKUP(BQ138,Fundamentus!A:U,16,FALSE)&lt;0.1,"Oper. Ineficiente",IF(VLOOKUP(BQ138,Fundamentus!A:U,16,FALSE)&gt;0.1,"Oper.Eficiente","n/a"))</f>
        <v>Oper. Ineficiente</v>
      </c>
      <c r="EV138" s="34">
        <f>VLOOKUP(BQ138,Fundamentus!A:U,14,FALSE)</f>
        <v>-6.4999999999999997E-3</v>
      </c>
      <c r="EW138" s="17" t="str">
        <f>IF(VLOOKUP(BQ138,Fundamentus!A:U,21,FALSE)&lt;0,"Negativo",IF(VLOOKUP(BQ138,Fundamentus!A:U,21,FALSE)&lt;0.05,"Fraco",IF(VLOOKUP(BQ138,Fundamentus!A:U,21,FALSE)&lt;0.1,"Bom",IF(VLOOKUP(BQ138,Fundamentus!A:U,21,FALSE)&gt;0.1,"Muito bom","n/a"))))</f>
        <v>Fraco</v>
      </c>
      <c r="EY138" s="29" t="str">
        <f>IF(VLOOKUP(BQ138,Fundamentus!A:U,15,FALSE)&gt;1,"Bom",IF(VLOOKUP(BQ138,Fundamentus!A:U,15,FALSE)&lt;1,"Ruim","n/a"))</f>
        <v>Bom</v>
      </c>
      <c r="EZ138" s="17" t="str">
        <f>IF(VLOOKUP(BQ138,Fundamentus!A:U,20,FALSE)&lt;0.5,"Baixa",IF(VLOOKUP(BQ138,Fundamentus!A:U,20,FALSE)&lt;1,"Moderada",IF(VLOOKUP(BQ138,Fundamentus!A:U,20,FALSE)&lt;2,"Alerta",IF(VLOOKUP(BQ138,Fundamentus!A:U,20,FALSE)&gt;2,"Alta","n/a"))))</f>
        <v>Baixa</v>
      </c>
      <c r="FA138" s="10"/>
    </row>
    <row r="139" spans="1:157" s="2" customFormat="1" ht="11.25" hidden="1" x14ac:dyDescent="0.2">
      <c r="A139" s="4">
        <v>16.72</v>
      </c>
      <c r="B139" s="4">
        <v>18.91</v>
      </c>
      <c r="C139" s="4">
        <v>19.36</v>
      </c>
      <c r="D139" s="4">
        <v>19.02</v>
      </c>
      <c r="E139" s="4">
        <v>18.53</v>
      </c>
      <c r="F139" s="4">
        <v>18.329999999999998</v>
      </c>
      <c r="G139" s="4">
        <v>18.63</v>
      </c>
      <c r="H139" s="4">
        <v>20.55</v>
      </c>
      <c r="I139" s="4">
        <v>22.77</v>
      </c>
      <c r="J139" s="4">
        <v>22.83</v>
      </c>
      <c r="K139" s="4">
        <v>22.46</v>
      </c>
      <c r="L139" s="4">
        <v>20.99</v>
      </c>
      <c r="M139" s="4">
        <v>21.59</v>
      </c>
      <c r="N139" s="4">
        <v>20.95</v>
      </c>
      <c r="O139" s="4">
        <v>21.93</v>
      </c>
      <c r="P139" s="4">
        <v>24.32</v>
      </c>
      <c r="Q139" s="4">
        <v>25.19</v>
      </c>
      <c r="R139" s="4">
        <v>26.23</v>
      </c>
      <c r="S139" s="4">
        <v>25.21</v>
      </c>
      <c r="T139" s="4">
        <v>24.67</v>
      </c>
      <c r="U139" s="4">
        <v>25.12</v>
      </c>
      <c r="V139" s="4">
        <v>24.26</v>
      </c>
      <c r="W139" s="4">
        <v>23.35</v>
      </c>
      <c r="X139" s="4">
        <v>22.77</v>
      </c>
      <c r="Y139" s="4">
        <v>23.87</v>
      </c>
      <c r="Z139" s="4">
        <v>24.41</v>
      </c>
      <c r="AA139" s="4">
        <v>25.82</v>
      </c>
      <c r="AB139" s="4">
        <v>24.1</v>
      </c>
      <c r="AC139" s="4">
        <v>24.95</v>
      </c>
      <c r="AD139" s="4">
        <v>25.21</v>
      </c>
      <c r="AE139" s="4">
        <v>24.88</v>
      </c>
      <c r="AF139" s="4">
        <v>28.32</v>
      </c>
      <c r="AG139" s="4">
        <v>27.79</v>
      </c>
      <c r="AH139" s="4">
        <v>26.03</v>
      </c>
      <c r="AI139" s="4">
        <v>24.8</v>
      </c>
      <c r="AJ139" s="4">
        <v>24.01</v>
      </c>
      <c r="AK139" s="4">
        <v>23.52</v>
      </c>
      <c r="AL139" s="4">
        <v>22.78</v>
      </c>
      <c r="AM139" s="4">
        <v>21.88</v>
      </c>
      <c r="AN139" s="4">
        <v>21.89</v>
      </c>
      <c r="AO139" s="4">
        <v>20.64</v>
      </c>
      <c r="AP139" s="4">
        <v>20.02</v>
      </c>
      <c r="AQ139" s="4">
        <v>19</v>
      </c>
      <c r="AR139" s="4">
        <v>17.93</v>
      </c>
      <c r="AS139" s="4">
        <v>19.18</v>
      </c>
      <c r="AT139" s="4">
        <v>18.11</v>
      </c>
      <c r="AU139" s="4">
        <v>19.760000000000002</v>
      </c>
      <c r="AV139" s="4">
        <v>19.71</v>
      </c>
      <c r="AW139" s="4">
        <v>19.25</v>
      </c>
      <c r="AX139" s="4">
        <v>20.54</v>
      </c>
      <c r="AY139" s="12">
        <v>21.15</v>
      </c>
      <c r="AZ139" s="12">
        <v>22.9</v>
      </c>
      <c r="BA139" s="12">
        <v>22.7</v>
      </c>
      <c r="BB139" s="15">
        <v>20.39</v>
      </c>
      <c r="BC139" s="52">
        <v>20.62</v>
      </c>
      <c r="BD139" s="52">
        <v>21.42</v>
      </c>
      <c r="BE139" s="52">
        <v>20.3</v>
      </c>
      <c r="BF139" s="52">
        <v>20.52</v>
      </c>
      <c r="BG139" s="67">
        <v>21</v>
      </c>
      <c r="BH139" s="52">
        <v>20.79</v>
      </c>
      <c r="BI139" s="52">
        <v>19.899999999999999</v>
      </c>
      <c r="BJ139" s="52">
        <v>19.850000000000001</v>
      </c>
      <c r="BK139" s="52">
        <v>21.88</v>
      </c>
      <c r="BL139" s="52">
        <v>20.399999999999999</v>
      </c>
      <c r="BM139" s="52">
        <v>20.89</v>
      </c>
      <c r="BN139" s="52">
        <v>20.32</v>
      </c>
      <c r="BO139" s="52">
        <v>19.489999999999998</v>
      </c>
      <c r="BP139" s="52" cm="1">
        <f t="array" aca="1" ref="BP139" ca="1">_FV(ED139,"Preço")</f>
        <v>19.93</v>
      </c>
      <c r="BQ139" s="69" t="s">
        <v>135</v>
      </c>
      <c r="BR139" s="36" cm="1">
        <f t="array" aca="1" ref="BR139" ca="1">_FV(ED139,"Média de volume",TRUE)</f>
        <v>5082470</v>
      </c>
      <c r="BS139" s="36">
        <v>4896200</v>
      </c>
      <c r="BT139" s="36" cm="1">
        <f t="array" aca="1" ref="BT139" ca="1">_FV(ED139,"Volume")</f>
        <v>9007500</v>
      </c>
      <c r="BU139" s="24" cm="1">
        <f t="array" aca="1" ref="BU139" ca="1">_FV(ED139,"Beta")</f>
        <v>1.548</v>
      </c>
      <c r="BV139" s="71" cm="1">
        <f t="array" aca="1" ref="BV139" ca="1">_FV(ED139,"Variação (%)",TRUE)</f>
        <v>5.6174000000000002E-2</v>
      </c>
      <c r="BX139" s="17" cm="1">
        <f t="array" aca="1" ref="BX139" ca="1">_FV(ED139,"Baixo")</f>
        <v>18.68</v>
      </c>
      <c r="BY139" s="17" cm="1">
        <f t="array" aca="1" ref="BY139" ca="1">_FV(ED139,"Alto")</f>
        <v>20.190000000000001</v>
      </c>
      <c r="BZ139" s="24"/>
      <c r="CA139" s="63">
        <f ca="1">SQRT(22.5*(BP139/VLOOKUP(BQ139,Fundamentus!A:U,3,FALSE))*(BP139/VLOOKUP(BQ139,Fundamentus!A:U,4,FALSE)))</f>
        <v>20.259533848692737</v>
      </c>
      <c r="CC139" s="62">
        <f t="shared" ca="1" si="168"/>
        <v>2.2575679835813305E-2</v>
      </c>
      <c r="CD139" s="8"/>
      <c r="CE139" s="61">
        <f t="shared" si="169"/>
        <v>16.72</v>
      </c>
      <c r="CF139" s="61">
        <f t="shared" si="170"/>
        <v>28.32</v>
      </c>
      <c r="CG139" s="61">
        <f t="shared" si="171"/>
        <v>21.904626865671649</v>
      </c>
      <c r="CH139" s="14"/>
      <c r="CI139" s="35">
        <f t="shared" si="154"/>
        <v>17.882091839424078</v>
      </c>
      <c r="CJ139" s="15">
        <f t="shared" si="172"/>
        <v>19.449999999999818</v>
      </c>
      <c r="CK139" s="35">
        <f t="shared" si="155"/>
        <v>21.017908160575558</v>
      </c>
      <c r="CM139" s="14"/>
      <c r="CN139" s="17">
        <f t="shared" si="156"/>
        <v>3.1000000000000014</v>
      </c>
      <c r="CO139" s="17">
        <f t="shared" si="157"/>
        <v>9.91</v>
      </c>
      <c r="CP139" s="17">
        <f t="shared" si="158"/>
        <v>14.700000000000003</v>
      </c>
      <c r="CQ139" s="38">
        <f t="shared" si="173"/>
        <v>21.51</v>
      </c>
      <c r="CR139" s="17">
        <f t="shared" si="159"/>
        <v>26.300000000000004</v>
      </c>
      <c r="CS139" s="17">
        <f t="shared" si="160"/>
        <v>33.11</v>
      </c>
      <c r="CT139" s="17">
        <f t="shared" si="161"/>
        <v>37.900000000000006</v>
      </c>
      <c r="CU139" s="2" cm="1">
        <f t="array" aca="1" ref="CU139" ca="1">MAX(_xlfn._xlws.FILTER(CN139:CT139,CN139:CT139&lt;BP139))</f>
        <v>14.700000000000003</v>
      </c>
      <c r="CV139" s="2" cm="1">
        <f t="array" aca="1" ref="CV139" ca="1">MIN(_xlfn._xlws.FILTER($CN139:$CT139,$CN139:$CT139&gt;BP139))</f>
        <v>21.51</v>
      </c>
      <c r="CW139" s="16">
        <f t="shared" ca="1" si="136"/>
        <v>0.46326530612244876</v>
      </c>
      <c r="CX139" s="20">
        <f t="shared" ca="1" si="137"/>
        <v>-0.23163265306122438</v>
      </c>
      <c r="CY139" s="20">
        <f t="shared" ca="1" si="138"/>
        <v>-0.15442176870748292</v>
      </c>
      <c r="CZ139" s="20">
        <f t="shared" ca="1" si="139"/>
        <v>-9.2653061224489755E-2</v>
      </c>
      <c r="DA139" s="20">
        <f t="shared" ca="1" si="140"/>
        <v>-5.1473922902494307E-2</v>
      </c>
      <c r="DB139" s="20">
        <f t="shared" ca="1" si="141"/>
        <v>-2.7250900360144045E-2</v>
      </c>
      <c r="DC139" s="20">
        <f t="shared" ca="1" si="142"/>
        <v>-1.4038342609771175E-2</v>
      </c>
      <c r="DD139" s="20">
        <f t="shared" ca="1" si="143"/>
        <v>-7.1271585557299809E-3</v>
      </c>
      <c r="DE139" s="21">
        <f t="shared" ca="1" si="144"/>
        <v>7.1271585557299809E-3</v>
      </c>
      <c r="DF139" s="21">
        <f t="shared" ca="1" si="145"/>
        <v>1.4038342609771175E-2</v>
      </c>
      <c r="DG139" s="21">
        <f t="shared" ca="1" si="146"/>
        <v>2.7250900360144045E-2</v>
      </c>
      <c r="DH139" s="21">
        <f t="shared" ca="1" si="147"/>
        <v>5.1473922902494307E-2</v>
      </c>
      <c r="DI139" s="21">
        <f t="shared" ca="1" si="148"/>
        <v>9.2653061224489755E-2</v>
      </c>
      <c r="DJ139" s="21">
        <f t="shared" ca="1" si="149"/>
        <v>0.15442176870748292</v>
      </c>
      <c r="DK139" s="21">
        <f t="shared" ca="1" si="150"/>
        <v>0.23163265306122438</v>
      </c>
      <c r="DM139" s="16" cm="1">
        <f t="array" aca="1" ref="DM139" ca="1">MAX(_xlfn._xlws.FILTER(CX139:DK139,CX139:DK139&lt;BV139))</f>
        <v>5.1473922902494307E-2</v>
      </c>
      <c r="DN139" s="16" cm="1">
        <f t="array" aca="1" ref="DN139" ca="1">MIN(_xlfn._xlws.FILTER(CX139:DK139,CX139:DK139&gt;BV139))</f>
        <v>9.2653061224489755E-2</v>
      </c>
      <c r="DO139" s="2" cm="1">
        <f t="array" aca="1" ref="DO139" ca="1">_FV(ED139,"Fechamento anterior",TRUE)</f>
        <v>18.87</v>
      </c>
      <c r="DP139" s="28">
        <f t="shared" ca="1" si="162"/>
        <v>0.1141329850192237</v>
      </c>
      <c r="DQ139" s="15">
        <f t="shared" ca="1" si="151"/>
        <v>19.841312925170069</v>
      </c>
      <c r="DR139" s="15">
        <f t="shared" ca="1" si="152"/>
        <v>20.618363265306122</v>
      </c>
      <c r="DS139" s="9"/>
      <c r="DT139" s="9"/>
      <c r="DU139" s="9"/>
      <c r="DV139" s="89">
        <v>1.4254317111459962E-2</v>
      </c>
      <c r="DW139" s="89">
        <f t="shared" ca="1" si="163"/>
        <v>4.1179138321995448E-2</v>
      </c>
      <c r="DX139" s="72">
        <f t="shared" ca="1" si="164"/>
        <v>0.30614037994669552</v>
      </c>
      <c r="DY139" s="37"/>
      <c r="DZ139" s="35">
        <f t="shared" si="174"/>
        <v>0.78395408028787017</v>
      </c>
      <c r="EA139" s="56"/>
      <c r="EB139" s="56"/>
      <c r="ED139" s="2" t="e" vm="139">
        <v>#VALUE!</v>
      </c>
      <c r="EF139" s="10" cm="1">
        <f t="array" aca="1" ref="EF139" ca="1">_FV(ED139,"Ações em circulação",TRUE)</f>
        <v>1682473000</v>
      </c>
      <c r="EG139" s="18">
        <f>VLOOKUP(BQ139,Fundamentus!A:U,5,FALSE)</f>
        <v>0.57599999999999996</v>
      </c>
      <c r="EH139" s="2">
        <f t="shared" ca="1" si="165"/>
        <v>58214734184.027779</v>
      </c>
      <c r="EI139" s="17">
        <v>3837049092.1840277</v>
      </c>
      <c r="EJ139" s="17">
        <f t="shared" ca="1" si="166"/>
        <v>3923673084.0034723</v>
      </c>
      <c r="EL139" s="16">
        <f t="shared" ca="1" si="153"/>
        <v>2.2575679835813212E-2</v>
      </c>
      <c r="EM139" s="32" t="str">
        <f>IF(VLOOKUP(BQ139,Fundamentus!A:U,3,FALSE)&lt;15,"Bom",IF(VLOOKUP(BQ139,Fundamentus!A:U,3,FALSE)&gt;15,"Ruim","n/a"))</f>
        <v>Bom</v>
      </c>
      <c r="EN139" s="28" t="str">
        <f>IF(VLOOKUP(BQ139,Fundamentus!A:U,4,FALSE)&lt;1,"Baixo",IF(VLOOKUP(BQ139,Fundamentus!A:U,4,FALSE)&lt;1.5,"Moderado",IF(VLOOKUP(BQ139,Fundamentus!A:U,4,FALSE)&gt;1.5,"Alto","n/a")))</f>
        <v>Alto</v>
      </c>
      <c r="EO139" s="17" t="str">
        <f>IF(VLOOKUP(BQ139,Fundamentus!A:U,8,FALSE)&lt;0,"Risco elevado",IF(VLOOKUP(BQ139,Fundamentus!A:U,8,FALSE)&lt;1,"Saudável",IF(VLOOKUP(BQ139,Fundamentus!A:U,8,FALSE)&lt;3,"Estável",IF(VLOOKUP(BQ139,Fundamentus!A:U,8,FALSE)&gt;3,"Alerta","n/a"))))</f>
        <v>Alerta</v>
      </c>
      <c r="EP139" s="28" t="str">
        <f t="shared" si="167"/>
        <v>Ruim</v>
      </c>
      <c r="EQ139" s="17" t="str">
        <f>IF(VLOOKUP(BQ139,Fundamentus!A:U,12,FALSE)&lt;2,"Subvalorizada",IF(VLOOKUP(BQ139,Fundamentus!A:U,12,FALSE)&lt;6,"Muita barata",IF(VLOOKUP(BQ139,Fundamentus!A:U,12,FALSE)&lt;6,"Barata",IF(VLOOKUP(BQ139,Fundamentus!A:U,12,FALSE)&lt;8,"Atrativa",IF(VLOOKUP(BQ139,Fundamentus!A:U,12,FALSE)&gt;8,"Supervalorizada","n/a")))))</f>
        <v>Muita barata</v>
      </c>
      <c r="ES139" s="17" t="str">
        <f>IF(VLOOKUP(BQ139,Fundamentus!A:U,17,FALSE)&lt;0.1,"Fraco retorno",IF(VLOOKUP(BQ139,Fundamentus!A:U,17,FALSE)&gt;0.1,"Bom retorno","n/a"))</f>
        <v>Bom retorno</v>
      </c>
      <c r="ET139" s="17" t="str">
        <f>IF(VLOOKUP(BQ139,Fundamentus!A:U,16,FALSE)&lt;0.1,"Ineficiente",IF(VLOOKUP(BQ139,Fundamentus!A:U,16,FALSE)&gt;0.1,"Eficiente","n/a"))</f>
        <v>Eficiente</v>
      </c>
      <c r="EU139" s="33" t="str">
        <f>IF(VLOOKUP(BQ139,Fundamentus!A:U,16,FALSE)&lt;0.1,"Oper. Ineficiente",IF(VLOOKUP(BQ139,Fundamentus!A:U,16,FALSE)&gt;0.1,"Oper.Eficiente","n/a"))</f>
        <v>Oper.Eficiente</v>
      </c>
      <c r="EV139" s="34">
        <f>VLOOKUP(BQ139,Fundamentus!A:U,14,FALSE)</f>
        <v>6.7400000000000002E-2</v>
      </c>
      <c r="EW139" s="17" t="str">
        <f>IF(VLOOKUP(BQ139,Fundamentus!A:U,21,FALSE)&lt;0,"Negativo",IF(VLOOKUP(BQ139,Fundamentus!A:U,21,FALSE)&lt;0.05,"Fraco",IF(VLOOKUP(BQ139,Fundamentus!A:U,21,FALSE)&lt;0.1,"Bom",IF(VLOOKUP(BQ139,Fundamentus!A:U,21,FALSE)&gt;0.1,"Muito bom","n/a"))))</f>
        <v>Bom</v>
      </c>
      <c r="EY139" s="29" t="str">
        <f>IF(VLOOKUP(BQ139,Fundamentus!A:U,15,FALSE)&gt;1,"Bom",IF(VLOOKUP(BQ139,Fundamentus!A:U,15,FALSE)&lt;1,"Ruim","n/a"))</f>
        <v>Bom</v>
      </c>
      <c r="EZ139" s="17" t="str">
        <f>IF(VLOOKUP(BQ139,Fundamentus!A:U,20,FALSE)&lt;0.5,"Baixa",IF(VLOOKUP(BQ139,Fundamentus!A:U,20,FALSE)&lt;1,"Moderada",IF(VLOOKUP(BQ139,Fundamentus!A:U,20,FALSE)&lt;2,"Alerta",IF(VLOOKUP(BQ139,Fundamentus!A:U,20,FALSE)&gt;2,"Alta","n/a"))))</f>
        <v>Alerta</v>
      </c>
      <c r="FA139" s="10"/>
    </row>
    <row r="140" spans="1:157" s="2" customFormat="1" ht="11.25" hidden="1" x14ac:dyDescent="0.2">
      <c r="A140" s="4">
        <v>22.35</v>
      </c>
      <c r="B140" s="4">
        <v>23.22</v>
      </c>
      <c r="C140" s="4">
        <v>23.58</v>
      </c>
      <c r="D140" s="4">
        <v>23.76</v>
      </c>
      <c r="E140" s="4">
        <v>23.3</v>
      </c>
      <c r="F140" s="4">
        <v>23.49</v>
      </c>
      <c r="G140" s="4">
        <v>22.73</v>
      </c>
      <c r="H140" s="4">
        <v>22.65</v>
      </c>
      <c r="I140" s="4">
        <v>23.09</v>
      </c>
      <c r="J140" s="4">
        <v>22.71</v>
      </c>
      <c r="K140" s="4">
        <v>22.85</v>
      </c>
      <c r="L140" s="4">
        <v>21.83</v>
      </c>
      <c r="M140" s="4">
        <v>22.21</v>
      </c>
      <c r="N140" s="4">
        <v>21.6</v>
      </c>
      <c r="O140" s="4">
        <v>21.52</v>
      </c>
      <c r="P140" s="4">
        <v>21.9</v>
      </c>
      <c r="Q140" s="4">
        <v>22.83</v>
      </c>
      <c r="R140" s="4">
        <v>22.04</v>
      </c>
      <c r="S140" s="4">
        <v>21.51</v>
      </c>
      <c r="T140" s="4">
        <v>22.91</v>
      </c>
      <c r="U140" s="4">
        <v>21.36</v>
      </c>
      <c r="V140" s="4">
        <v>20.399999999999999</v>
      </c>
      <c r="W140" s="4">
        <v>20.29</v>
      </c>
      <c r="X140" s="4">
        <v>20.37</v>
      </c>
      <c r="Y140" s="4">
        <v>19.989999999999998</v>
      </c>
      <c r="Z140" s="4">
        <v>20.2</v>
      </c>
      <c r="AA140" s="4">
        <v>18.57</v>
      </c>
      <c r="AB140" s="4">
        <v>17.29</v>
      </c>
      <c r="AC140" s="4">
        <v>16.399999999999999</v>
      </c>
      <c r="AD140" s="4">
        <v>16.53</v>
      </c>
      <c r="AE140" s="4">
        <v>15.2</v>
      </c>
      <c r="AF140" s="4">
        <v>14.6</v>
      </c>
      <c r="AG140" s="4">
        <v>14.2</v>
      </c>
      <c r="AH140" s="4">
        <v>13.17</v>
      </c>
      <c r="AI140" s="4">
        <v>12.77</v>
      </c>
      <c r="AJ140" s="4">
        <v>12.28</v>
      </c>
      <c r="AK140" s="4">
        <v>12.05</v>
      </c>
      <c r="AL140" s="4">
        <v>12.65</v>
      </c>
      <c r="AM140" s="4">
        <v>13.53</v>
      </c>
      <c r="AN140" s="4">
        <v>14.34</v>
      </c>
      <c r="AO140" s="4">
        <v>14.57</v>
      </c>
      <c r="AP140" s="4">
        <v>15.36</v>
      </c>
      <c r="AQ140" s="4">
        <v>15.05</v>
      </c>
      <c r="AR140" s="4">
        <v>12.9</v>
      </c>
      <c r="AS140" s="4">
        <v>12.86</v>
      </c>
      <c r="AT140" s="4">
        <v>12.14</v>
      </c>
      <c r="AU140" s="4">
        <v>12.164999999999999</v>
      </c>
      <c r="AV140" s="4">
        <v>12.88</v>
      </c>
      <c r="AW140" s="4">
        <v>12.71</v>
      </c>
      <c r="AX140" s="4">
        <v>11.6</v>
      </c>
      <c r="AY140" s="12">
        <v>13.05</v>
      </c>
      <c r="AZ140" s="12">
        <v>13.7</v>
      </c>
      <c r="BA140" s="12">
        <v>14.15</v>
      </c>
      <c r="BB140" s="15">
        <v>14.28</v>
      </c>
      <c r="BC140" s="52">
        <v>14.47</v>
      </c>
      <c r="BD140" s="52">
        <v>13.91</v>
      </c>
      <c r="BE140" s="52">
        <v>14.7</v>
      </c>
      <c r="BF140" s="52">
        <v>14.01</v>
      </c>
      <c r="BG140" s="67">
        <v>14.87</v>
      </c>
      <c r="BH140" s="52">
        <v>15.67</v>
      </c>
      <c r="BI140" s="52">
        <v>16</v>
      </c>
      <c r="BJ140" s="52">
        <v>15.12</v>
      </c>
      <c r="BK140" s="52">
        <v>14.28</v>
      </c>
      <c r="BL140" s="52">
        <v>14.55</v>
      </c>
      <c r="BM140" s="52">
        <v>15.15</v>
      </c>
      <c r="BN140" s="52">
        <v>13.99</v>
      </c>
      <c r="BO140" s="52">
        <v>12.86</v>
      </c>
      <c r="BP140" s="52" cm="1">
        <f t="array" aca="1" ref="BP140" ca="1">_FV(ED140,"Preço")</f>
        <v>12.52</v>
      </c>
      <c r="BQ140" s="69" t="s">
        <v>136</v>
      </c>
      <c r="BR140" s="36" cm="1">
        <f t="array" aca="1" ref="BR140" ca="1">_FV(ED140,"Média de volume",TRUE)</f>
        <v>2024460</v>
      </c>
      <c r="BS140" s="36">
        <v>2392300</v>
      </c>
      <c r="BT140" s="36" cm="1">
        <f t="array" aca="1" ref="BT140" ca="1">_FV(ED140,"Volume")</f>
        <v>1678400</v>
      </c>
      <c r="BU140" s="24" cm="1">
        <f t="array" aca="1" ref="BU140" ca="1">_FV(ED140,"Beta")</f>
        <v>1.2481</v>
      </c>
      <c r="BV140" s="71" cm="1">
        <f t="array" aca="1" ref="BV140" ca="1">_FV(ED140,"Variação (%)",TRUE)</f>
        <v>-5.5600000000000007E-3</v>
      </c>
      <c r="BX140" s="17" cm="1">
        <f t="array" aca="1" ref="BX140" ca="1">_FV(ED140,"Baixo")</f>
        <v>12.44</v>
      </c>
      <c r="BY140" s="17" cm="1">
        <f t="array" aca="1" ref="BY140" ca="1">_FV(ED140,"Alto")</f>
        <v>12.68</v>
      </c>
      <c r="BZ140" s="24"/>
      <c r="CA140" s="63">
        <f ca="1">SQRT(22.5*(BP140/VLOOKUP(BQ140,Fundamentus!A:U,3,FALSE))*(BP140/VLOOKUP(BQ140,Fundamentus!A:U,4,FALSE)))</f>
        <v>13.713473582105996</v>
      </c>
      <c r="CC140" s="62">
        <f t="shared" ca="1" si="168"/>
        <v>-2.6438569206842913E-2</v>
      </c>
      <c r="CD140" s="8"/>
      <c r="CE140" s="61">
        <f t="shared" si="169"/>
        <v>11.6</v>
      </c>
      <c r="CF140" s="61">
        <f t="shared" si="170"/>
        <v>23.76</v>
      </c>
      <c r="CG140" s="61">
        <f t="shared" si="171"/>
        <v>17.24276119402985</v>
      </c>
      <c r="CH140" s="14"/>
      <c r="CI140" s="35">
        <f t="shared" si="154"/>
        <v>11.065980185070149</v>
      </c>
      <c r="CJ140" s="15">
        <f t="shared" si="172"/>
        <v>12.579999999999927</v>
      </c>
      <c r="CK140" s="35">
        <f t="shared" si="155"/>
        <v>14.094019814929705</v>
      </c>
      <c r="CM140" s="14"/>
      <c r="CN140" s="17">
        <f t="shared" si="156"/>
        <v>-3.7733333333333352</v>
      </c>
      <c r="CO140" s="17">
        <f t="shared" si="157"/>
        <v>3.9133333333333322</v>
      </c>
      <c r="CP140" s="17">
        <f t="shared" si="158"/>
        <v>8.3866666666666667</v>
      </c>
      <c r="CQ140" s="38">
        <f t="shared" si="173"/>
        <v>16.073333333333334</v>
      </c>
      <c r="CR140" s="17">
        <f t="shared" si="159"/>
        <v>20.546666666666667</v>
      </c>
      <c r="CS140" s="17">
        <f t="shared" si="160"/>
        <v>28.233333333333334</v>
      </c>
      <c r="CT140" s="17">
        <f t="shared" si="161"/>
        <v>32.706666666666671</v>
      </c>
      <c r="CU140" s="2" cm="1">
        <f t="array" aca="1" ref="CU140" ca="1">MAX(_xlfn._xlws.FILTER(CN140:CT140,CN140:CT140&lt;BP140))</f>
        <v>8.3866666666666667</v>
      </c>
      <c r="CV140" s="2" cm="1">
        <f t="array" aca="1" ref="CV140" ca="1">MIN(_xlfn._xlws.FILTER($CN140:$CT140,$CN140:$CT140&gt;BP140))</f>
        <v>16.073333333333334</v>
      </c>
      <c r="CW140" s="16">
        <f t="shared" ca="1" si="136"/>
        <v>0.91653418124006358</v>
      </c>
      <c r="CX140" s="20">
        <f t="shared" ca="1" si="137"/>
        <v>-0.45826709062003179</v>
      </c>
      <c r="CY140" s="20">
        <f t="shared" ca="1" si="138"/>
        <v>-0.30551139374668784</v>
      </c>
      <c r="CZ140" s="20">
        <f t="shared" ca="1" si="139"/>
        <v>-0.18330683624801272</v>
      </c>
      <c r="DA140" s="20">
        <f t="shared" ca="1" si="140"/>
        <v>-0.10183713124889596</v>
      </c>
      <c r="DB140" s="20">
        <f t="shared" ca="1" si="141"/>
        <v>-5.3913775367062565E-2</v>
      </c>
      <c r="DC140" s="20">
        <f t="shared" ca="1" si="142"/>
        <v>-2.7773763067880715E-2</v>
      </c>
      <c r="DD140" s="20">
        <f t="shared" ca="1" si="143"/>
        <v>-1.4100525865231748E-2</v>
      </c>
      <c r="DE140" s="21">
        <f t="shared" ca="1" si="144"/>
        <v>1.4100525865231748E-2</v>
      </c>
      <c r="DF140" s="21">
        <f t="shared" ca="1" si="145"/>
        <v>2.7773763067880715E-2</v>
      </c>
      <c r="DG140" s="21">
        <f t="shared" ca="1" si="146"/>
        <v>5.3913775367062565E-2</v>
      </c>
      <c r="DH140" s="21">
        <f t="shared" ca="1" si="147"/>
        <v>0.10183713124889596</v>
      </c>
      <c r="DI140" s="21">
        <f t="shared" ca="1" si="148"/>
        <v>0.18330683624801272</v>
      </c>
      <c r="DJ140" s="21">
        <f t="shared" ca="1" si="149"/>
        <v>0.30551139374668784</v>
      </c>
      <c r="DK140" s="21">
        <f t="shared" ca="1" si="150"/>
        <v>0.45826709062003179</v>
      </c>
      <c r="DM140" s="16" cm="1">
        <f t="array" aca="1" ref="DM140" ca="1">MAX(_xlfn._xlws.FILTER(CX140:DK140,CX140:DK140&lt;BV140))</f>
        <v>-1.4100525865231748E-2</v>
      </c>
      <c r="DN140" s="16" cm="1">
        <f t="array" aca="1" ref="DN140" ca="1">MIN(_xlfn._xlws.FILTER(CX140:DK140,CX140:DK140&gt;BV140))</f>
        <v>1.4100525865231748E-2</v>
      </c>
      <c r="DO140" s="2" cm="1">
        <f t="array" aca="1" ref="DO140" ca="1">_FV(ED140,"Fechamento anterior",TRUE)</f>
        <v>12.59</v>
      </c>
      <c r="DP140" s="28">
        <f t="shared" ca="1" si="162"/>
        <v>0.30284535903506804</v>
      </c>
      <c r="DQ140" s="15">
        <f t="shared" ca="1" si="151"/>
        <v>12.412474379356732</v>
      </c>
      <c r="DR140" s="15">
        <f t="shared" ca="1" si="152"/>
        <v>12.767525620643267</v>
      </c>
      <c r="DS140" s="9"/>
      <c r="DT140" s="9"/>
      <c r="DU140" s="9"/>
      <c r="DV140" s="89">
        <v>1.3673237202648967E-2</v>
      </c>
      <c r="DW140" s="89">
        <f t="shared" ca="1" si="163"/>
        <v>2.8201051730463497E-2</v>
      </c>
      <c r="DX140" s="72">
        <f t="shared" ca="1" si="164"/>
        <v>-3.9629600226011925E-2</v>
      </c>
      <c r="DY140" s="37"/>
      <c r="DZ140" s="35">
        <f t="shared" si="174"/>
        <v>0.75700990746488939</v>
      </c>
      <c r="EA140" s="56"/>
      <c r="EB140" s="56"/>
      <c r="ED140" s="2" t="e" vm="140">
        <v>#VALUE!</v>
      </c>
      <c r="EF140" s="10" cm="1">
        <f t="array" aca="1" ref="EF140" ca="1">_FV(ED140,"Ações em circulação",TRUE)</f>
        <v>327611100</v>
      </c>
      <c r="EG140" s="18">
        <f>VLOOKUP(BQ140,Fundamentus!A:U,5,FALSE)</f>
        <v>1.0569999999999999</v>
      </c>
      <c r="EH140" s="2">
        <f t="shared" ca="1" si="165"/>
        <v>3880502338.6944184</v>
      </c>
      <c r="EI140" s="17">
        <v>374673038.90633869</v>
      </c>
      <c r="EJ140" s="17">
        <f t="shared" ca="1" si="166"/>
        <v>364767219.83727533</v>
      </c>
      <c r="EL140" s="16">
        <f t="shared" ca="1" si="153"/>
        <v>-2.6438569206842844E-2</v>
      </c>
      <c r="EM140" s="32" t="str">
        <f>IF(VLOOKUP(BQ140,Fundamentus!A:U,3,FALSE)&lt;15,"Bom",IF(VLOOKUP(BQ140,Fundamentus!A:U,3,FALSE)&gt;15,"Ruim","n/a"))</f>
        <v>Bom</v>
      </c>
      <c r="EN140" s="28" t="str">
        <f>IF(VLOOKUP(BQ140,Fundamentus!A:U,4,FALSE)&lt;1,"Baixo",IF(VLOOKUP(BQ140,Fundamentus!A:U,4,FALSE)&lt;1.5,"Moderado",IF(VLOOKUP(BQ140,Fundamentus!A:U,4,FALSE)&gt;1.5,"Alto","n/a")))</f>
        <v>Alto</v>
      </c>
      <c r="EO140" s="17" t="str">
        <f>IF(VLOOKUP(BQ140,Fundamentus!A:U,8,FALSE)&lt;0,"Risco elevado",IF(VLOOKUP(BQ140,Fundamentus!A:U,8,FALSE)&lt;1,"Saudável",IF(VLOOKUP(BQ140,Fundamentus!A:U,8,FALSE)&lt;3,"Estável",IF(VLOOKUP(BQ140,Fundamentus!A:U,8,FALSE)&gt;3,"Alerta","n/a"))))</f>
        <v>Estável</v>
      </c>
      <c r="EP140" s="28" t="str">
        <f t="shared" si="167"/>
        <v>Bom</v>
      </c>
      <c r="EQ140" s="17" t="str">
        <f>IF(VLOOKUP(BQ140,Fundamentus!A:U,12,FALSE)&lt;2,"Subvalorizada",IF(VLOOKUP(BQ140,Fundamentus!A:U,12,FALSE)&lt;6,"Muita barata",IF(VLOOKUP(BQ140,Fundamentus!A:U,12,FALSE)&lt;6,"Barata",IF(VLOOKUP(BQ140,Fundamentus!A:U,12,FALSE)&lt;8,"Atrativa",IF(VLOOKUP(BQ140,Fundamentus!A:U,12,FALSE)&gt;8,"Supervalorizada","n/a")))))</f>
        <v>Supervalorizada</v>
      </c>
      <c r="ES140" s="17" t="str">
        <f>IF(VLOOKUP(BQ140,Fundamentus!A:U,17,FALSE)&lt;0.1,"Fraco retorno",IF(VLOOKUP(BQ140,Fundamentus!A:U,17,FALSE)&gt;0.1,"Bom retorno","n/a"))</f>
        <v>Bom retorno</v>
      </c>
      <c r="ET140" s="17" t="str">
        <f>IF(VLOOKUP(BQ140,Fundamentus!A:U,16,FALSE)&lt;0.1,"Ineficiente",IF(VLOOKUP(BQ140,Fundamentus!A:U,16,FALSE)&gt;0.1,"Eficiente","n/a"))</f>
        <v>Eficiente</v>
      </c>
      <c r="EU140" s="33" t="str">
        <f>IF(VLOOKUP(BQ140,Fundamentus!A:U,16,FALSE)&lt;0.1,"Oper. Ineficiente",IF(VLOOKUP(BQ140,Fundamentus!A:U,16,FALSE)&gt;0.1,"Oper.Eficiente","n/a"))</f>
        <v>Oper.Eficiente</v>
      </c>
      <c r="EV140" s="34">
        <f>VLOOKUP(BQ140,Fundamentus!A:U,14,FALSE)</f>
        <v>9.4E-2</v>
      </c>
      <c r="EW140" s="17" t="str">
        <f>IF(VLOOKUP(BQ140,Fundamentus!A:U,21,FALSE)&lt;0,"Negativo",IF(VLOOKUP(BQ140,Fundamentus!A:U,21,FALSE)&lt;0.05,"Fraco",IF(VLOOKUP(BQ140,Fundamentus!A:U,21,FALSE)&lt;0.1,"Bom",IF(VLOOKUP(BQ140,Fundamentus!A:U,21,FALSE)&gt;0.1,"Muito bom","n/a"))))</f>
        <v>Muito bom</v>
      </c>
      <c r="EY140" s="29" t="str">
        <f>IF(VLOOKUP(BQ140,Fundamentus!A:U,15,FALSE)&gt;1,"Bom",IF(VLOOKUP(BQ140,Fundamentus!A:U,15,FALSE)&lt;1,"Ruim","n/a"))</f>
        <v>Bom</v>
      </c>
      <c r="EZ140" s="17" t="str">
        <f>IF(VLOOKUP(BQ140,Fundamentus!A:U,20,FALSE)&lt;0.5,"Baixa",IF(VLOOKUP(BQ140,Fundamentus!A:U,20,FALSE)&lt;1,"Moderada",IF(VLOOKUP(BQ140,Fundamentus!A:U,20,FALSE)&lt;2,"Alerta",IF(VLOOKUP(BQ140,Fundamentus!A:U,20,FALSE)&gt;2,"Alta","n/a"))))</f>
        <v>Baixa</v>
      </c>
      <c r="FA140" s="10"/>
    </row>
    <row r="141" spans="1:157" s="2" customFormat="1" ht="11.25" hidden="1" x14ac:dyDescent="0.2">
      <c r="A141" s="4">
        <v>5.24</v>
      </c>
      <c r="B141" s="4">
        <v>5.28</v>
      </c>
      <c r="C141" s="4">
        <v>6.26</v>
      </c>
      <c r="D141" s="4">
        <v>6.7</v>
      </c>
      <c r="E141" s="4">
        <v>7.1</v>
      </c>
      <c r="F141" s="4">
        <v>7.16</v>
      </c>
      <c r="G141" s="4">
        <v>6.53</v>
      </c>
      <c r="H141" s="4">
        <v>6.47</v>
      </c>
      <c r="I141" s="4">
        <v>6.94</v>
      </c>
      <c r="J141" s="4">
        <v>7.07</v>
      </c>
      <c r="K141" s="4">
        <v>7.4</v>
      </c>
      <c r="L141" s="4">
        <v>6.67</v>
      </c>
      <c r="M141" s="4">
        <v>5.32</v>
      </c>
      <c r="N141" s="4">
        <v>4.8899999999999997</v>
      </c>
      <c r="O141" s="4">
        <v>4.66</v>
      </c>
      <c r="P141" s="4">
        <v>4.68</v>
      </c>
      <c r="Q141" s="4">
        <v>5.42</v>
      </c>
      <c r="R141" s="4">
        <v>4.9800000000000004</v>
      </c>
      <c r="S141" s="4">
        <v>4.68</v>
      </c>
      <c r="T141" s="4">
        <v>4.84</v>
      </c>
      <c r="U141" s="4">
        <v>4.7</v>
      </c>
      <c r="V141" s="4">
        <v>5.5</v>
      </c>
      <c r="W141" s="4">
        <v>6.17</v>
      </c>
      <c r="X141" s="4">
        <v>5.75</v>
      </c>
      <c r="Y141" s="4">
        <v>5.92</v>
      </c>
      <c r="Z141" s="4">
        <v>5.93</v>
      </c>
      <c r="AA141" s="4">
        <v>5.71</v>
      </c>
      <c r="AB141" s="4">
        <v>5.36</v>
      </c>
      <c r="AC141" s="4">
        <v>4.92</v>
      </c>
      <c r="AD141" s="4">
        <v>6.23</v>
      </c>
      <c r="AE141" s="4">
        <v>6.35</v>
      </c>
      <c r="AF141" s="4">
        <v>6.11</v>
      </c>
      <c r="AG141" s="4">
        <v>5.9</v>
      </c>
      <c r="AH141" s="4">
        <v>4.75</v>
      </c>
      <c r="AI141" s="4">
        <v>4.6900000000000004</v>
      </c>
      <c r="AJ141" s="4">
        <v>4.66</v>
      </c>
      <c r="AK141" s="4">
        <v>4.6399999999999997</v>
      </c>
      <c r="AL141" s="4">
        <v>5.12</v>
      </c>
      <c r="AM141" s="4">
        <v>5.0599999999999996</v>
      </c>
      <c r="AN141" s="4">
        <v>5.44</v>
      </c>
      <c r="AO141" s="4">
        <v>5.5</v>
      </c>
      <c r="AP141" s="4">
        <v>5.84</v>
      </c>
      <c r="AQ141" s="4">
        <v>5.95</v>
      </c>
      <c r="AR141" s="4">
        <v>5.19</v>
      </c>
      <c r="AS141" s="4">
        <v>5.25</v>
      </c>
      <c r="AT141" s="4">
        <v>4.99</v>
      </c>
      <c r="AU141" s="4">
        <v>5.0250000000000004</v>
      </c>
      <c r="AV141" s="4">
        <v>4.8499999999999996</v>
      </c>
      <c r="AW141" s="4">
        <v>4.1100000000000003</v>
      </c>
      <c r="AX141" s="4">
        <v>4.08</v>
      </c>
      <c r="AY141" s="12">
        <v>3.93</v>
      </c>
      <c r="AZ141" s="12">
        <v>4.1399999999999997</v>
      </c>
      <c r="BA141" s="12">
        <v>3.93</v>
      </c>
      <c r="BB141" s="15">
        <v>4.1399999999999997</v>
      </c>
      <c r="BC141" s="52">
        <v>4.78</v>
      </c>
      <c r="BD141" s="52">
        <v>4.68</v>
      </c>
      <c r="BE141" s="52">
        <v>4.7</v>
      </c>
      <c r="BF141" s="52">
        <v>4.37</v>
      </c>
      <c r="BG141" s="67">
        <v>4.3099999999999996</v>
      </c>
      <c r="BH141" s="52">
        <v>4.2</v>
      </c>
      <c r="BI141" s="52">
        <v>4.84</v>
      </c>
      <c r="BJ141" s="52">
        <v>4.8899999999999997</v>
      </c>
      <c r="BK141" s="52">
        <v>4.9000000000000004</v>
      </c>
      <c r="BL141" s="52">
        <v>4.5</v>
      </c>
      <c r="BM141" s="52">
        <v>4.74</v>
      </c>
      <c r="BN141" s="52">
        <v>4.6500000000000004</v>
      </c>
      <c r="BO141" s="52">
        <v>3.5</v>
      </c>
      <c r="BP141" s="52" cm="1">
        <f t="array" aca="1" ref="BP141" ca="1">_FV(ED141,"Preço")</f>
        <v>3.09</v>
      </c>
      <c r="BQ141" s="69" t="s">
        <v>137</v>
      </c>
      <c r="BR141" s="36" cm="1">
        <f t="array" aca="1" ref="BR141" ca="1">_FV(ED141,"Média de volume",TRUE)</f>
        <v>11015560</v>
      </c>
      <c r="BS141" s="36">
        <v>11382300</v>
      </c>
      <c r="BT141" s="36" cm="1">
        <f t="array" aca="1" ref="BT141" ca="1">_FV(ED141,"Volume")</f>
        <v>6389600</v>
      </c>
      <c r="BU141" s="24" cm="1">
        <f t="array" aca="1" ref="BU141" ca="1">_FV(ED141,"Beta")</f>
        <v>0.90939999999999999</v>
      </c>
      <c r="BV141" s="71" cm="1">
        <f t="array" aca="1" ref="BV141" ca="1">_FV(ED141,"Variação (%)",TRUE)</f>
        <v>1.6447E-2</v>
      </c>
      <c r="BX141" s="17" cm="1">
        <f t="array" aca="1" ref="BX141" ca="1">_FV(ED141,"Baixo")</f>
        <v>3.01</v>
      </c>
      <c r="BY141" s="17" cm="1">
        <f t="array" aca="1" ref="BY141" ca="1">_FV(ED141,"Alto")</f>
        <v>3.12</v>
      </c>
      <c r="BZ141" s="24"/>
      <c r="CA141" s="63">
        <f ca="1">SQRT(22.5*(BP141/VLOOKUP(BQ141,Fundamentus!A:U,3,FALSE))*(BP141/VLOOKUP(BQ141,Fundamentus!A:U,4,FALSE)))</f>
        <v>4.1376177860989989</v>
      </c>
      <c r="CC141" s="62">
        <f t="shared" ca="1" si="168"/>
        <v>-0.11714285714285719</v>
      </c>
      <c r="CD141" s="8"/>
      <c r="CE141" s="61">
        <f t="shared" si="169"/>
        <v>3.5</v>
      </c>
      <c r="CF141" s="61">
        <f t="shared" si="170"/>
        <v>7.4</v>
      </c>
      <c r="CG141" s="61">
        <f t="shared" si="171"/>
        <v>5.2714179104477585</v>
      </c>
      <c r="CH141" s="14"/>
      <c r="CI141" s="35">
        <f t="shared" si="154"/>
        <v>2.5825162469844045</v>
      </c>
      <c r="CJ141" s="15">
        <f t="shared" si="172"/>
        <v>3.5750000000000455</v>
      </c>
      <c r="CK141" s="35">
        <f t="shared" si="155"/>
        <v>4.5674837530156864</v>
      </c>
      <c r="CM141" s="14"/>
      <c r="CN141" s="17">
        <f t="shared" si="156"/>
        <v>-1.7000000000000011</v>
      </c>
      <c r="CO141" s="17">
        <f t="shared" si="157"/>
        <v>0.89999999999999947</v>
      </c>
      <c r="CP141" s="17">
        <f t="shared" si="158"/>
        <v>2.1999999999999993</v>
      </c>
      <c r="CQ141" s="38">
        <f t="shared" si="173"/>
        <v>4.8</v>
      </c>
      <c r="CR141" s="17">
        <f t="shared" si="159"/>
        <v>6.1</v>
      </c>
      <c r="CS141" s="17">
        <f t="shared" si="160"/>
        <v>8.6999999999999993</v>
      </c>
      <c r="CT141" s="17">
        <f t="shared" si="161"/>
        <v>10</v>
      </c>
      <c r="CU141" s="2" cm="1">
        <f t="array" aca="1" ref="CU141" ca="1">MAX(_xlfn._xlws.FILTER(CN141:CT141,CN141:CT141&lt;BP141))</f>
        <v>2.1999999999999993</v>
      </c>
      <c r="CV141" s="2" cm="1">
        <f t="array" aca="1" ref="CV141" ca="1">MIN(_xlfn._xlws.FILTER($CN141:$CT141,$CN141:$CT141&gt;BP141))</f>
        <v>4.8</v>
      </c>
      <c r="CW141" s="16">
        <f t="shared" ca="1" si="136"/>
        <v>1.1818181818181825</v>
      </c>
      <c r="CX141" s="20">
        <f t="shared" ca="1" si="137"/>
        <v>-0.59090909090909127</v>
      </c>
      <c r="CY141" s="20">
        <f t="shared" ca="1" si="138"/>
        <v>-0.3939393939393942</v>
      </c>
      <c r="CZ141" s="20">
        <f t="shared" ca="1" si="139"/>
        <v>-0.2363636363636365</v>
      </c>
      <c r="DA141" s="20">
        <f t="shared" ca="1" si="140"/>
        <v>-0.13131313131313138</v>
      </c>
      <c r="DB141" s="20">
        <f t="shared" ca="1" si="141"/>
        <v>-6.9518716577540149E-2</v>
      </c>
      <c r="DC141" s="20">
        <f t="shared" ca="1" si="142"/>
        <v>-3.5812672176308562E-2</v>
      </c>
      <c r="DD141" s="20">
        <f t="shared" ca="1" si="143"/>
        <v>-1.8181818181818191E-2</v>
      </c>
      <c r="DE141" s="21">
        <f t="shared" ca="1" si="144"/>
        <v>1.8181818181818191E-2</v>
      </c>
      <c r="DF141" s="21">
        <f t="shared" ca="1" si="145"/>
        <v>3.5812672176308562E-2</v>
      </c>
      <c r="DG141" s="21">
        <f t="shared" ca="1" si="146"/>
        <v>6.9518716577540149E-2</v>
      </c>
      <c r="DH141" s="21">
        <f t="shared" ca="1" si="147"/>
        <v>0.13131313131313138</v>
      </c>
      <c r="DI141" s="21">
        <f t="shared" ca="1" si="148"/>
        <v>0.2363636363636365</v>
      </c>
      <c r="DJ141" s="21">
        <f t="shared" ca="1" si="149"/>
        <v>0.3939393939393942</v>
      </c>
      <c r="DK141" s="21">
        <f t="shared" ca="1" si="150"/>
        <v>0.59090909090909127</v>
      </c>
      <c r="DM141" s="16" cm="1">
        <f t="array" aca="1" ref="DM141" ca="1">MAX(_xlfn._xlws.FILTER(CX141:DK141,CX141:DK141&lt;BV141))</f>
        <v>-1.8181818181818191E-2</v>
      </c>
      <c r="DN141" s="16" cm="1">
        <f t="array" aca="1" ref="DN141" ca="1">MIN(_xlfn._xlws.FILTER(CX141:DK141,CX141:DK141&gt;BV141))</f>
        <v>1.8181818181818191E-2</v>
      </c>
      <c r="DO141" s="2" cm="1">
        <f t="array" aca="1" ref="DO141" ca="1">_FV(ED141,"Fechamento anterior",TRUE)</f>
        <v>3.04</v>
      </c>
      <c r="DP141" s="28">
        <f t="shared" ca="1" si="162"/>
        <v>0.95230263157894501</v>
      </c>
      <c r="DQ141" s="15">
        <f t="shared" ca="1" si="151"/>
        <v>2.9847272727272727</v>
      </c>
      <c r="DR141" s="15">
        <f t="shared" ca="1" si="152"/>
        <v>3.0952727272727274</v>
      </c>
      <c r="DS141" s="9"/>
      <c r="DT141" s="9"/>
      <c r="DU141" s="9"/>
      <c r="DV141" s="89">
        <v>3.3706044401231587E-2</v>
      </c>
      <c r="DW141" s="89">
        <f t="shared" ca="1" si="163"/>
        <v>3.6363636363636383E-2</v>
      </c>
      <c r="DX141" s="72">
        <f t="shared" ca="1" si="164"/>
        <v>-0.48867298686389915</v>
      </c>
      <c r="DY141" s="37"/>
      <c r="DZ141" s="35">
        <f t="shared" si="174"/>
        <v>0.49624187650782053</v>
      </c>
      <c r="EA141" s="56"/>
      <c r="EB141" s="56"/>
      <c r="ED141" s="2" t="e" vm="141">
        <v>#VALUE!</v>
      </c>
      <c r="EF141" s="10" cm="1">
        <f t="array" aca="1" ref="EF141" ca="1">_FV(ED141,"Ações em circulação",TRUE)</f>
        <v>651072700</v>
      </c>
      <c r="EG141" s="18">
        <f>VLOOKUP(BQ141,Fundamentus!A:U,5,FALSE)</f>
        <v>0.35199999999999998</v>
      </c>
      <c r="EH141" s="2">
        <f t="shared" ca="1" si="165"/>
        <v>5715382508.522728</v>
      </c>
      <c r="EI141" s="17">
        <v>213633229.68750003</v>
      </c>
      <c r="EJ141" s="17">
        <f t="shared" ca="1" si="166"/>
        <v>188607622.78125003</v>
      </c>
      <c r="EL141" s="16">
        <f t="shared" ca="1" si="153"/>
        <v>-0.1171428571428571</v>
      </c>
      <c r="EM141" s="32" t="str">
        <f>IF(VLOOKUP(BQ141,Fundamentus!A:U,3,FALSE)&lt;15,"Bom",IF(VLOOKUP(BQ141,Fundamentus!A:U,3,FALSE)&gt;15,"Ruim","n/a"))</f>
        <v>Ruim</v>
      </c>
      <c r="EN141" s="28" t="str">
        <f>IF(VLOOKUP(BQ141,Fundamentus!A:U,4,FALSE)&lt;1,"Baixo",IF(VLOOKUP(BQ141,Fundamentus!A:U,4,FALSE)&lt;1.5,"Moderado",IF(VLOOKUP(BQ141,Fundamentus!A:U,4,FALSE)&gt;1.5,"Alto","n/a")))</f>
        <v>Baixo</v>
      </c>
      <c r="EO141" s="17" t="str">
        <f>IF(VLOOKUP(BQ141,Fundamentus!A:U,8,FALSE)&lt;0,"Risco elevado",IF(VLOOKUP(BQ141,Fundamentus!A:U,8,FALSE)&lt;1,"Saudável",IF(VLOOKUP(BQ141,Fundamentus!A:U,8,FALSE)&lt;3,"Estável",IF(VLOOKUP(BQ141,Fundamentus!A:U,8,FALSE)&gt;3,"Alerta","n/a"))))</f>
        <v>Estável</v>
      </c>
      <c r="EP141" s="28" t="str">
        <f t="shared" si="167"/>
        <v>Ruim</v>
      </c>
      <c r="EQ141" s="17" t="str">
        <f>IF(VLOOKUP(BQ141,Fundamentus!A:U,12,FALSE)&lt;2,"Subvalorizada",IF(VLOOKUP(BQ141,Fundamentus!A:U,12,FALSE)&lt;6,"Muita barata",IF(VLOOKUP(BQ141,Fundamentus!A:U,12,FALSE)&lt;6,"Barata",IF(VLOOKUP(BQ141,Fundamentus!A:U,12,FALSE)&lt;8,"Atrativa",IF(VLOOKUP(BQ141,Fundamentus!A:U,12,FALSE)&gt;8,"Supervalorizada","n/a")))))</f>
        <v>Muita barata</v>
      </c>
      <c r="ES141" s="17" t="str">
        <f>IF(VLOOKUP(BQ141,Fundamentus!A:U,17,FALSE)&lt;0.1,"Fraco retorno",IF(VLOOKUP(BQ141,Fundamentus!A:U,17,FALSE)&gt;0.1,"Bom retorno","n/a"))</f>
        <v>Fraco retorno</v>
      </c>
      <c r="ET141" s="17" t="str">
        <f>IF(VLOOKUP(BQ141,Fundamentus!A:U,16,FALSE)&lt;0.1,"Ineficiente",IF(VLOOKUP(BQ141,Fundamentus!A:U,16,FALSE)&gt;0.1,"Eficiente","n/a"))</f>
        <v>Ineficiente</v>
      </c>
      <c r="EU141" s="33" t="str">
        <f>IF(VLOOKUP(BQ141,Fundamentus!A:U,16,FALSE)&lt;0.1,"Oper. Ineficiente",IF(VLOOKUP(BQ141,Fundamentus!A:U,16,FALSE)&gt;0.1,"Oper.Eficiente","n/a"))</f>
        <v>Oper. Ineficiente</v>
      </c>
      <c r="EV141" s="34">
        <f>VLOOKUP(BQ141,Fundamentus!A:U,14,FALSE)</f>
        <v>3.3000000000000002E-2</v>
      </c>
      <c r="EW141" s="17" t="str">
        <f>IF(VLOOKUP(BQ141,Fundamentus!A:U,21,FALSE)&lt;0,"Negativo",IF(VLOOKUP(BQ141,Fundamentus!A:U,21,FALSE)&lt;0.05,"Fraco",IF(VLOOKUP(BQ141,Fundamentus!A:U,21,FALSE)&lt;0.1,"Bom",IF(VLOOKUP(BQ141,Fundamentus!A:U,21,FALSE)&gt;0.1,"Muito bom","n/a"))))</f>
        <v>Negativo</v>
      </c>
      <c r="EY141" s="29" t="str">
        <f>IF(VLOOKUP(BQ141,Fundamentus!A:U,15,FALSE)&gt;1,"Bom",IF(VLOOKUP(BQ141,Fundamentus!A:U,15,FALSE)&lt;1,"Ruim","n/a"))</f>
        <v>Bom</v>
      </c>
      <c r="EZ141" s="17" t="str">
        <f>IF(VLOOKUP(BQ141,Fundamentus!A:U,20,FALSE)&lt;0.5,"Baixa",IF(VLOOKUP(BQ141,Fundamentus!A:U,20,FALSE)&lt;1,"Moderada",IF(VLOOKUP(BQ141,Fundamentus!A:U,20,FALSE)&lt;2,"Alerta",IF(VLOOKUP(BQ141,Fundamentus!A:U,20,FALSE)&gt;2,"Alta","n/a"))))</f>
        <v>Moderada</v>
      </c>
      <c r="FA141" s="10"/>
    </row>
    <row r="142" spans="1:157" s="2" customFormat="1" ht="11.25" hidden="1" x14ac:dyDescent="0.2">
      <c r="A142" s="4">
        <v>4.6900000000000004</v>
      </c>
      <c r="B142" s="4">
        <v>4.34</v>
      </c>
      <c r="C142" s="4">
        <v>4.2699999999999996</v>
      </c>
      <c r="D142" s="4">
        <v>4.18</v>
      </c>
      <c r="E142" s="4">
        <v>4.07</v>
      </c>
      <c r="F142" s="4">
        <v>4.01</v>
      </c>
      <c r="G142" s="4">
        <v>4.07</v>
      </c>
      <c r="H142" s="4">
        <v>4.1900000000000004</v>
      </c>
      <c r="I142" s="4">
        <v>4.3</v>
      </c>
      <c r="J142" s="4">
        <v>4.2</v>
      </c>
      <c r="K142" s="4">
        <v>4.22</v>
      </c>
      <c r="L142" s="4">
        <v>4.3</v>
      </c>
      <c r="M142" s="4">
        <v>4.25</v>
      </c>
      <c r="N142" s="4">
        <v>4.37</v>
      </c>
      <c r="O142" s="4">
        <v>4.1900000000000004</v>
      </c>
      <c r="P142" s="4">
        <v>4.2300000000000004</v>
      </c>
      <c r="Q142" s="4">
        <v>4.46</v>
      </c>
      <c r="R142" s="4">
        <v>4.32</v>
      </c>
      <c r="S142" s="4">
        <v>4.34</v>
      </c>
      <c r="T142" s="4">
        <v>4.3899999999999997</v>
      </c>
      <c r="U142" s="4">
        <v>4.25</v>
      </c>
      <c r="V142" s="4">
        <v>4.22</v>
      </c>
      <c r="W142" s="4">
        <v>4.2699999999999996</v>
      </c>
      <c r="X142" s="4">
        <v>4.03</v>
      </c>
      <c r="Y142" s="4">
        <v>4.1500000000000004</v>
      </c>
      <c r="Z142" s="4">
        <v>4.1399999999999997</v>
      </c>
      <c r="AA142" s="4">
        <v>4.21</v>
      </c>
      <c r="AB142" s="4">
        <v>4.18</v>
      </c>
      <c r="AC142" s="4">
        <v>4.12</v>
      </c>
      <c r="AD142" s="4">
        <v>4.3499999999999996</v>
      </c>
      <c r="AE142" s="4">
        <v>4.49</v>
      </c>
      <c r="AF142" s="4">
        <v>4.7</v>
      </c>
      <c r="AG142" s="4">
        <v>4.7699999999999996</v>
      </c>
      <c r="AH142" s="4">
        <v>4.9000000000000004</v>
      </c>
      <c r="AI142" s="4">
        <v>4.88</v>
      </c>
      <c r="AJ142" s="4">
        <v>4.76</v>
      </c>
      <c r="AK142" s="4">
        <v>4.7</v>
      </c>
      <c r="AL142" s="4">
        <v>4.6500000000000004</v>
      </c>
      <c r="AM142" s="4">
        <v>4.78</v>
      </c>
      <c r="AN142" s="4">
        <v>4.8</v>
      </c>
      <c r="AO142" s="4">
        <v>4.47</v>
      </c>
      <c r="AP142" s="4">
        <v>4.55</v>
      </c>
      <c r="AQ142" s="4">
        <v>4.3499999999999996</v>
      </c>
      <c r="AR142" s="4">
        <v>4.04</v>
      </c>
      <c r="AS142" s="4">
        <v>4.1399999999999997</v>
      </c>
      <c r="AT142" s="4">
        <v>4.0199999999999996</v>
      </c>
      <c r="AU142" s="4">
        <v>4.03</v>
      </c>
      <c r="AV142" s="4">
        <v>3.91</v>
      </c>
      <c r="AW142" s="4">
        <v>3.8</v>
      </c>
      <c r="AX142" s="4">
        <v>3.72</v>
      </c>
      <c r="AY142" s="12">
        <v>3.66</v>
      </c>
      <c r="AZ142" s="12">
        <v>3.82</v>
      </c>
      <c r="BA142" s="12">
        <v>3.77</v>
      </c>
      <c r="BB142" s="15">
        <v>4.0599999999999996</v>
      </c>
      <c r="BC142" s="52">
        <v>4.0199999999999996</v>
      </c>
      <c r="BD142" s="52">
        <v>3.98</v>
      </c>
      <c r="BE142" s="52">
        <v>3.8</v>
      </c>
      <c r="BF142" s="52">
        <v>3.85</v>
      </c>
      <c r="BG142" s="67">
        <v>3.85</v>
      </c>
      <c r="BH142" s="52">
        <v>3.63</v>
      </c>
      <c r="BI142" s="52">
        <v>3.68</v>
      </c>
      <c r="BJ142" s="52">
        <v>3.99</v>
      </c>
      <c r="BK142" s="52">
        <v>3.81</v>
      </c>
      <c r="BL142" s="52">
        <v>3.84</v>
      </c>
      <c r="BM142" s="52">
        <v>3.81</v>
      </c>
      <c r="BN142" s="52">
        <v>3.75</v>
      </c>
      <c r="BO142" s="52">
        <v>3.85</v>
      </c>
      <c r="BP142" s="52" cm="1">
        <f t="array" aca="1" ref="BP142" ca="1">_FV(ED142,"Preço")</f>
        <v>3.68</v>
      </c>
      <c r="BQ142" s="69" t="s">
        <v>138</v>
      </c>
      <c r="BR142" s="36" cm="1">
        <f t="array" aca="1" ref="BR142" ca="1">_FV(ED142,"Média de volume",TRUE)</f>
        <v>2169260</v>
      </c>
      <c r="BS142" s="36">
        <v>377600</v>
      </c>
      <c r="BT142" s="36" cm="1">
        <f t="array" aca="1" ref="BT142" ca="1">_FV(ED142,"Volume")</f>
        <v>241300</v>
      </c>
      <c r="BU142" s="24" cm="1">
        <f t="array" aca="1" ref="BU142" ca="1">_FV(ED142,"Beta")</f>
        <v>0.41370000000000001</v>
      </c>
      <c r="BV142" s="71" cm="1">
        <f t="array" aca="1" ref="BV142" ca="1">_FV(ED142,"Variação (%)",TRUE)</f>
        <v>-1.8667E-2</v>
      </c>
      <c r="BX142" s="17" cm="1">
        <f t="array" aca="1" ref="BX142" ca="1">_FV(ED142,"Baixo")</f>
        <v>3.67</v>
      </c>
      <c r="BY142" s="17" cm="1">
        <f t="array" aca="1" ref="BY142" ca="1">_FV(ED142,"Alto")</f>
        <v>3.76</v>
      </c>
      <c r="BZ142" s="24"/>
      <c r="CA142" s="63">
        <f ca="1">SQRT(22.5*(BP142/VLOOKUP(BQ142,Fundamentus!A:U,3,FALSE))*(BP142/VLOOKUP(BQ142,Fundamentus!A:U,4,FALSE)))</f>
        <v>2.9169299691615826</v>
      </c>
      <c r="CC142" s="62">
        <f t="shared" ca="1" si="168"/>
        <v>-4.4155844155844136E-2</v>
      </c>
      <c r="CD142" s="8"/>
      <c r="CE142" s="61">
        <f t="shared" si="169"/>
        <v>3.63</v>
      </c>
      <c r="CF142" s="61">
        <f t="shared" si="170"/>
        <v>4.9000000000000004</v>
      </c>
      <c r="CG142" s="61">
        <f t="shared" si="171"/>
        <v>4.1931343283582088</v>
      </c>
      <c r="CH142" s="14"/>
      <c r="CI142" s="35">
        <f t="shared" si="154"/>
        <v>3.7352576169033491</v>
      </c>
      <c r="CJ142" s="15">
        <f t="shared" si="172"/>
        <v>3.8049999999999997</v>
      </c>
      <c r="CK142" s="35">
        <f t="shared" si="155"/>
        <v>3.8747423830966503</v>
      </c>
      <c r="CM142" s="14"/>
      <c r="CN142" s="17">
        <f t="shared" si="156"/>
        <v>2.083333333333333</v>
      </c>
      <c r="CO142" s="17">
        <f t="shared" si="157"/>
        <v>2.8566666666666665</v>
      </c>
      <c r="CP142" s="17">
        <f t="shared" si="158"/>
        <v>3.3533333333333335</v>
      </c>
      <c r="CQ142" s="38">
        <f t="shared" si="173"/>
        <v>4.1266666666666669</v>
      </c>
      <c r="CR142" s="17">
        <f t="shared" si="159"/>
        <v>4.623333333333334</v>
      </c>
      <c r="CS142" s="17">
        <f t="shared" si="160"/>
        <v>5.3966666666666674</v>
      </c>
      <c r="CT142" s="17">
        <f t="shared" si="161"/>
        <v>5.8933333333333344</v>
      </c>
      <c r="CU142" s="2" cm="1">
        <f t="array" aca="1" ref="CU142" ca="1">MAX(_xlfn._xlws.FILTER(CN142:CT142,CN142:CT142&lt;BP142))</f>
        <v>3.3533333333333335</v>
      </c>
      <c r="CV142" s="2" cm="1">
        <f t="array" aca="1" ref="CV142" ca="1">MIN(_xlfn._xlws.FILTER($CN142:$CT142,$CN142:$CT142&gt;BP142))</f>
        <v>4.1266666666666669</v>
      </c>
      <c r="CW142" s="16">
        <f t="shared" ca="1" si="136"/>
        <v>0.23061630218687879</v>
      </c>
      <c r="CX142" s="20">
        <f t="shared" ca="1" si="137"/>
        <v>-0.11530815109343939</v>
      </c>
      <c r="CY142" s="20">
        <f t="shared" ca="1" si="138"/>
        <v>-7.68721007289596E-2</v>
      </c>
      <c r="CZ142" s="20">
        <f t="shared" ca="1" si="139"/>
        <v>-4.612326043737576E-2</v>
      </c>
      <c r="DA142" s="20">
        <f t="shared" ca="1" si="140"/>
        <v>-2.5624033576319864E-2</v>
      </c>
      <c r="DB142" s="20">
        <f t="shared" ca="1" si="141"/>
        <v>-1.3565664834522281E-2</v>
      </c>
      <c r="DC142" s="20">
        <f t="shared" ca="1" si="142"/>
        <v>-6.9883727935417814E-3</v>
      </c>
      <c r="DD142" s="20">
        <f t="shared" ca="1" si="143"/>
        <v>-3.547943110567366E-3</v>
      </c>
      <c r="DE142" s="21">
        <f t="shared" ca="1" si="144"/>
        <v>3.547943110567366E-3</v>
      </c>
      <c r="DF142" s="21">
        <f t="shared" ca="1" si="145"/>
        <v>6.9883727935417814E-3</v>
      </c>
      <c r="DG142" s="21">
        <f t="shared" ca="1" si="146"/>
        <v>1.3565664834522281E-2</v>
      </c>
      <c r="DH142" s="21">
        <f t="shared" ca="1" si="147"/>
        <v>2.5624033576319864E-2</v>
      </c>
      <c r="DI142" s="21">
        <f t="shared" ca="1" si="148"/>
        <v>4.612326043737576E-2</v>
      </c>
      <c r="DJ142" s="21">
        <f t="shared" ca="1" si="149"/>
        <v>7.68721007289596E-2</v>
      </c>
      <c r="DK142" s="21">
        <f t="shared" ca="1" si="150"/>
        <v>0.11530815109343939</v>
      </c>
      <c r="DM142" s="16" cm="1">
        <f t="array" aca="1" ref="DM142" ca="1">MAX(_xlfn._xlws.FILTER(CX142:DK142,CX142:DK142&lt;BV142))</f>
        <v>-2.5624033576319864E-2</v>
      </c>
      <c r="DN142" s="16" cm="1">
        <f t="array" aca="1" ref="DN142" ca="1">MIN(_xlfn._xlws.FILTER(CX142:DK142,CX142:DK142&gt;BV142))</f>
        <v>-1.3565664834522281E-2</v>
      </c>
      <c r="DO142" s="2" cm="1">
        <f t="array" aca="1" ref="DO142" ca="1">_FV(ED142,"Fechamento anterior",TRUE)</f>
        <v>3.75</v>
      </c>
      <c r="DP142" s="28">
        <f t="shared" ca="1" si="162"/>
        <v>0.5769741379310398</v>
      </c>
      <c r="DQ142" s="15">
        <f t="shared" ca="1" si="151"/>
        <v>3.6539098740888005</v>
      </c>
      <c r="DR142" s="15">
        <f t="shared" ca="1" si="152"/>
        <v>3.6991287568705413</v>
      </c>
      <c r="DS142" s="9"/>
      <c r="DT142" s="9"/>
      <c r="DU142" s="9"/>
      <c r="DV142" s="89">
        <v>1.2058368741797583E-2</v>
      </c>
      <c r="DW142" s="89">
        <f t="shared" ca="1" si="163"/>
        <v>1.2058368741797583E-2</v>
      </c>
      <c r="DX142" s="72">
        <f t="shared" ca="1" si="164"/>
        <v>-1.7923104208637621</v>
      </c>
      <c r="DY142" s="37"/>
      <c r="DZ142" s="35">
        <f t="shared" si="174"/>
        <v>3.4871191548325381E-2</v>
      </c>
      <c r="EA142" s="56"/>
      <c r="EB142" s="56"/>
      <c r="ED142" s="2" t="e" vm="142">
        <v>#VALUE!</v>
      </c>
      <c r="EF142" s="10" cm="1">
        <f t="array" aca="1" ref="EF142" ca="1">_FV(ED142,"Ações em circulação",TRUE)</f>
        <v>1235936000</v>
      </c>
      <c r="EG142" s="18">
        <f>VLOOKUP(BQ142,Fundamentus!A:U,5,FALSE)</f>
        <v>1.1759999999999999</v>
      </c>
      <c r="EH142" s="2">
        <f t="shared" ca="1" si="165"/>
        <v>3867554829.931973</v>
      </c>
      <c r="EI142" s="17">
        <v>409881989.52380955</v>
      </c>
      <c r="EJ142" s="17">
        <f t="shared" ca="1" si="166"/>
        <v>391783304.27210885</v>
      </c>
      <c r="EL142" s="16">
        <f t="shared" ca="1" si="153"/>
        <v>-4.4155844155844171E-2</v>
      </c>
      <c r="EM142" s="32" t="str">
        <f>IF(VLOOKUP(BQ142,Fundamentus!A:U,3,FALSE)&lt;15,"Bom",IF(VLOOKUP(BQ142,Fundamentus!A:U,3,FALSE)&gt;15,"Ruim","n/a"))</f>
        <v>Bom</v>
      </c>
      <c r="EN142" s="28" t="str">
        <f>IF(VLOOKUP(BQ142,Fundamentus!A:U,4,FALSE)&lt;1,"Baixo",IF(VLOOKUP(BQ142,Fundamentus!A:U,4,FALSE)&lt;1.5,"Moderado",IF(VLOOKUP(BQ142,Fundamentus!A:U,4,FALSE)&gt;1.5,"Alto","n/a")))</f>
        <v>Alto</v>
      </c>
      <c r="EO142" s="17" t="str">
        <f>IF(VLOOKUP(BQ142,Fundamentus!A:U,8,FALSE)&lt;0,"Risco elevado",IF(VLOOKUP(BQ142,Fundamentus!A:U,8,FALSE)&lt;1,"Saudável",IF(VLOOKUP(BQ142,Fundamentus!A:U,8,FALSE)&lt;3,"Estável",IF(VLOOKUP(BQ142,Fundamentus!A:U,8,FALSE)&gt;3,"Alerta","n/a"))))</f>
        <v>Alerta</v>
      </c>
      <c r="EP142" s="28" t="str">
        <f t="shared" si="167"/>
        <v>Bom</v>
      </c>
      <c r="EQ142" s="17" t="str">
        <f>IF(VLOOKUP(BQ142,Fundamentus!A:U,12,FALSE)&lt;2,"Subvalorizada",IF(VLOOKUP(BQ142,Fundamentus!A:U,12,FALSE)&lt;6,"Muita barata",IF(VLOOKUP(BQ142,Fundamentus!A:U,12,FALSE)&lt;6,"Barata",IF(VLOOKUP(BQ142,Fundamentus!A:U,12,FALSE)&lt;8,"Atrativa",IF(VLOOKUP(BQ142,Fundamentus!A:U,12,FALSE)&gt;8,"Supervalorizada","n/a")))))</f>
        <v>Muita barata</v>
      </c>
      <c r="ES142" s="17" t="str">
        <f>IF(VLOOKUP(BQ142,Fundamentus!A:U,17,FALSE)&lt;0.1,"Fraco retorno",IF(VLOOKUP(BQ142,Fundamentus!A:U,17,FALSE)&gt;0.1,"Bom retorno","n/a"))</f>
        <v>Bom retorno</v>
      </c>
      <c r="ET142" s="17" t="str">
        <f>IF(VLOOKUP(BQ142,Fundamentus!A:U,16,FALSE)&lt;0.1,"Ineficiente",IF(VLOOKUP(BQ142,Fundamentus!A:U,16,FALSE)&gt;0.1,"Eficiente","n/a"))</f>
        <v>Ineficiente</v>
      </c>
      <c r="EU142" s="33" t="str">
        <f>IF(VLOOKUP(BQ142,Fundamentus!A:U,16,FALSE)&lt;0.1,"Oper. Ineficiente",IF(VLOOKUP(BQ142,Fundamentus!A:U,16,FALSE)&gt;0.1,"Oper.Eficiente","n/a"))</f>
        <v>Oper. Ineficiente</v>
      </c>
      <c r="EV142" s="34">
        <f>VLOOKUP(BQ142,Fundamentus!A:U,14,FALSE)</f>
        <v>0.1013</v>
      </c>
      <c r="EW142" s="17" t="str">
        <f>IF(VLOOKUP(BQ142,Fundamentus!A:U,21,FALSE)&lt;0,"Negativo",IF(VLOOKUP(BQ142,Fundamentus!A:U,21,FALSE)&lt;0.05,"Fraco",IF(VLOOKUP(BQ142,Fundamentus!A:U,21,FALSE)&lt;0.1,"Bom",IF(VLOOKUP(BQ142,Fundamentus!A:U,21,FALSE)&gt;0.1,"Muito bom","n/a"))))</f>
        <v>Bom</v>
      </c>
      <c r="EY142" s="29" t="str">
        <f>IF(VLOOKUP(BQ142,Fundamentus!A:U,15,FALSE)&gt;1,"Bom",IF(VLOOKUP(BQ142,Fundamentus!A:U,15,FALSE)&lt;1,"Ruim","n/a"))</f>
        <v>Bom</v>
      </c>
      <c r="EZ142" s="17" t="str">
        <f>IF(VLOOKUP(BQ142,Fundamentus!A:U,20,FALSE)&lt;0.5,"Baixa",IF(VLOOKUP(BQ142,Fundamentus!A:U,20,FALSE)&lt;1,"Moderada",IF(VLOOKUP(BQ142,Fundamentus!A:U,20,FALSE)&lt;2,"Alerta",IF(VLOOKUP(BQ142,Fundamentus!A:U,20,FALSE)&gt;2,"Alta","n/a"))))</f>
        <v>Alta</v>
      </c>
      <c r="FA142" s="10"/>
    </row>
    <row r="143" spans="1:157" s="2" customFormat="1" ht="11.25" hidden="1" x14ac:dyDescent="0.2">
      <c r="A143" s="4">
        <v>7.59</v>
      </c>
      <c r="B143" s="4">
        <v>7.91</v>
      </c>
      <c r="C143" s="4">
        <v>8.09</v>
      </c>
      <c r="D143" s="4">
        <v>7.46</v>
      </c>
      <c r="E143" s="4">
        <v>7.8</v>
      </c>
      <c r="F143" s="4">
        <v>7.77</v>
      </c>
      <c r="G143" s="4">
        <v>7.26</v>
      </c>
      <c r="H143" s="4">
        <v>7.15</v>
      </c>
      <c r="I143" s="4">
        <v>6.95</v>
      </c>
      <c r="J143" s="4">
        <v>7.32</v>
      </c>
      <c r="K143" s="4">
        <v>7.29</v>
      </c>
      <c r="L143" s="4">
        <v>7.12</v>
      </c>
      <c r="M143" s="4">
        <v>6.91</v>
      </c>
      <c r="N143" s="4">
        <v>6.99</v>
      </c>
      <c r="O143" s="4">
        <v>7.94</v>
      </c>
      <c r="P143" s="4">
        <v>7.86</v>
      </c>
      <c r="Q143" s="4">
        <v>8.01</v>
      </c>
      <c r="R143" s="4">
        <v>7.88</v>
      </c>
      <c r="S143" s="4">
        <v>8.08</v>
      </c>
      <c r="T143" s="4">
        <v>7.47</v>
      </c>
      <c r="U143" s="4">
        <v>7.16</v>
      </c>
      <c r="V143" s="4">
        <v>7.51</v>
      </c>
      <c r="W143" s="4">
        <v>7.35</v>
      </c>
      <c r="X143" s="4">
        <v>7.28</v>
      </c>
      <c r="Y143" s="4">
        <v>7.21</v>
      </c>
      <c r="Z143" s="4">
        <v>7.28</v>
      </c>
      <c r="AA143" s="4">
        <v>7.46</v>
      </c>
      <c r="AB143" s="4">
        <v>7.37</v>
      </c>
      <c r="AC143" s="4">
        <v>7.24</v>
      </c>
      <c r="AD143" s="4">
        <v>7.25</v>
      </c>
      <c r="AE143" s="4">
        <v>6.98</v>
      </c>
      <c r="AF143" s="4">
        <v>7.12</v>
      </c>
      <c r="AG143" s="4">
        <v>6.82</v>
      </c>
      <c r="AH143" s="4">
        <v>6.95</v>
      </c>
      <c r="AI143" s="4">
        <v>6.5</v>
      </c>
      <c r="AJ143" s="4">
        <v>5.96</v>
      </c>
      <c r="AK143" s="4">
        <v>5.97</v>
      </c>
      <c r="AL143" s="4">
        <v>6.26</v>
      </c>
      <c r="AM143" s="4">
        <v>6.3</v>
      </c>
      <c r="AN143" s="4">
        <v>6.68</v>
      </c>
      <c r="AO143" s="4">
        <v>6.61</v>
      </c>
      <c r="AP143" s="4">
        <v>7.12</v>
      </c>
      <c r="AQ143" s="4">
        <v>6.94</v>
      </c>
      <c r="AR143" s="4">
        <v>6.38</v>
      </c>
      <c r="AS143" s="4">
        <v>6.31</v>
      </c>
      <c r="AT143" s="4">
        <v>6.45</v>
      </c>
      <c r="AU143" s="4">
        <v>6.7249999999999996</v>
      </c>
      <c r="AV143" s="4">
        <v>6.99</v>
      </c>
      <c r="AW143" s="4">
        <v>7.04</v>
      </c>
      <c r="AX143" s="4">
        <v>7.57</v>
      </c>
      <c r="AY143" s="12">
        <v>7.47</v>
      </c>
      <c r="AZ143" s="12">
        <v>7.6</v>
      </c>
      <c r="BA143" s="12">
        <v>7.7</v>
      </c>
      <c r="BB143" s="15">
        <v>7.67</v>
      </c>
      <c r="BC143" s="52">
        <v>7.72</v>
      </c>
      <c r="BD143" s="52">
        <v>7.76</v>
      </c>
      <c r="BE143" s="52">
        <v>7.99</v>
      </c>
      <c r="BF143" s="52">
        <v>7.82</v>
      </c>
      <c r="BG143" s="67">
        <v>7.78</v>
      </c>
      <c r="BH143" s="52">
        <v>7.73</v>
      </c>
      <c r="BI143" s="52">
        <v>7.9</v>
      </c>
      <c r="BJ143" s="52">
        <v>8.08</v>
      </c>
      <c r="BK143" s="52">
        <v>7.95</v>
      </c>
      <c r="BL143" s="52">
        <v>7.71</v>
      </c>
      <c r="BM143" s="52">
        <v>7.58</v>
      </c>
      <c r="BN143" s="52">
        <v>7.37</v>
      </c>
      <c r="BO143" s="52">
        <v>7.69</v>
      </c>
      <c r="BP143" s="52" cm="1">
        <f t="array" aca="1" ref="BP143" ca="1">_FV(ED143,"Preço")</f>
        <v>7.04</v>
      </c>
      <c r="BQ143" s="69" t="s">
        <v>139</v>
      </c>
      <c r="BR143" s="36" cm="1">
        <f t="array" aca="1" ref="BR143" ca="1">_FV(ED143,"Média de volume",TRUE)</f>
        <v>4950950</v>
      </c>
      <c r="BS143" s="36">
        <v>2252100</v>
      </c>
      <c r="BT143" s="36" cm="1">
        <f t="array" aca="1" ref="BT143" ca="1">_FV(ED143,"Volume")</f>
        <v>4863800</v>
      </c>
      <c r="BU143" s="24" cm="1">
        <f t="array" aca="1" ref="BU143" ca="1">_FV(ED143,"Beta")</f>
        <v>1.3038000000000001</v>
      </c>
      <c r="BV143" s="71" cm="1">
        <f t="array" aca="1" ref="BV143" ca="1">_FV(ED143,"Variação (%)",TRUE)</f>
        <v>0</v>
      </c>
      <c r="BX143" s="17" cm="1">
        <f t="array" aca="1" ref="BX143" ca="1">_FV(ED143,"Baixo")</f>
        <v>6.9</v>
      </c>
      <c r="BY143" s="17" cm="1">
        <f t="array" aca="1" ref="BY143" ca="1">_FV(ED143,"Alto")</f>
        <v>7.04</v>
      </c>
      <c r="BZ143" s="24"/>
      <c r="CA143" s="63">
        <f ca="1">SQRT(22.5*(BP143/VLOOKUP(BQ143,Fundamentus!A:U,3,FALSE))*(BP143/VLOOKUP(BQ143,Fundamentus!A:U,4,FALSE)))</f>
        <v>7.2902694735309419</v>
      </c>
      <c r="CC143" s="62">
        <f t="shared" ca="1" si="168"/>
        <v>-8.452535760728222E-2</v>
      </c>
      <c r="CD143" s="8"/>
      <c r="CE143" s="61">
        <f t="shared" si="169"/>
        <v>5.96</v>
      </c>
      <c r="CF143" s="61">
        <f t="shared" si="170"/>
        <v>8.09</v>
      </c>
      <c r="CG143" s="61">
        <f t="shared" si="171"/>
        <v>7.3008208955223894</v>
      </c>
      <c r="CH143" s="14"/>
      <c r="CI143" s="35">
        <f t="shared" si="154"/>
        <v>7.1426407547177462</v>
      </c>
      <c r="CJ143" s="15">
        <f t="shared" si="172"/>
        <v>7.5200000000000102</v>
      </c>
      <c r="CK143" s="35">
        <f t="shared" si="155"/>
        <v>7.8973592452822743</v>
      </c>
      <c r="CM143" s="14"/>
      <c r="CN143" s="17">
        <f t="shared" si="156"/>
        <v>4.2733333333333343</v>
      </c>
      <c r="CO143" s="17">
        <f t="shared" si="157"/>
        <v>5.1166666666666671</v>
      </c>
      <c r="CP143" s="17">
        <f t="shared" si="158"/>
        <v>6.4033333333333342</v>
      </c>
      <c r="CQ143" s="38">
        <f t="shared" si="173"/>
        <v>7.246666666666667</v>
      </c>
      <c r="CR143" s="17">
        <f t="shared" si="159"/>
        <v>8.533333333333335</v>
      </c>
      <c r="CS143" s="17">
        <f t="shared" si="160"/>
        <v>9.3766666666666669</v>
      </c>
      <c r="CT143" s="17">
        <f t="shared" si="161"/>
        <v>10.663333333333334</v>
      </c>
      <c r="CU143" s="2" cm="1">
        <f t="array" aca="1" ref="CU143" ca="1">MAX(_xlfn._xlws.FILTER(CN143:CT143,CN143:CT143&lt;BP143))</f>
        <v>6.4033333333333342</v>
      </c>
      <c r="CV143" s="2" cm="1">
        <f t="array" aca="1" ref="CV143" ca="1">MIN(_xlfn._xlws.FILTER($CN143:$CT143,$CN143:$CT143&gt;BP143))</f>
        <v>7.246666666666667</v>
      </c>
      <c r="CW143" s="16">
        <f t="shared" ca="1" si="136"/>
        <v>0.13170223841749085</v>
      </c>
      <c r="CX143" s="20">
        <f t="shared" ca="1" si="137"/>
        <v>-6.5851119208745423E-2</v>
      </c>
      <c r="CY143" s="20">
        <f t="shared" ca="1" si="138"/>
        <v>-4.3900746139163616E-2</v>
      </c>
      <c r="CZ143" s="20">
        <f t="shared" ca="1" si="139"/>
        <v>-2.6340447683498171E-2</v>
      </c>
      <c r="DA143" s="20">
        <f t="shared" ca="1" si="140"/>
        <v>-1.4633582046387872E-2</v>
      </c>
      <c r="DB143" s="20">
        <f t="shared" ca="1" si="141"/>
        <v>-7.7471904951465203E-3</v>
      </c>
      <c r="DC143" s="20">
        <f t="shared" ca="1" si="142"/>
        <v>-3.9909769217421473E-3</v>
      </c>
      <c r="DD143" s="20">
        <f t="shared" ca="1" si="143"/>
        <v>-2.0261882833460128E-3</v>
      </c>
      <c r="DE143" s="21">
        <f t="shared" ca="1" si="144"/>
        <v>2.0261882833460128E-3</v>
      </c>
      <c r="DF143" s="21">
        <f t="shared" ca="1" si="145"/>
        <v>3.9909769217421473E-3</v>
      </c>
      <c r="DG143" s="21">
        <f t="shared" ca="1" si="146"/>
        <v>7.7471904951465203E-3</v>
      </c>
      <c r="DH143" s="21">
        <f t="shared" ca="1" si="147"/>
        <v>1.4633582046387872E-2</v>
      </c>
      <c r="DI143" s="21">
        <f t="shared" ca="1" si="148"/>
        <v>2.6340447683498171E-2</v>
      </c>
      <c r="DJ143" s="21">
        <f t="shared" ca="1" si="149"/>
        <v>4.3900746139163616E-2</v>
      </c>
      <c r="DK143" s="21">
        <f t="shared" ca="1" si="150"/>
        <v>6.5851119208745423E-2</v>
      </c>
      <c r="DM143" s="16" cm="1">
        <f t="array" aca="1" ref="DM143" ca="1">MAX(_xlfn._xlws.FILTER(CX143:DK143,CX143:DK143&lt;BV143))</f>
        <v>-2.0261882833460128E-3</v>
      </c>
      <c r="DN143" s="16" cm="1">
        <f t="array" aca="1" ref="DN143" ca="1">MIN(_xlfn._xlws.FILTER(CX143:DK143,CX143:DK143&gt;BV143))</f>
        <v>2.0261882833460128E-3</v>
      </c>
      <c r="DO143" s="2" cm="1">
        <f t="array" aca="1" ref="DO143" ca="1">_FV(ED143,"Fechamento anterior",TRUE)</f>
        <v>7.04</v>
      </c>
      <c r="DP143" s="28">
        <f t="shared" ca="1" si="162"/>
        <v>0.5</v>
      </c>
      <c r="DQ143" s="15">
        <f t="shared" ca="1" si="151"/>
        <v>7.025735634485244</v>
      </c>
      <c r="DR143" s="15">
        <f t="shared" ca="1" si="152"/>
        <v>7.0542643655147561</v>
      </c>
      <c r="DS143" s="9"/>
      <c r="DT143" s="9"/>
      <c r="DU143" s="9"/>
      <c r="DV143" s="89">
        <v>2.6488078006017312E-3</v>
      </c>
      <c r="DW143" s="89">
        <f t="shared" ca="1" si="163"/>
        <v>4.0523765666920257E-3</v>
      </c>
      <c r="DX143" s="72">
        <f t="shared" ca="1" si="164"/>
        <v>-1.2719974560076592</v>
      </c>
      <c r="DY143" s="37"/>
      <c r="DZ143" s="35">
        <f t="shared" si="174"/>
        <v>0.18867962264113208</v>
      </c>
      <c r="EA143" s="56"/>
      <c r="EB143" s="56"/>
      <c r="ED143" s="2" t="e" vm="143">
        <v>#VALUE!</v>
      </c>
      <c r="EF143" s="10" cm="1">
        <f t="array" aca="1" ref="EF143" ca="1">_FV(ED143,"Ações em circulação",TRUE)</f>
        <v>2248470000</v>
      </c>
      <c r="EG143" s="18">
        <f>VLOOKUP(BQ143,Fundamentus!A:U,5,FALSE)</f>
        <v>0.51800000000000002</v>
      </c>
      <c r="EH143" s="2">
        <f t="shared" ca="1" si="165"/>
        <v>30558356756.756756</v>
      </c>
      <c r="EI143" s="17">
        <v>1428655266.4864864</v>
      </c>
      <c r="EJ143" s="17">
        <f t="shared" ca="1" si="166"/>
        <v>1307897669.1891892</v>
      </c>
      <c r="EL143" s="16">
        <f t="shared" ca="1" si="153"/>
        <v>-8.4525357607282192E-2</v>
      </c>
      <c r="EM143" s="32" t="str">
        <f>IF(VLOOKUP(BQ143,Fundamentus!A:U,3,FALSE)&lt;15,"Bom",IF(VLOOKUP(BQ143,Fundamentus!A:U,3,FALSE)&gt;15,"Ruim","n/a"))</f>
        <v>Bom</v>
      </c>
      <c r="EN143" s="28" t="str">
        <f>IF(VLOOKUP(BQ143,Fundamentus!A:U,4,FALSE)&lt;1,"Baixo",IF(VLOOKUP(BQ143,Fundamentus!A:U,4,FALSE)&lt;1.5,"Moderado",IF(VLOOKUP(BQ143,Fundamentus!A:U,4,FALSE)&gt;1.5,"Alto","n/a")))</f>
        <v>Alto</v>
      </c>
      <c r="EO143" s="17" t="str">
        <f>IF(VLOOKUP(BQ143,Fundamentus!A:U,8,FALSE)&lt;0,"Risco elevado",IF(VLOOKUP(BQ143,Fundamentus!A:U,8,FALSE)&lt;1,"Saudável",IF(VLOOKUP(BQ143,Fundamentus!A:U,8,FALSE)&lt;3,"Estável",IF(VLOOKUP(BQ143,Fundamentus!A:U,8,FALSE)&gt;3,"Alerta","n/a"))))</f>
        <v>Estável</v>
      </c>
      <c r="EP143" s="28" t="str">
        <f t="shared" si="167"/>
        <v>Ruim</v>
      </c>
      <c r="EQ143" s="17" t="str">
        <f>IF(VLOOKUP(BQ143,Fundamentus!A:U,12,FALSE)&lt;2,"Subvalorizada",IF(VLOOKUP(BQ143,Fundamentus!A:U,12,FALSE)&lt;6,"Muita barata",IF(VLOOKUP(BQ143,Fundamentus!A:U,12,FALSE)&lt;6,"Barata",IF(VLOOKUP(BQ143,Fundamentus!A:U,12,FALSE)&lt;8,"Atrativa",IF(VLOOKUP(BQ143,Fundamentus!A:U,12,FALSE)&gt;8,"Supervalorizada","n/a")))))</f>
        <v>Atrativa</v>
      </c>
      <c r="ES143" s="17" t="str">
        <f>IF(VLOOKUP(BQ143,Fundamentus!A:U,17,FALSE)&lt;0.1,"Fraco retorno",IF(VLOOKUP(BQ143,Fundamentus!A:U,17,FALSE)&gt;0.1,"Bom retorno","n/a"))</f>
        <v>Bom retorno</v>
      </c>
      <c r="ET143" s="17" t="str">
        <f>IF(VLOOKUP(BQ143,Fundamentus!A:U,16,FALSE)&lt;0.1,"Ineficiente",IF(VLOOKUP(BQ143,Fundamentus!A:U,16,FALSE)&gt;0.1,"Eficiente","n/a"))</f>
        <v>Eficiente</v>
      </c>
      <c r="EU143" s="33" t="str">
        <f>IF(VLOOKUP(BQ143,Fundamentus!A:U,16,FALSE)&lt;0.1,"Oper. Ineficiente",IF(VLOOKUP(BQ143,Fundamentus!A:U,16,FALSE)&gt;0.1,"Oper.Eficiente","n/a"))</f>
        <v>Oper.Eficiente</v>
      </c>
      <c r="EV143" s="34">
        <f>VLOOKUP(BQ143,Fundamentus!A:U,14,FALSE)</f>
        <v>4.2799999999999998E-2</v>
      </c>
      <c r="EW143" s="17" t="str">
        <f>IF(VLOOKUP(BQ143,Fundamentus!A:U,21,FALSE)&lt;0,"Negativo",IF(VLOOKUP(BQ143,Fundamentus!A:U,21,FALSE)&lt;0.05,"Fraco",IF(VLOOKUP(BQ143,Fundamentus!A:U,21,FALSE)&lt;0.1,"Bom",IF(VLOOKUP(BQ143,Fundamentus!A:U,21,FALSE)&gt;0.1,"Muito bom","n/a"))))</f>
        <v>Muito bom</v>
      </c>
      <c r="EY143" s="29" t="str">
        <f>IF(VLOOKUP(BQ143,Fundamentus!A:U,15,FALSE)&gt;1,"Bom",IF(VLOOKUP(BQ143,Fundamentus!A:U,15,FALSE)&lt;1,"Ruim","n/a"))</f>
        <v>Bom</v>
      </c>
      <c r="EZ143" s="17" t="str">
        <f>IF(VLOOKUP(BQ143,Fundamentus!A:U,20,FALSE)&lt;0.5,"Baixa",IF(VLOOKUP(BQ143,Fundamentus!A:U,20,FALSE)&lt;1,"Moderada",IF(VLOOKUP(BQ143,Fundamentus!A:U,20,FALSE)&lt;2,"Alerta",IF(VLOOKUP(BQ143,Fundamentus!A:U,20,FALSE)&gt;2,"Alta","n/a"))))</f>
        <v>Baixa</v>
      </c>
      <c r="FA143" s="10"/>
    </row>
    <row r="144" spans="1:157" s="2" customFormat="1" ht="11.25" hidden="1" x14ac:dyDescent="0.2">
      <c r="A144" s="4">
        <v>18.61</v>
      </c>
      <c r="B144" s="4">
        <v>16.88</v>
      </c>
      <c r="C144" s="4">
        <v>17.28</v>
      </c>
      <c r="D144" s="4">
        <v>16.43</v>
      </c>
      <c r="E144" s="4">
        <v>15.86</v>
      </c>
      <c r="F144" s="4">
        <v>16.07</v>
      </c>
      <c r="G144" s="4">
        <v>15.87</v>
      </c>
      <c r="H144" s="4">
        <v>15.78</v>
      </c>
      <c r="I144" s="4">
        <v>15.8</v>
      </c>
      <c r="J144" s="4">
        <v>15.72</v>
      </c>
      <c r="K144" s="4">
        <v>16.95</v>
      </c>
      <c r="L144" s="4">
        <v>16.77</v>
      </c>
      <c r="M144" s="4">
        <v>16.28</v>
      </c>
      <c r="N144" s="4">
        <v>17.68</v>
      </c>
      <c r="O144" s="4">
        <v>17.62</v>
      </c>
      <c r="P144" s="4">
        <v>18.239999999999998</v>
      </c>
      <c r="Q144" s="4">
        <v>18.14</v>
      </c>
      <c r="R144" s="4">
        <v>17.86</v>
      </c>
      <c r="S144" s="4">
        <v>18.41</v>
      </c>
      <c r="T144" s="4">
        <v>18.399999999999999</v>
      </c>
      <c r="U144" s="4">
        <v>18.73</v>
      </c>
      <c r="V144" s="4">
        <v>18.71</v>
      </c>
      <c r="W144" s="4">
        <v>17.75</v>
      </c>
      <c r="X144" s="4">
        <v>16.98</v>
      </c>
      <c r="Y144" s="4">
        <v>17.11</v>
      </c>
      <c r="Z144" s="4">
        <v>16.95</v>
      </c>
      <c r="AA144" s="4">
        <v>16.52</v>
      </c>
      <c r="AB144" s="4">
        <v>15.91</v>
      </c>
      <c r="AC144" s="4">
        <v>16.48</v>
      </c>
      <c r="AD144" s="4">
        <v>16.21</v>
      </c>
      <c r="AE144" s="4">
        <v>15.84</v>
      </c>
      <c r="AF144" s="4">
        <v>16.11</v>
      </c>
      <c r="AG144" s="4">
        <v>15.27</v>
      </c>
      <c r="AH144" s="4">
        <v>14.9</v>
      </c>
      <c r="AI144" s="4">
        <v>14.4</v>
      </c>
      <c r="AJ144" s="4">
        <v>14.42</v>
      </c>
      <c r="AK144" s="4">
        <v>13.82</v>
      </c>
      <c r="AL144" s="4">
        <v>14.81</v>
      </c>
      <c r="AM144" s="4">
        <v>15.08</v>
      </c>
      <c r="AN144" s="4">
        <v>15.61</v>
      </c>
      <c r="AO144" s="4">
        <v>15.64</v>
      </c>
      <c r="AP144" s="4">
        <v>17.53</v>
      </c>
      <c r="AQ144" s="4">
        <v>17.190000000000001</v>
      </c>
      <c r="AR144" s="4">
        <v>16.170000000000002</v>
      </c>
      <c r="AS144" s="4">
        <v>16.8</v>
      </c>
      <c r="AT144" s="4">
        <v>17.309999999999999</v>
      </c>
      <c r="AU144" s="4">
        <v>17.215</v>
      </c>
      <c r="AV144" s="4">
        <v>17.77</v>
      </c>
      <c r="AW144" s="4">
        <v>16.899999999999999</v>
      </c>
      <c r="AX144" s="4">
        <v>17.27</v>
      </c>
      <c r="AY144" s="12">
        <v>17.84</v>
      </c>
      <c r="AZ144" s="12">
        <v>18.61</v>
      </c>
      <c r="BA144" s="12">
        <v>18.95</v>
      </c>
      <c r="BB144" s="15">
        <v>19.57</v>
      </c>
      <c r="BC144" s="52">
        <v>19.82</v>
      </c>
      <c r="BD144" s="52">
        <v>19.3</v>
      </c>
      <c r="BE144" s="52">
        <v>19.489999999999998</v>
      </c>
      <c r="BF144" s="52">
        <v>20.149999999999999</v>
      </c>
      <c r="BG144" s="67">
        <v>20.56</v>
      </c>
      <c r="BH144" s="52">
        <v>21.52</v>
      </c>
      <c r="BI144" s="52">
        <v>21.33</v>
      </c>
      <c r="BJ144" s="52">
        <v>22.46</v>
      </c>
      <c r="BK144" s="52">
        <v>21.16</v>
      </c>
      <c r="BL144" s="52">
        <v>20.37</v>
      </c>
      <c r="BM144" s="52">
        <v>19.989999999999998</v>
      </c>
      <c r="BN144" s="52">
        <v>20.72</v>
      </c>
      <c r="BO144" s="52">
        <v>22.36</v>
      </c>
      <c r="BP144" s="52" cm="1">
        <f t="array" aca="1" ref="BP144" ca="1">_FV(ED144,"Preço")</f>
        <v>22.3</v>
      </c>
      <c r="BQ144" s="69" t="s">
        <v>140</v>
      </c>
      <c r="BR144" s="36" cm="1">
        <f t="array" aca="1" ref="BR144" ca="1">_FV(ED144,"Média de volume",TRUE)</f>
        <v>5107850</v>
      </c>
      <c r="BS144" s="36">
        <v>4630500</v>
      </c>
      <c r="BT144" s="36" cm="1">
        <f t="array" aca="1" ref="BT144" ca="1">_FV(ED144,"Volume")</f>
        <v>3656200</v>
      </c>
      <c r="BU144" s="24" cm="1">
        <f t="array" aca="1" ref="BU144" ca="1">_FV(ED144,"Beta")</f>
        <v>0.67200000000000004</v>
      </c>
      <c r="BV144" s="71" cm="1">
        <f t="array" aca="1" ref="BV144" ca="1">_FV(ED144,"Variação (%)",TRUE)</f>
        <v>2.6979999999999999E-3</v>
      </c>
      <c r="BX144" s="17" cm="1">
        <f t="array" aca="1" ref="BX144" ca="1">_FV(ED144,"Baixo")</f>
        <v>22.07</v>
      </c>
      <c r="BY144" s="17" cm="1">
        <f t="array" aca="1" ref="BY144" ca="1">_FV(ED144,"Alto")</f>
        <v>22.34</v>
      </c>
      <c r="BZ144" s="24"/>
      <c r="CA144" s="63">
        <f ca="1">SQRT(22.5*(BP144/VLOOKUP(BQ144,Fundamentus!A:U,3,FALSE))*(BP144/VLOOKUP(BQ144,Fundamentus!A:U,4,FALSE)))</f>
        <v>5.6983807848166999</v>
      </c>
      <c r="CC144" s="62">
        <f t="shared" ca="1" si="168"/>
        <v>-2.6833631484793705E-3</v>
      </c>
      <c r="CD144" s="8"/>
      <c r="CE144" s="61">
        <f t="shared" si="169"/>
        <v>13.82</v>
      </c>
      <c r="CF144" s="61">
        <f t="shared" si="170"/>
        <v>22.46</v>
      </c>
      <c r="CG144" s="61">
        <f t="shared" si="171"/>
        <v>17.5560447761194</v>
      </c>
      <c r="CH144" s="14"/>
      <c r="CI144" s="35">
        <f t="shared" si="154"/>
        <v>20.900717282718976</v>
      </c>
      <c r="CJ144" s="15">
        <f t="shared" si="172"/>
        <v>22.534999999998945</v>
      </c>
      <c r="CK144" s="35">
        <f t="shared" si="155"/>
        <v>24.169282717278914</v>
      </c>
      <c r="CM144" s="14"/>
      <c r="CN144" s="17">
        <f t="shared" si="156"/>
        <v>7.9933333333333323</v>
      </c>
      <c r="CO144" s="17">
        <f t="shared" si="157"/>
        <v>10.906666666666666</v>
      </c>
      <c r="CP144" s="17">
        <f t="shared" si="158"/>
        <v>16.633333333333333</v>
      </c>
      <c r="CQ144" s="38">
        <f t="shared" si="173"/>
        <v>19.546666666666667</v>
      </c>
      <c r="CR144" s="17">
        <f t="shared" si="159"/>
        <v>25.273333333333333</v>
      </c>
      <c r="CS144" s="17">
        <f t="shared" si="160"/>
        <v>28.186666666666667</v>
      </c>
      <c r="CT144" s="17">
        <f t="shared" si="161"/>
        <v>33.913333333333334</v>
      </c>
      <c r="CU144" s="2" cm="1">
        <f t="array" aca="1" ref="CU144" ca="1">MAX(_xlfn._xlws.FILTER(CN144:CT144,CN144:CT144&lt;BP144))</f>
        <v>19.546666666666667</v>
      </c>
      <c r="CV144" s="2" cm="1">
        <f t="array" aca="1" ref="CV144" ca="1">MIN(_xlfn._xlws.FILTER($CN144:$CT144,$CN144:$CT144&gt;BP144))</f>
        <v>25.273333333333333</v>
      </c>
      <c r="CW144" s="16">
        <f t="shared" ca="1" si="136"/>
        <v>0.29297407912687579</v>
      </c>
      <c r="CX144" s="20">
        <f t="shared" ca="1" si="137"/>
        <v>-0.14648703956343789</v>
      </c>
      <c r="CY144" s="20">
        <f t="shared" ca="1" si="138"/>
        <v>-9.7658026375625262E-2</v>
      </c>
      <c r="CZ144" s="20">
        <f t="shared" ca="1" si="139"/>
        <v>-5.8594815825375159E-2</v>
      </c>
      <c r="DA144" s="20">
        <f t="shared" ca="1" si="140"/>
        <v>-3.2552675458541756E-2</v>
      </c>
      <c r="DB144" s="20">
        <f t="shared" ca="1" si="141"/>
        <v>-1.7233769360404459E-2</v>
      </c>
      <c r="DC144" s="20">
        <f t="shared" ca="1" si="142"/>
        <v>-8.8780023977841141E-3</v>
      </c>
      <c r="DD144" s="20">
        <f t="shared" ca="1" si="143"/>
        <v>-4.507293525028858E-3</v>
      </c>
      <c r="DE144" s="21">
        <f t="shared" ca="1" si="144"/>
        <v>4.507293525028858E-3</v>
      </c>
      <c r="DF144" s="21">
        <f t="shared" ca="1" si="145"/>
        <v>8.8780023977841141E-3</v>
      </c>
      <c r="DG144" s="21">
        <f t="shared" ca="1" si="146"/>
        <v>1.7233769360404459E-2</v>
      </c>
      <c r="DH144" s="21">
        <f t="shared" ca="1" si="147"/>
        <v>3.2552675458541756E-2</v>
      </c>
      <c r="DI144" s="21">
        <f t="shared" ca="1" si="148"/>
        <v>5.8594815825375159E-2</v>
      </c>
      <c r="DJ144" s="21">
        <f t="shared" ca="1" si="149"/>
        <v>9.7658026375625262E-2</v>
      </c>
      <c r="DK144" s="21">
        <f t="shared" ca="1" si="150"/>
        <v>0.14648703956343789</v>
      </c>
      <c r="DM144" s="16" cm="1">
        <f t="array" aca="1" ref="DM144" ca="1">MAX(_xlfn._xlws.FILTER(CX144:DK144,CX144:DK144&lt;BV144))</f>
        <v>-4.507293525028858E-3</v>
      </c>
      <c r="DN144" s="16" cm="1">
        <f t="array" aca="1" ref="DN144" ca="1">MIN(_xlfn._xlws.FILTER(CX144:DK144,CX144:DK144&gt;BV144))</f>
        <v>4.507293525028858E-3</v>
      </c>
      <c r="DO144" s="2" cm="1">
        <f t="array" aca="1" ref="DO144" ca="1">_FV(ED144,"Fechamento anterior",TRUE)</f>
        <v>22.24</v>
      </c>
      <c r="DP144" s="28">
        <f t="shared" ca="1" si="162"/>
        <v>0.79927513169908104</v>
      </c>
      <c r="DQ144" s="15">
        <f t="shared" ca="1" si="151"/>
        <v>22.139757792003358</v>
      </c>
      <c r="DR144" s="15">
        <f t="shared" ca="1" si="152"/>
        <v>22.340242207996639</v>
      </c>
      <c r="DS144" s="9"/>
      <c r="DT144" s="9"/>
      <c r="DU144" s="9"/>
      <c r="DV144" s="89">
        <v>1.5318906098137297E-2</v>
      </c>
      <c r="DW144" s="89">
        <f t="shared" ca="1" si="163"/>
        <v>9.0145870500577159E-3</v>
      </c>
      <c r="DX144" s="72">
        <f t="shared" ca="1" si="164"/>
        <v>-0.1437939699870707</v>
      </c>
      <c r="DY144" s="37"/>
      <c r="DZ144" s="35">
        <f t="shared" si="174"/>
        <v>0.81714135863998483</v>
      </c>
      <c r="EA144" s="56"/>
      <c r="EB144" s="56"/>
      <c r="ED144" s="2" t="e" vm="144">
        <v>#VALUE!</v>
      </c>
      <c r="EF144" s="10" cm="1">
        <f t="array" aca="1" ref="EF144" ca="1">_FV(ED144,"Ações em circulação",TRUE)</f>
        <v>2420804000</v>
      </c>
      <c r="EG144" s="18">
        <f>VLOOKUP(BQ144,Fundamentus!A:U,5,FALSE)</f>
        <v>162.40899999999999</v>
      </c>
      <c r="EH144" s="2">
        <f t="shared" ca="1" si="165"/>
        <v>332394936.24121815</v>
      </c>
      <c r="EI144" s="17">
        <v>311025548.99671823</v>
      </c>
      <c r="EJ144" s="17">
        <f t="shared" ca="1" si="166"/>
        <v>310190954.50030476</v>
      </c>
      <c r="EL144" s="16">
        <f t="shared" ca="1" si="153"/>
        <v>-2.6833631484797227E-3</v>
      </c>
      <c r="EM144" s="32" t="str">
        <f>IF(VLOOKUP(BQ144,Fundamentus!A:U,3,FALSE)&lt;15,"Bom",IF(VLOOKUP(BQ144,Fundamentus!A:U,3,FALSE)&gt;15,"Ruim","n/a"))</f>
        <v>Ruim</v>
      </c>
      <c r="EN144" s="28" t="str">
        <f>IF(VLOOKUP(BQ144,Fundamentus!A:U,4,FALSE)&lt;1,"Baixo",IF(VLOOKUP(BQ144,Fundamentus!A:U,4,FALSE)&lt;1.5,"Moderado",IF(VLOOKUP(BQ144,Fundamentus!A:U,4,FALSE)&gt;1.5,"Alto","n/a")))</f>
        <v>Alto</v>
      </c>
      <c r="EO144" s="17" t="str">
        <f>IF(VLOOKUP(BQ144,Fundamentus!A:U,8,FALSE)&lt;0,"Risco elevado",IF(VLOOKUP(BQ144,Fundamentus!A:U,8,FALSE)&lt;1,"Saudável",IF(VLOOKUP(BQ144,Fundamentus!A:U,8,FALSE)&lt;3,"Estável",IF(VLOOKUP(BQ144,Fundamentus!A:U,8,FALSE)&gt;3,"Alerta","n/a"))))</f>
        <v>Risco elevado</v>
      </c>
      <c r="EP144" s="28" t="str">
        <f t="shared" si="167"/>
        <v>Bom</v>
      </c>
      <c r="EQ144" s="17" t="str">
        <f>IF(VLOOKUP(BQ144,Fundamentus!A:U,12,FALSE)&lt;2,"Subvalorizada",IF(VLOOKUP(BQ144,Fundamentus!A:U,12,FALSE)&lt;6,"Muita barata",IF(VLOOKUP(BQ144,Fundamentus!A:U,12,FALSE)&lt;6,"Barata",IF(VLOOKUP(BQ144,Fundamentus!A:U,12,FALSE)&lt;8,"Atrativa",IF(VLOOKUP(BQ144,Fundamentus!A:U,12,FALSE)&gt;8,"Supervalorizada","n/a")))))</f>
        <v>Supervalorizada</v>
      </c>
      <c r="ES144" s="17" t="str">
        <f>IF(VLOOKUP(BQ144,Fundamentus!A:U,17,FALSE)&lt;0.1,"Fraco retorno",IF(VLOOKUP(BQ144,Fundamentus!A:U,17,FALSE)&gt;0.1,"Bom retorno","n/a"))</f>
        <v>Fraco retorno</v>
      </c>
      <c r="ET144" s="17" t="str">
        <f>IF(VLOOKUP(BQ144,Fundamentus!A:U,16,FALSE)&lt;0.1,"Ineficiente",IF(VLOOKUP(BQ144,Fundamentus!A:U,16,FALSE)&gt;0.1,"Eficiente","n/a"))</f>
        <v>Ineficiente</v>
      </c>
      <c r="EU144" s="33" t="str">
        <f>IF(VLOOKUP(BQ144,Fundamentus!A:U,16,FALSE)&lt;0.1,"Oper. Ineficiente",IF(VLOOKUP(BQ144,Fundamentus!A:U,16,FALSE)&gt;0.1,"Oper.Eficiente","n/a"))</f>
        <v>Oper. Ineficiente</v>
      </c>
      <c r="EV144" s="34">
        <f>VLOOKUP(BQ144,Fundamentus!A:U,14,FALSE)</f>
        <v>0.93320000000000003</v>
      </c>
      <c r="EW144" s="17" t="str">
        <f>IF(VLOOKUP(BQ144,Fundamentus!A:U,21,FALSE)&lt;0,"Negativo",IF(VLOOKUP(BQ144,Fundamentus!A:U,21,FALSE)&lt;0.05,"Fraco",IF(VLOOKUP(BQ144,Fundamentus!A:U,21,FALSE)&lt;0.1,"Bom",IF(VLOOKUP(BQ144,Fundamentus!A:U,21,FALSE)&gt;0.1,"Muito bom","n/a"))))</f>
        <v>Negativo</v>
      </c>
      <c r="EY144" s="29" t="str">
        <f>IF(VLOOKUP(BQ144,Fundamentus!A:U,15,FALSE)&gt;1,"Bom",IF(VLOOKUP(BQ144,Fundamentus!A:U,15,FALSE)&lt;1,"Ruim","n/a"))</f>
        <v>Ruim</v>
      </c>
      <c r="EZ144" s="17" t="str">
        <f>IF(VLOOKUP(BQ144,Fundamentus!A:U,20,FALSE)&lt;0.5,"Baixa",IF(VLOOKUP(BQ144,Fundamentus!A:U,20,FALSE)&lt;1,"Moderada",IF(VLOOKUP(BQ144,Fundamentus!A:U,20,FALSE)&lt;2,"Alerta",IF(VLOOKUP(BQ144,Fundamentus!A:U,20,FALSE)&gt;2,"Alta","n/a"))))</f>
        <v>Baixa</v>
      </c>
      <c r="FA144" s="10"/>
    </row>
    <row r="145" spans="1:157" s="2" customFormat="1" ht="11.25" hidden="1" x14ac:dyDescent="0.2">
      <c r="A145" s="4">
        <v>18.010000000000002</v>
      </c>
      <c r="B145" s="4">
        <v>16.86</v>
      </c>
      <c r="C145" s="4">
        <v>17.489999999999998</v>
      </c>
      <c r="D145" s="4">
        <v>16.14</v>
      </c>
      <c r="E145" s="4">
        <v>15.7</v>
      </c>
      <c r="F145" s="4">
        <v>16.28</v>
      </c>
      <c r="G145" s="4">
        <v>15.91</v>
      </c>
      <c r="H145" s="4">
        <v>15.56</v>
      </c>
      <c r="I145" s="4">
        <v>15.55</v>
      </c>
      <c r="J145" s="4">
        <v>15.7</v>
      </c>
      <c r="K145" s="4">
        <v>15.56</v>
      </c>
      <c r="L145" s="4">
        <v>15.5</v>
      </c>
      <c r="M145" s="4">
        <v>15.7</v>
      </c>
      <c r="N145" s="4">
        <v>15.88</v>
      </c>
      <c r="O145" s="4">
        <v>16.55</v>
      </c>
      <c r="P145" s="4">
        <v>16.91</v>
      </c>
      <c r="Q145" s="4">
        <v>16.98</v>
      </c>
      <c r="R145" s="4">
        <v>16.329999999999998</v>
      </c>
      <c r="S145" s="4">
        <v>16.239999999999998</v>
      </c>
      <c r="T145" s="4">
        <v>16.12</v>
      </c>
      <c r="U145" s="4">
        <v>15.92</v>
      </c>
      <c r="V145" s="4">
        <v>15.97</v>
      </c>
      <c r="W145" s="4">
        <v>15.4</v>
      </c>
      <c r="X145" s="4">
        <v>15.35</v>
      </c>
      <c r="Y145" s="4">
        <v>15.15</v>
      </c>
      <c r="Z145" s="4">
        <v>15.26</v>
      </c>
      <c r="AA145" s="4">
        <v>14.84</v>
      </c>
      <c r="AB145" s="4">
        <v>15.11</v>
      </c>
      <c r="AC145" s="4">
        <v>16.7</v>
      </c>
      <c r="AD145" s="4">
        <v>15.84</v>
      </c>
      <c r="AE145" s="4">
        <v>14.79</v>
      </c>
      <c r="AF145" s="4">
        <v>15</v>
      </c>
      <c r="AG145" s="4">
        <v>15.39</v>
      </c>
      <c r="AH145" s="4">
        <v>14.39</v>
      </c>
      <c r="AI145" s="4">
        <v>14.23</v>
      </c>
      <c r="AJ145" s="4">
        <v>13.87</v>
      </c>
      <c r="AK145" s="4">
        <v>14.03</v>
      </c>
      <c r="AL145" s="4">
        <v>15.05</v>
      </c>
      <c r="AM145" s="4">
        <v>15.72</v>
      </c>
      <c r="AN145" s="4">
        <v>15.65</v>
      </c>
      <c r="AO145" s="4">
        <v>15.59</v>
      </c>
      <c r="AP145" s="4">
        <v>16.21</v>
      </c>
      <c r="AQ145" s="4">
        <v>16.510000000000002</v>
      </c>
      <c r="AR145" s="4">
        <v>16.45</v>
      </c>
      <c r="AS145" s="4">
        <v>16.5</v>
      </c>
      <c r="AT145" s="4">
        <v>16.75</v>
      </c>
      <c r="AU145" s="4">
        <v>18.510000000000002</v>
      </c>
      <c r="AV145" s="4">
        <v>18.649999999999999</v>
      </c>
      <c r="AW145" s="4">
        <v>16.98</v>
      </c>
      <c r="AX145" s="4">
        <v>18.93</v>
      </c>
      <c r="AY145" s="12">
        <v>19.149999999999999</v>
      </c>
      <c r="AZ145" s="12">
        <v>19.95</v>
      </c>
      <c r="BA145" s="12">
        <v>22</v>
      </c>
      <c r="BB145" s="15">
        <v>22.28</v>
      </c>
      <c r="BC145" s="52">
        <v>22.99</v>
      </c>
      <c r="BD145" s="52">
        <v>22.39</v>
      </c>
      <c r="BE145" s="52">
        <v>22.27</v>
      </c>
      <c r="BF145" s="52">
        <v>22.5</v>
      </c>
      <c r="BG145" s="67">
        <v>22.84</v>
      </c>
      <c r="BH145" s="52">
        <v>22.61</v>
      </c>
      <c r="BI145" s="52">
        <v>22.56</v>
      </c>
      <c r="BJ145" s="52">
        <v>23.45</v>
      </c>
      <c r="BK145" s="52">
        <v>22.5</v>
      </c>
      <c r="BL145" s="52">
        <v>22.64</v>
      </c>
      <c r="BM145" s="52">
        <v>21.78</v>
      </c>
      <c r="BN145" s="52">
        <v>21.19</v>
      </c>
      <c r="BO145" s="52">
        <v>22.1</v>
      </c>
      <c r="BP145" s="52" cm="1">
        <f t="array" aca="1" ref="BP145" ca="1">_FV(ED145,"Preço")</f>
        <v>24.25</v>
      </c>
      <c r="BQ145" s="69" t="s">
        <v>141</v>
      </c>
      <c r="BR145" s="36" cm="1">
        <f t="array" aca="1" ref="BR145" ca="1">_FV(ED145,"Média de volume",TRUE)</f>
        <v>11213410</v>
      </c>
      <c r="BS145" s="36">
        <v>4500</v>
      </c>
      <c r="BT145" s="36" cm="1">
        <f t="array" aca="1" ref="BT145" ca="1">_FV(ED145,"Volume")</f>
        <v>1500</v>
      </c>
      <c r="BU145" s="24" cm="1">
        <f t="array" aca="1" ref="BU145" ca="1">_FV(ED145,"Beta")</f>
        <v>1.3865000000000001</v>
      </c>
      <c r="BV145" s="71" cm="1">
        <f t="array" aca="1" ref="BV145" ca="1">_FV(ED145,"Variação (%)",TRUE)</f>
        <v>-1.222E-2</v>
      </c>
      <c r="BX145" s="17" cm="1">
        <f t="array" aca="1" ref="BX145" ca="1">_FV(ED145,"Baixo")</f>
        <v>24.22</v>
      </c>
      <c r="BY145" s="17" cm="1">
        <f t="array" aca="1" ref="BY145" ca="1">_FV(ED145,"Alto")</f>
        <v>25.3</v>
      </c>
      <c r="BZ145" s="24"/>
      <c r="CA145" s="63">
        <f ca="1">SQRT(22.5*(BP145/VLOOKUP(BQ145,Fundamentus!A:U,3,FALSE))*(BP145/VLOOKUP(BQ145,Fundamentus!A:U,4,FALSE)))</f>
        <v>12.185064711620234</v>
      </c>
      <c r="CC145" s="62">
        <f t="shared" ca="1" si="168"/>
        <v>9.7285067873303099E-2</v>
      </c>
      <c r="CD145" s="8"/>
      <c r="CE145" s="61">
        <f t="shared" si="169"/>
        <v>13.87</v>
      </c>
      <c r="CF145" s="61">
        <f t="shared" si="170"/>
        <v>23.45</v>
      </c>
      <c r="CG145" s="61">
        <f t="shared" si="171"/>
        <v>17.535970149253732</v>
      </c>
      <c r="CH145" s="14"/>
      <c r="CI145" s="35">
        <f t="shared" si="154"/>
        <v>20.329904789026379</v>
      </c>
      <c r="CJ145" s="15">
        <f t="shared" si="172"/>
        <v>21.375</v>
      </c>
      <c r="CK145" s="35">
        <f t="shared" si="155"/>
        <v>22.420095210973621</v>
      </c>
      <c r="CM145" s="14"/>
      <c r="CN145" s="17">
        <f t="shared" si="156"/>
        <v>6.5833333333333375</v>
      </c>
      <c r="CO145" s="17">
        <f t="shared" si="157"/>
        <v>10.226666666666668</v>
      </c>
      <c r="CP145" s="17">
        <f t="shared" si="158"/>
        <v>16.163333333333338</v>
      </c>
      <c r="CQ145" s="38">
        <f t="shared" si="173"/>
        <v>19.806666666666668</v>
      </c>
      <c r="CR145" s="17">
        <f t="shared" si="159"/>
        <v>25.743333333333339</v>
      </c>
      <c r="CS145" s="17">
        <f t="shared" si="160"/>
        <v>29.38666666666667</v>
      </c>
      <c r="CT145" s="17">
        <f t="shared" si="161"/>
        <v>35.323333333333338</v>
      </c>
      <c r="CU145" s="2" cm="1">
        <f t="array" aca="1" ref="CU145" ca="1">MAX(_xlfn._xlws.FILTER(CN145:CT145,CN145:CT145&lt;BP145))</f>
        <v>19.806666666666668</v>
      </c>
      <c r="CV145" s="2" cm="1">
        <f t="array" aca="1" ref="CV145" ca="1">MIN(_xlfn._xlws.FILTER($CN145:$CT145,$CN145:$CT145&gt;BP145))</f>
        <v>25.743333333333339</v>
      </c>
      <c r="CW145" s="16">
        <f t="shared" ca="1" si="136"/>
        <v>0.29973073039380704</v>
      </c>
      <c r="CX145" s="20">
        <f t="shared" ca="1" si="137"/>
        <v>-0.14986536519690352</v>
      </c>
      <c r="CY145" s="20">
        <f t="shared" ca="1" si="138"/>
        <v>-9.9910243464602352E-2</v>
      </c>
      <c r="CZ145" s="20">
        <f t="shared" ca="1" si="139"/>
        <v>-5.9946146078761406E-2</v>
      </c>
      <c r="DA145" s="20">
        <f t="shared" ca="1" si="140"/>
        <v>-3.3303414488200782E-2</v>
      </c>
      <c r="DB145" s="20">
        <f t="shared" ca="1" si="141"/>
        <v>-1.7631219434929825E-2</v>
      </c>
      <c r="DC145" s="20">
        <f t="shared" ca="1" si="142"/>
        <v>-9.0827494058729405E-3</v>
      </c>
      <c r="DD145" s="20">
        <f t="shared" ca="1" si="143"/>
        <v>-4.6112420060585701E-3</v>
      </c>
      <c r="DE145" s="21">
        <f t="shared" ca="1" si="144"/>
        <v>4.6112420060585701E-3</v>
      </c>
      <c r="DF145" s="21">
        <f t="shared" ca="1" si="145"/>
        <v>9.0827494058729405E-3</v>
      </c>
      <c r="DG145" s="21">
        <f t="shared" ca="1" si="146"/>
        <v>1.7631219434929825E-2</v>
      </c>
      <c r="DH145" s="21">
        <f t="shared" ca="1" si="147"/>
        <v>3.3303414488200782E-2</v>
      </c>
      <c r="DI145" s="21">
        <f t="shared" ca="1" si="148"/>
        <v>5.9946146078761406E-2</v>
      </c>
      <c r="DJ145" s="21">
        <f t="shared" ca="1" si="149"/>
        <v>9.9910243464602352E-2</v>
      </c>
      <c r="DK145" s="21">
        <f t="shared" ca="1" si="150"/>
        <v>0.14986536519690352</v>
      </c>
      <c r="DM145" s="16" cm="1">
        <f t="array" aca="1" ref="DM145" ca="1">MAX(_xlfn._xlws.FILTER(CX145:DK145,CX145:DK145&lt;BV145))</f>
        <v>-1.7631219434929825E-2</v>
      </c>
      <c r="DN145" s="16" cm="1">
        <f t="array" aca="1" ref="DN145" ca="1">MIN(_xlfn._xlws.FILTER(CX145:DK145,CX145:DK145&gt;BV145))</f>
        <v>-9.0827494058729405E-3</v>
      </c>
      <c r="DO145" s="2" cm="1">
        <f t="array" aca="1" ref="DO145" ca="1">_FV(ED145,"Fechamento anterior",TRUE)</f>
        <v>24.55</v>
      </c>
      <c r="DP145" s="28">
        <f t="shared" ca="1" si="162"/>
        <v>0.63300919927589971</v>
      </c>
      <c r="DQ145" s="15">
        <f t="shared" ca="1" si="151"/>
        <v>24.117153562872474</v>
      </c>
      <c r="DR145" s="15">
        <f t="shared" ca="1" si="152"/>
        <v>24.327018502085821</v>
      </c>
      <c r="DS145" s="9"/>
      <c r="DT145" s="9"/>
      <c r="DU145" s="9"/>
      <c r="DV145" s="89">
        <v>8.5484700290568844E-3</v>
      </c>
      <c r="DW145" s="89">
        <f t="shared" ca="1" si="163"/>
        <v>8.5484700290568844E-3</v>
      </c>
      <c r="DX145" s="72">
        <f t="shared" ca="1" si="164"/>
        <v>2.7509455309068183</v>
      </c>
      <c r="DY145" s="37"/>
      <c r="DZ145" s="35">
        <f t="shared" si="174"/>
        <v>0.52254760548681078</v>
      </c>
      <c r="EA145" s="56"/>
      <c r="EB145" s="56"/>
      <c r="ED145" s="2" t="e" vm="145">
        <v>#VALUE!</v>
      </c>
      <c r="EF145" s="10" cm="1">
        <f t="array" aca="1" ref="EF145" ca="1">_FV(ED145,"Ações em circulação",TRUE)</f>
        <v>10108690000</v>
      </c>
      <c r="EG145" s="18">
        <f>VLOOKUP(BQ145,Fundamentus!A:U,5,FALSE)</f>
        <v>0</v>
      </c>
      <c r="EH145" s="2" t="e">
        <f t="shared" ca="1" si="165"/>
        <v>#DIV/0!</v>
      </c>
      <c r="EI145" s="17" t="e">
        <v>#DIV/0!</v>
      </c>
      <c r="EJ145" s="17" t="e">
        <f t="shared" ca="1" si="166"/>
        <v>#DIV/0!</v>
      </c>
      <c r="EL145" s="16" t="e">
        <f t="shared" ca="1" si="153"/>
        <v>#DIV/0!</v>
      </c>
      <c r="EM145" s="32" t="str">
        <f>IF(VLOOKUP(BQ145,Fundamentus!A:U,3,FALSE)&lt;15,"Bom",IF(VLOOKUP(BQ145,Fundamentus!A:U,3,FALSE)&gt;15,"Ruim","n/a"))</f>
        <v>Ruim</v>
      </c>
      <c r="EN145" s="28" t="str">
        <f>IF(VLOOKUP(BQ145,Fundamentus!A:U,4,FALSE)&lt;1,"Baixo",IF(VLOOKUP(BQ145,Fundamentus!A:U,4,FALSE)&lt;1.5,"Moderado",IF(VLOOKUP(BQ145,Fundamentus!A:U,4,FALSE)&gt;1.5,"Alto","n/a")))</f>
        <v>Alto</v>
      </c>
      <c r="EO145" s="17" t="str">
        <f>IF(VLOOKUP(BQ145,Fundamentus!A:U,8,FALSE)&lt;0,"Risco elevado",IF(VLOOKUP(BQ145,Fundamentus!A:U,8,FALSE)&lt;1,"Saudável",IF(VLOOKUP(BQ145,Fundamentus!A:U,8,FALSE)&lt;3,"Estável",IF(VLOOKUP(BQ145,Fundamentus!A:U,8,FALSE)&gt;3,"Alerta","n/a"))))</f>
        <v>Saudável</v>
      </c>
      <c r="EP145" s="28" t="str">
        <f t="shared" si="167"/>
        <v>Ruim</v>
      </c>
      <c r="EQ145" s="17" t="str">
        <f>IF(VLOOKUP(BQ145,Fundamentus!A:U,12,FALSE)&lt;2,"Subvalorizada",IF(VLOOKUP(BQ145,Fundamentus!A:U,12,FALSE)&lt;6,"Muita barata",IF(VLOOKUP(BQ145,Fundamentus!A:U,12,FALSE)&lt;6,"Barata",IF(VLOOKUP(BQ145,Fundamentus!A:U,12,FALSE)&lt;8,"Atrativa",IF(VLOOKUP(BQ145,Fundamentus!A:U,12,FALSE)&gt;8,"Supervalorizada","n/a")))))</f>
        <v>Subvalorizada</v>
      </c>
      <c r="ES145" s="17" t="str">
        <f>IF(VLOOKUP(BQ145,Fundamentus!A:U,17,FALSE)&lt;0.1,"Fraco retorno",IF(VLOOKUP(BQ145,Fundamentus!A:U,17,FALSE)&gt;0.1,"Bom retorno","n/a"))</f>
        <v>Bom retorno</v>
      </c>
      <c r="ET145" s="17" t="str">
        <f>IF(VLOOKUP(BQ145,Fundamentus!A:U,16,FALSE)&lt;0.1,"Ineficiente",IF(VLOOKUP(BQ145,Fundamentus!A:U,16,FALSE)&gt;0.1,"Eficiente","n/a"))</f>
        <v>Ineficiente</v>
      </c>
      <c r="EU145" s="33" t="str">
        <f>IF(VLOOKUP(BQ145,Fundamentus!A:U,16,FALSE)&lt;0.1,"Oper. Ineficiente",IF(VLOOKUP(BQ145,Fundamentus!A:U,16,FALSE)&gt;0.1,"Oper.Eficiente","n/a"))</f>
        <v>Oper. Ineficiente</v>
      </c>
      <c r="EV145" s="34">
        <f>VLOOKUP(BQ145,Fundamentus!A:U,14,FALSE)</f>
        <v>0</v>
      </c>
      <c r="EW145" s="17" t="str">
        <f>IF(VLOOKUP(BQ145,Fundamentus!A:U,21,FALSE)&lt;0,"Negativo",IF(VLOOKUP(BQ145,Fundamentus!A:U,21,FALSE)&lt;0.05,"Fraco",IF(VLOOKUP(BQ145,Fundamentus!A:U,21,FALSE)&lt;0.1,"Bom",IF(VLOOKUP(BQ145,Fundamentus!A:U,21,FALSE)&gt;0.1,"Muito bom","n/a"))))</f>
        <v>Muito bom</v>
      </c>
      <c r="EY145" s="29" t="str">
        <f>IF(VLOOKUP(BQ145,Fundamentus!A:U,15,FALSE)&gt;1,"Bom",IF(VLOOKUP(BQ145,Fundamentus!A:U,15,FALSE)&lt;1,"Ruim","n/a"))</f>
        <v>Ruim</v>
      </c>
      <c r="EZ145" s="17" t="str">
        <f>IF(VLOOKUP(BQ145,Fundamentus!A:U,20,FALSE)&lt;0.5,"Baixa",IF(VLOOKUP(BQ145,Fundamentus!A:U,20,FALSE)&lt;1,"Moderada",IF(VLOOKUP(BQ145,Fundamentus!A:U,20,FALSE)&lt;2,"Alerta",IF(VLOOKUP(BQ145,Fundamentus!A:U,20,FALSE)&gt;2,"Alta","n/a"))))</f>
        <v>Baixa</v>
      </c>
      <c r="FA145" s="10"/>
    </row>
    <row r="146" spans="1:157" s="2" customFormat="1" ht="11.25" hidden="1" x14ac:dyDescent="0.2">
      <c r="A146" s="4">
        <v>22.87</v>
      </c>
      <c r="B146" s="4">
        <v>23.92</v>
      </c>
      <c r="C146" s="4">
        <v>23.06</v>
      </c>
      <c r="D146" s="4">
        <v>22.16</v>
      </c>
      <c r="E146" s="4">
        <v>21.71</v>
      </c>
      <c r="F146" s="4">
        <v>21.73</v>
      </c>
      <c r="G146" s="4">
        <v>20.350000000000001</v>
      </c>
      <c r="H146" s="4">
        <v>20.45</v>
      </c>
      <c r="I146" s="4">
        <v>20.9</v>
      </c>
      <c r="J146" s="4">
        <v>22.78</v>
      </c>
      <c r="K146" s="4">
        <v>23.14</v>
      </c>
      <c r="L146" s="4">
        <v>22.54</v>
      </c>
      <c r="M146" s="4">
        <v>23.16</v>
      </c>
      <c r="N146" s="4">
        <v>24.36</v>
      </c>
      <c r="O146" s="4">
        <v>26.47</v>
      </c>
      <c r="P146" s="4">
        <v>26.3</v>
      </c>
      <c r="Q146" s="4">
        <v>27.02</v>
      </c>
      <c r="R146" s="4">
        <v>26.42</v>
      </c>
      <c r="S146" s="4">
        <v>27.97</v>
      </c>
      <c r="T146" s="4">
        <v>28.57</v>
      </c>
      <c r="U146" s="4">
        <v>28</v>
      </c>
      <c r="V146" s="4">
        <v>27.11</v>
      </c>
      <c r="W146" s="4">
        <v>27.7</v>
      </c>
      <c r="X146" s="4">
        <v>26.92</v>
      </c>
      <c r="Y146" s="4">
        <v>25.28</v>
      </c>
      <c r="Z146" s="4">
        <v>24.71</v>
      </c>
      <c r="AA146" s="4">
        <v>24.74</v>
      </c>
      <c r="AB146" s="4">
        <v>25.5</v>
      </c>
      <c r="AC146" s="4">
        <v>24</v>
      </c>
      <c r="AD146" s="4">
        <v>23.77</v>
      </c>
      <c r="AE146" s="4">
        <v>22.93</v>
      </c>
      <c r="AF146" s="4">
        <v>22.72</v>
      </c>
      <c r="AG146" s="4">
        <v>21.41</v>
      </c>
      <c r="AH146" s="4">
        <v>19.96</v>
      </c>
      <c r="AI146" s="4">
        <v>19.27</v>
      </c>
      <c r="AJ146" s="4">
        <v>18.100000000000001</v>
      </c>
      <c r="AK146" s="4">
        <v>18.5</v>
      </c>
      <c r="AL146" s="4">
        <v>19.2</v>
      </c>
      <c r="AM146" s="4">
        <v>20.239999999999998</v>
      </c>
      <c r="AN146" s="4">
        <v>21.43</v>
      </c>
      <c r="AO146" s="4">
        <v>19.989999999999998</v>
      </c>
      <c r="AP146" s="4">
        <v>18.989999999999998</v>
      </c>
      <c r="AQ146" s="4">
        <v>19.16</v>
      </c>
      <c r="AR146" s="4">
        <v>17.059999999999999</v>
      </c>
      <c r="AS146" s="4">
        <v>17.79</v>
      </c>
      <c r="AT146" s="4">
        <v>17.850000000000001</v>
      </c>
      <c r="AU146" s="4">
        <v>19.195</v>
      </c>
      <c r="AV146" s="4">
        <v>20.09</v>
      </c>
      <c r="AW146" s="4">
        <v>19.829999999999998</v>
      </c>
      <c r="AX146" s="4">
        <v>19.899999999999999</v>
      </c>
      <c r="AY146" s="12">
        <v>19.920000000000002</v>
      </c>
      <c r="AZ146" s="12">
        <v>21.14</v>
      </c>
      <c r="BA146" s="12">
        <v>22.11</v>
      </c>
      <c r="BB146" s="15">
        <v>21.9</v>
      </c>
      <c r="BC146" s="52">
        <v>24.14</v>
      </c>
      <c r="BD146" s="52">
        <v>24.61</v>
      </c>
      <c r="BE146" s="52">
        <v>25.99</v>
      </c>
      <c r="BF146" s="52">
        <v>24.62</v>
      </c>
      <c r="BG146" s="67">
        <v>24.36</v>
      </c>
      <c r="BH146" s="52">
        <v>25.47</v>
      </c>
      <c r="BI146" s="52">
        <v>26.18</v>
      </c>
      <c r="BJ146" s="52">
        <v>27.23</v>
      </c>
      <c r="BK146" s="52">
        <v>25.51</v>
      </c>
      <c r="BL146" s="52">
        <v>25.58</v>
      </c>
      <c r="BM146" s="52">
        <v>25.25</v>
      </c>
      <c r="BN146" s="52">
        <v>25.72</v>
      </c>
      <c r="BO146" s="52">
        <v>28.4</v>
      </c>
      <c r="BP146" s="52" cm="1">
        <f t="array" aca="1" ref="BP146" ca="1">_FV(ED146,"Preço")</f>
        <v>27.23</v>
      </c>
      <c r="BQ146" s="69" t="s">
        <v>142</v>
      </c>
      <c r="BR146" s="36" cm="1">
        <f t="array" aca="1" ref="BR146" ca="1">_FV(ED146,"Média de volume",TRUE)</f>
        <v>3603200</v>
      </c>
      <c r="BS146" s="36">
        <v>5918400</v>
      </c>
      <c r="BT146" s="36" cm="1">
        <f t="array" aca="1" ref="BT146" ca="1">_FV(ED146,"Volume")</f>
        <v>2374100</v>
      </c>
      <c r="BU146" s="24" cm="1">
        <f t="array" aca="1" ref="BU146" ca="1">_FV(ED146,"Beta")</f>
        <v>1.4513</v>
      </c>
      <c r="BV146" s="71" cm="1">
        <f t="array" aca="1" ref="BV146" ca="1">_FV(ED146,"Variação (%)",TRUE)</f>
        <v>1.6045E-2</v>
      </c>
      <c r="BX146" s="17" cm="1">
        <f t="array" aca="1" ref="BX146" ca="1">_FV(ED146,"Baixo")</f>
        <v>26.47</v>
      </c>
      <c r="BY146" s="17" cm="1">
        <f t="array" aca="1" ref="BY146" ca="1">_FV(ED146,"Alto")</f>
        <v>27.4</v>
      </c>
      <c r="BZ146" s="24"/>
      <c r="CA146" s="63">
        <f ca="1">SQRT(22.5*(BP146/VLOOKUP(BQ146,Fundamentus!A:U,3,FALSE))*(BP146/VLOOKUP(BQ146,Fundamentus!A:U,4,FALSE)))</f>
        <v>29.760007169956342</v>
      </c>
      <c r="CC146" s="62">
        <f t="shared" ca="1" si="168"/>
        <v>-4.1197183098591487E-2</v>
      </c>
      <c r="CD146" s="8"/>
      <c r="CE146" s="61">
        <f t="shared" si="169"/>
        <v>17.059999999999999</v>
      </c>
      <c r="CF146" s="61">
        <f t="shared" si="170"/>
        <v>28.57</v>
      </c>
      <c r="CG146" s="61">
        <f t="shared" si="171"/>
        <v>23.064999999999998</v>
      </c>
      <c r="CH146" s="14"/>
      <c r="CI146" s="35">
        <f t="shared" si="154"/>
        <v>26.141896909499323</v>
      </c>
      <c r="CJ146" s="15">
        <f t="shared" si="172"/>
        <v>28.470000000000255</v>
      </c>
      <c r="CK146" s="35">
        <f t="shared" si="155"/>
        <v>30.798103090501186</v>
      </c>
      <c r="CM146" s="14"/>
      <c r="CN146" s="17">
        <f t="shared" si="156"/>
        <v>9.2733333333333299</v>
      </c>
      <c r="CO146" s="17">
        <f t="shared" si="157"/>
        <v>13.166666666666664</v>
      </c>
      <c r="CP146" s="17">
        <f t="shared" si="158"/>
        <v>20.783333333333331</v>
      </c>
      <c r="CQ146" s="38">
        <f t="shared" si="173"/>
        <v>24.676666666666666</v>
      </c>
      <c r="CR146" s="17">
        <f t="shared" si="159"/>
        <v>32.293333333333337</v>
      </c>
      <c r="CS146" s="17">
        <f t="shared" si="160"/>
        <v>36.186666666666667</v>
      </c>
      <c r="CT146" s="17">
        <f t="shared" si="161"/>
        <v>43.803333333333335</v>
      </c>
      <c r="CU146" s="2" cm="1">
        <f t="array" aca="1" ref="CU146" ca="1">MAX(_xlfn._xlws.FILTER(CN146:CT146,CN146:CT146&lt;BP146))</f>
        <v>24.676666666666666</v>
      </c>
      <c r="CV146" s="2" cm="1">
        <f t="array" aca="1" ref="CV146" ca="1">MIN(_xlfn._xlws.FILTER($CN146:$CT146,$CN146:$CT146&gt;BP146))</f>
        <v>32.293333333333337</v>
      </c>
      <c r="CW146" s="16">
        <f t="shared" ca="1" si="136"/>
        <v>0.30865865189787933</v>
      </c>
      <c r="CX146" s="20">
        <f t="shared" ca="1" si="137"/>
        <v>-0.15432932594893967</v>
      </c>
      <c r="CY146" s="20">
        <f t="shared" ca="1" si="138"/>
        <v>-0.10288621729929311</v>
      </c>
      <c r="CZ146" s="20">
        <f t="shared" ca="1" si="139"/>
        <v>-6.1731730379575869E-2</v>
      </c>
      <c r="DA146" s="20">
        <f t="shared" ca="1" si="140"/>
        <v>-3.4295405766431038E-2</v>
      </c>
      <c r="DB146" s="20">
        <f t="shared" ca="1" si="141"/>
        <v>-1.815639128811055E-2</v>
      </c>
      <c r="DC146" s="20">
        <f t="shared" ca="1" si="142"/>
        <v>-9.3532924817539189E-3</v>
      </c>
      <c r="DD146" s="20">
        <f t="shared" ca="1" si="143"/>
        <v>-4.7485946445827588E-3</v>
      </c>
      <c r="DE146" s="21">
        <f t="shared" ca="1" si="144"/>
        <v>4.7485946445827588E-3</v>
      </c>
      <c r="DF146" s="21">
        <f t="shared" ca="1" si="145"/>
        <v>9.3532924817539189E-3</v>
      </c>
      <c r="DG146" s="21">
        <f t="shared" ca="1" si="146"/>
        <v>1.815639128811055E-2</v>
      </c>
      <c r="DH146" s="21">
        <f t="shared" ca="1" si="147"/>
        <v>3.4295405766431038E-2</v>
      </c>
      <c r="DI146" s="21">
        <f t="shared" ca="1" si="148"/>
        <v>6.1731730379575869E-2</v>
      </c>
      <c r="DJ146" s="21">
        <f t="shared" ca="1" si="149"/>
        <v>0.10288621729929311</v>
      </c>
      <c r="DK146" s="21">
        <f t="shared" ca="1" si="150"/>
        <v>0.15432932594893967</v>
      </c>
      <c r="DM146" s="16" cm="1">
        <f t="array" aca="1" ref="DM146" ca="1">MAX(_xlfn._xlws.FILTER(CX146:DK146,CX146:DK146&lt;BV146))</f>
        <v>9.3532924817539189E-3</v>
      </c>
      <c r="DN146" s="16" cm="1">
        <f t="array" aca="1" ref="DN146" ca="1">MIN(_xlfn._xlws.FILTER(CX146:DK146,CX146:DK146&gt;BV146))</f>
        <v>1.815639128811055E-2</v>
      </c>
      <c r="DO146" s="2" cm="1">
        <f t="array" aca="1" ref="DO146" ca="1">_FV(ED146,"Fechamento anterior",TRUE)</f>
        <v>26.8</v>
      </c>
      <c r="DP146" s="28">
        <f t="shared" ca="1" si="162"/>
        <v>0.76012819858584146</v>
      </c>
      <c r="DQ146" s="15">
        <f t="shared" ca="1" si="151"/>
        <v>27.050668238511005</v>
      </c>
      <c r="DR146" s="15">
        <f t="shared" ca="1" si="152"/>
        <v>27.286591286521364</v>
      </c>
      <c r="DS146" s="9"/>
      <c r="DT146" s="9"/>
      <c r="DU146" s="9"/>
      <c r="DV146" s="89">
        <v>1.6139014478320488E-2</v>
      </c>
      <c r="DW146" s="89">
        <f t="shared" ca="1" si="163"/>
        <v>8.8030988063566313E-3</v>
      </c>
      <c r="DX146" s="72">
        <f t="shared" ca="1" si="164"/>
        <v>-0.53262246206350194</v>
      </c>
      <c r="DY146" s="37"/>
      <c r="DZ146" s="35">
        <f t="shared" si="174"/>
        <v>1.1640515452504665</v>
      </c>
      <c r="EA146" s="56"/>
      <c r="EB146" s="56"/>
      <c r="ED146" s="2" t="e" vm="146">
        <v>#VALUE!</v>
      </c>
      <c r="EF146" s="10" cm="1">
        <f t="array" aca="1" ref="EF146" ca="1">_FV(ED146,"Ações em circulação",TRUE)</f>
        <v>236197800</v>
      </c>
      <c r="EG146" s="18">
        <f>VLOOKUP(BQ146,Fundamentus!A:U,5,FALSE)</f>
        <v>2.246</v>
      </c>
      <c r="EH146" s="2">
        <f t="shared" ca="1" si="165"/>
        <v>2863609124.6660728</v>
      </c>
      <c r="EI146" s="17">
        <v>819536957.91985738</v>
      </c>
      <c r="EJ146" s="17">
        <f t="shared" ca="1" si="166"/>
        <v>785774343.80837035</v>
      </c>
      <c r="EL146" s="16">
        <f t="shared" ca="1" si="153"/>
        <v>-4.1197183098591439E-2</v>
      </c>
      <c r="EM146" s="32" t="str">
        <f>IF(VLOOKUP(BQ146,Fundamentus!A:U,3,FALSE)&lt;15,"Bom",IF(VLOOKUP(BQ146,Fundamentus!A:U,3,FALSE)&gt;15,"Ruim","n/a"))</f>
        <v>Bom</v>
      </c>
      <c r="EN146" s="28" t="str">
        <f>IF(VLOOKUP(BQ146,Fundamentus!A:U,4,FALSE)&lt;1,"Baixo",IF(VLOOKUP(BQ146,Fundamentus!A:U,4,FALSE)&lt;1.5,"Moderado",IF(VLOOKUP(BQ146,Fundamentus!A:U,4,FALSE)&gt;1.5,"Alto","n/a")))</f>
        <v>Alto</v>
      </c>
      <c r="EO146" s="17" t="str">
        <f>IF(VLOOKUP(BQ146,Fundamentus!A:U,8,FALSE)&lt;0,"Risco elevado",IF(VLOOKUP(BQ146,Fundamentus!A:U,8,FALSE)&lt;1,"Saudável",IF(VLOOKUP(BQ146,Fundamentus!A:U,8,FALSE)&lt;3,"Estável",IF(VLOOKUP(BQ146,Fundamentus!A:U,8,FALSE)&gt;3,"Alerta","n/a"))))</f>
        <v>Alerta</v>
      </c>
      <c r="EP146" s="28" t="str">
        <f t="shared" si="167"/>
        <v>Bom</v>
      </c>
      <c r="EQ146" s="17" t="str">
        <f>IF(VLOOKUP(BQ146,Fundamentus!A:U,12,FALSE)&lt;2,"Subvalorizada",IF(VLOOKUP(BQ146,Fundamentus!A:U,12,FALSE)&lt;6,"Muita barata",IF(VLOOKUP(BQ146,Fundamentus!A:U,12,FALSE)&lt;6,"Barata",IF(VLOOKUP(BQ146,Fundamentus!A:U,12,FALSE)&lt;8,"Atrativa",IF(VLOOKUP(BQ146,Fundamentus!A:U,12,FALSE)&gt;8,"Supervalorizada","n/a")))))</f>
        <v>Atrativa</v>
      </c>
      <c r="ES146" s="17" t="str">
        <f>IF(VLOOKUP(BQ146,Fundamentus!A:U,17,FALSE)&lt;0.1,"Fraco retorno",IF(VLOOKUP(BQ146,Fundamentus!A:U,17,FALSE)&gt;0.1,"Bom retorno","n/a"))</f>
        <v>Bom retorno</v>
      </c>
      <c r="ET146" s="17" t="str">
        <f>IF(VLOOKUP(BQ146,Fundamentus!A:U,16,FALSE)&lt;0.1,"Ineficiente",IF(VLOOKUP(BQ146,Fundamentus!A:U,16,FALSE)&gt;0.1,"Eficiente","n/a"))</f>
        <v>Eficiente</v>
      </c>
      <c r="EU146" s="33" t="str">
        <f>IF(VLOOKUP(BQ146,Fundamentus!A:U,16,FALSE)&lt;0.1,"Oper. Ineficiente",IF(VLOOKUP(BQ146,Fundamentus!A:U,16,FALSE)&gt;0.1,"Oper.Eficiente","n/a"))</f>
        <v>Oper.Eficiente</v>
      </c>
      <c r="EV146" s="34">
        <f>VLOOKUP(BQ146,Fundamentus!A:U,14,FALSE)</f>
        <v>0.27439999999999998</v>
      </c>
      <c r="EW146" s="17" t="str">
        <f>IF(VLOOKUP(BQ146,Fundamentus!A:U,21,FALSE)&lt;0,"Negativo",IF(VLOOKUP(BQ146,Fundamentus!A:U,21,FALSE)&lt;0.05,"Fraco",IF(VLOOKUP(BQ146,Fundamentus!A:U,21,FALSE)&lt;0.1,"Bom",IF(VLOOKUP(BQ146,Fundamentus!A:U,21,FALSE)&gt;0.1,"Muito bom","n/a"))))</f>
        <v>Muito bom</v>
      </c>
      <c r="EY146" s="29" t="str">
        <f>IF(VLOOKUP(BQ146,Fundamentus!A:U,15,FALSE)&gt;1,"Bom",IF(VLOOKUP(BQ146,Fundamentus!A:U,15,FALSE)&lt;1,"Ruim","n/a"))</f>
        <v>Bom</v>
      </c>
      <c r="EZ146" s="17" t="str">
        <f>IF(VLOOKUP(BQ146,Fundamentus!A:U,20,FALSE)&lt;0.5,"Baixa",IF(VLOOKUP(BQ146,Fundamentus!A:U,20,FALSE)&lt;1,"Moderada",IF(VLOOKUP(BQ146,Fundamentus!A:U,20,FALSE)&lt;2,"Alerta",IF(VLOOKUP(BQ146,Fundamentus!A:U,20,FALSE)&gt;2,"Alta","n/a"))))</f>
        <v>Baixa</v>
      </c>
      <c r="FA146" s="10"/>
    </row>
    <row r="147" spans="1:157" s="2" customFormat="1" ht="11.25" hidden="1" x14ac:dyDescent="0.2">
      <c r="A147" s="4">
        <v>22.9</v>
      </c>
      <c r="B147" s="4">
        <v>22.25</v>
      </c>
      <c r="C147" s="4">
        <v>22.7</v>
      </c>
      <c r="D147" s="4">
        <v>21.82</v>
      </c>
      <c r="E147" s="4">
        <v>21.68</v>
      </c>
      <c r="F147" s="4">
        <v>21.94</v>
      </c>
      <c r="G147" s="4">
        <v>22.43</v>
      </c>
      <c r="H147" s="4">
        <v>22.89</v>
      </c>
      <c r="I147" s="4">
        <v>23.35</v>
      </c>
      <c r="J147" s="4">
        <v>24.74</v>
      </c>
      <c r="K147" s="4">
        <v>23.39</v>
      </c>
      <c r="L147" s="4">
        <v>23.15</v>
      </c>
      <c r="M147" s="4">
        <v>21.45</v>
      </c>
      <c r="N147" s="4">
        <v>22.49</v>
      </c>
      <c r="O147" s="4">
        <v>23.55</v>
      </c>
      <c r="P147" s="4">
        <v>23.81</v>
      </c>
      <c r="Q147" s="4">
        <v>24.57</v>
      </c>
      <c r="R147" s="4">
        <v>23.4</v>
      </c>
      <c r="S147" s="4">
        <v>23.1</v>
      </c>
      <c r="T147" s="4">
        <v>23.15</v>
      </c>
      <c r="U147" s="4">
        <v>22.63</v>
      </c>
      <c r="V147" s="4">
        <v>22.35</v>
      </c>
      <c r="W147" s="4">
        <v>23.22</v>
      </c>
      <c r="X147" s="4">
        <v>21.83</v>
      </c>
      <c r="Y147" s="4">
        <v>21.66</v>
      </c>
      <c r="Z147" s="4">
        <v>22.31</v>
      </c>
      <c r="AA147" s="4">
        <v>22.4</v>
      </c>
      <c r="AB147" s="4">
        <v>23.36</v>
      </c>
      <c r="AC147" s="4">
        <v>22.14</v>
      </c>
      <c r="AD147" s="4">
        <v>21.7</v>
      </c>
      <c r="AE147" s="4">
        <v>20.2</v>
      </c>
      <c r="AF147" s="4">
        <v>21.59</v>
      </c>
      <c r="AG147" s="4">
        <v>19.14</v>
      </c>
      <c r="AH147" s="4">
        <v>17.829999999999998</v>
      </c>
      <c r="AI147" s="4">
        <v>18.27</v>
      </c>
      <c r="AJ147" s="4">
        <v>17.98</v>
      </c>
      <c r="AK147" s="4">
        <v>18.02</v>
      </c>
      <c r="AL147" s="4">
        <v>18.739999999999998</v>
      </c>
      <c r="AM147" s="4">
        <v>16.55</v>
      </c>
      <c r="AN147" s="4">
        <v>18.899999999999999</v>
      </c>
      <c r="AO147" s="4">
        <v>19</v>
      </c>
      <c r="AP147" s="4">
        <v>19.03</v>
      </c>
      <c r="AQ147" s="4">
        <v>18.86</v>
      </c>
      <c r="AR147" s="4">
        <v>18.309999999999999</v>
      </c>
      <c r="AS147" s="4">
        <v>17.37</v>
      </c>
      <c r="AT147" s="4">
        <v>18.05</v>
      </c>
      <c r="AU147" s="4">
        <v>18.18</v>
      </c>
      <c r="AV147" s="4">
        <v>18.3</v>
      </c>
      <c r="AW147" s="4">
        <v>17.88</v>
      </c>
      <c r="AX147" s="4">
        <v>18.78</v>
      </c>
      <c r="AY147" s="12">
        <v>19.16</v>
      </c>
      <c r="AZ147" s="12">
        <v>20.010000000000002</v>
      </c>
      <c r="BA147" s="12">
        <v>21</v>
      </c>
      <c r="BB147" s="15">
        <v>20.75</v>
      </c>
      <c r="BC147" s="52">
        <v>21.32</v>
      </c>
      <c r="BD147" s="52">
        <v>21.63</v>
      </c>
      <c r="BE147" s="52">
        <v>21.14</v>
      </c>
      <c r="BF147" s="52">
        <v>21.56</v>
      </c>
      <c r="BG147" s="67">
        <v>20.73</v>
      </c>
      <c r="BH147" s="52">
        <v>20.73</v>
      </c>
      <c r="BI147" s="52">
        <v>20.72</v>
      </c>
      <c r="BJ147" s="52">
        <v>20.78</v>
      </c>
      <c r="BK147" s="52">
        <v>20.09</v>
      </c>
      <c r="BL147" s="52">
        <v>19.79</v>
      </c>
      <c r="BM147" s="52">
        <v>20.5</v>
      </c>
      <c r="BN147" s="52">
        <v>20.420000000000002</v>
      </c>
      <c r="BO147" s="52">
        <v>20.29</v>
      </c>
      <c r="BP147" s="52" cm="1">
        <f t="array" aca="1" ref="BP147" ca="1">_FV(ED147,"Preço")</f>
        <v>20.61</v>
      </c>
      <c r="BQ147" s="69" t="s">
        <v>143</v>
      </c>
      <c r="BR147" s="36" cm="1">
        <f t="array" aca="1" ref="BR147" ca="1">_FV(ED147,"Média de volume",TRUE)</f>
        <v>342750</v>
      </c>
      <c r="BS147" s="36">
        <v>435800</v>
      </c>
      <c r="BT147" s="36" cm="1">
        <f t="array" aca="1" ref="BT147" ca="1">_FV(ED147,"Volume")</f>
        <v>184700</v>
      </c>
      <c r="BU147" s="24" cm="1">
        <f t="array" aca="1" ref="BU147" ca="1">_FV(ED147,"Beta")</f>
        <v>1.1074999999999999</v>
      </c>
      <c r="BV147" s="71" cm="1">
        <f t="array" aca="1" ref="BV147" ca="1">_FV(ED147,"Variação (%)",TRUE)</f>
        <v>-6.2680000000000001E-3</v>
      </c>
      <c r="BX147" s="17" cm="1">
        <f t="array" aca="1" ref="BX147" ca="1">_FV(ED147,"Baixo")</f>
        <v>20.3</v>
      </c>
      <c r="BY147" s="17" cm="1">
        <f t="array" aca="1" ref="BY147" ca="1">_FV(ED147,"Alto")</f>
        <v>20.8</v>
      </c>
      <c r="BZ147" s="24"/>
      <c r="CA147" s="63">
        <f ca="1">SQRT(22.5*(BP147/VLOOKUP(BQ147,Fundamentus!A:U,3,FALSE))*(BP147/VLOOKUP(BQ147,Fundamentus!A:U,4,FALSE)))</f>
        <v>66.200509449655939</v>
      </c>
      <c r="CC147" s="62">
        <f t="shared" ca="1" si="168"/>
        <v>1.5771315919172021E-2</v>
      </c>
      <c r="CD147" s="8"/>
      <c r="CE147" s="61">
        <f t="shared" si="169"/>
        <v>16.55</v>
      </c>
      <c r="CF147" s="61">
        <f t="shared" si="170"/>
        <v>24.74</v>
      </c>
      <c r="CG147" s="61">
        <f t="shared" si="171"/>
        <v>20.954626865671642</v>
      </c>
      <c r="CH147" s="14"/>
      <c r="CI147" s="35">
        <f t="shared" si="154"/>
        <v>20.095035295338999</v>
      </c>
      <c r="CJ147" s="15">
        <f t="shared" si="172"/>
        <v>20.605000000000018</v>
      </c>
      <c r="CK147" s="35">
        <f t="shared" si="155"/>
        <v>21.114964704661038</v>
      </c>
      <c r="CM147" s="14"/>
      <c r="CN147" s="17">
        <f t="shared" si="156"/>
        <v>8.1233333333333384</v>
      </c>
      <c r="CO147" s="17">
        <f t="shared" si="157"/>
        <v>12.33666666666667</v>
      </c>
      <c r="CP147" s="17">
        <f t="shared" si="158"/>
        <v>16.313333333333336</v>
      </c>
      <c r="CQ147" s="38">
        <f t="shared" si="173"/>
        <v>20.526666666666667</v>
      </c>
      <c r="CR147" s="17">
        <f t="shared" si="159"/>
        <v>24.503333333333334</v>
      </c>
      <c r="CS147" s="17">
        <f t="shared" si="160"/>
        <v>28.716666666666665</v>
      </c>
      <c r="CT147" s="17">
        <f t="shared" si="161"/>
        <v>32.693333333333328</v>
      </c>
      <c r="CU147" s="2" cm="1">
        <f t="array" aca="1" ref="CU147" ca="1">MAX(_xlfn._xlws.FILTER(CN147:CT147,CN147:CT147&lt;BP147))</f>
        <v>20.526666666666667</v>
      </c>
      <c r="CV147" s="2" cm="1">
        <f t="array" aca="1" ref="CV147" ca="1">MIN(_xlfn._xlws.FILTER($CN147:$CT147,$CN147:$CT147&gt;BP147))</f>
        <v>24.503333333333334</v>
      </c>
      <c r="CW147" s="16">
        <f t="shared" ref="CW147:CW178" ca="1" si="175">(CV147/CU147)-1</f>
        <v>0.19373173108151986</v>
      </c>
      <c r="CX147" s="20">
        <f t="shared" ref="CX147:CX178" ca="1" si="176">-$CW147/2</f>
        <v>-9.6865865540759932E-2</v>
      </c>
      <c r="CY147" s="20">
        <f t="shared" ref="CY147:CY178" ca="1" si="177">-$CW147/3</f>
        <v>-6.457724369383995E-2</v>
      </c>
      <c r="CZ147" s="20">
        <f t="shared" ref="CZ147:CZ178" ca="1" si="178">-$CW147/5</f>
        <v>-3.8746346216303976E-2</v>
      </c>
      <c r="DA147" s="20">
        <f t="shared" ref="DA147:DA178" ca="1" si="179">-$CW147/9</f>
        <v>-2.1525747897946652E-2</v>
      </c>
      <c r="DB147" s="20">
        <f t="shared" ref="DB147:DB178" ca="1" si="180">-$CW147/17</f>
        <v>-1.1395984181265875E-2</v>
      </c>
      <c r="DC147" s="20">
        <f t="shared" ref="DC147:DC178" ca="1" si="181">-$CW147/33</f>
        <v>-5.8706585176218143E-3</v>
      </c>
      <c r="DD147" s="20">
        <f t="shared" ref="DD147:DD178" ca="1" si="182">-$CW147/65</f>
        <v>-2.9804881704849212E-3</v>
      </c>
      <c r="DE147" s="21">
        <f t="shared" ref="DE147:DE178" ca="1" si="183">-$CW147/65*-1</f>
        <v>2.9804881704849212E-3</v>
      </c>
      <c r="DF147" s="21">
        <f t="shared" ref="DF147:DF178" ca="1" si="184">-$CW147/33*-1</f>
        <v>5.8706585176218143E-3</v>
      </c>
      <c r="DG147" s="21">
        <f t="shared" ref="DG147:DG178" ca="1" si="185">-$CW147/17*-1</f>
        <v>1.1395984181265875E-2</v>
      </c>
      <c r="DH147" s="21">
        <f t="shared" ref="DH147:DH178" ca="1" si="186">-$CW147/9*-1</f>
        <v>2.1525747897946652E-2</v>
      </c>
      <c r="DI147" s="21">
        <f t="shared" ref="DI147:DI178" ca="1" si="187">-$CW147/5*-1</f>
        <v>3.8746346216303976E-2</v>
      </c>
      <c r="DJ147" s="21">
        <f t="shared" ref="DJ147:DJ178" ca="1" si="188">-$CW147/3*-1</f>
        <v>6.457724369383995E-2</v>
      </c>
      <c r="DK147" s="21">
        <f t="shared" ref="DK147:DK178" ca="1" si="189">-$CW147/2*-1</f>
        <v>9.6865865540759932E-2</v>
      </c>
      <c r="DM147" s="16" cm="1">
        <f t="array" aca="1" ref="DM147" ca="1">MAX(_xlfn._xlws.FILTER(CX147:DK147,CX147:DK147&lt;BV147))</f>
        <v>-1.1395984181265875E-2</v>
      </c>
      <c r="DN147" s="16" cm="1">
        <f t="array" aca="1" ref="DN147" ca="1">MIN(_xlfn._xlws.FILTER(CX147:DK147,CX147:DK147&gt;BV147))</f>
        <v>-5.8706585176218143E-3</v>
      </c>
      <c r="DO147" s="2" cm="1">
        <f t="array" aca="1" ref="DO147" ca="1">_FV(ED147,"Fechamento anterior",TRUE)</f>
        <v>20.74</v>
      </c>
      <c r="DP147" s="28">
        <f t="shared" ca="1" si="162"/>
        <v>0.92807256812280392</v>
      </c>
      <c r="DQ147" s="15">
        <f t="shared" ref="DQ147:DQ178" ca="1" si="190">DO147+(DO147*DM147)</f>
        <v>20.503647288080543</v>
      </c>
      <c r="DR147" s="15">
        <f t="shared" ref="DR147:DR178" ca="1" si="191">DO147+(DO147*DN147)</f>
        <v>20.618242542344522</v>
      </c>
      <c r="DS147" s="9"/>
      <c r="DT147" s="9"/>
      <c r="DU147" s="9"/>
      <c r="DV147" s="89">
        <v>3.8530601669138605E-3</v>
      </c>
      <c r="DW147" s="89">
        <f t="shared" ca="1" si="163"/>
        <v>5.5253256636440609E-3</v>
      </c>
      <c r="DX147" s="72">
        <f t="shared" ca="1" si="164"/>
        <v>9.8046001111092799E-3</v>
      </c>
      <c r="DY147" s="37"/>
      <c r="DZ147" s="35">
        <f t="shared" si="174"/>
        <v>0.25498235233050986</v>
      </c>
      <c r="EA147" s="56"/>
      <c r="EB147" s="56"/>
      <c r="ED147" s="2" t="e" vm="147">
        <v>#VALUE!</v>
      </c>
      <c r="EF147" s="10" cm="1">
        <f t="array" aca="1" ref="EF147" ca="1">_FV(ED147,"Ações em circulação",TRUE)</f>
        <v>87859150</v>
      </c>
      <c r="EG147" s="18">
        <f>VLOOKUP(BQ147,Fundamentus!A:U,5,FALSE)</f>
        <v>7.8550000000000004</v>
      </c>
      <c r="EH147" s="2">
        <f t="shared" ca="1" si="165"/>
        <v>230525408.21133035</v>
      </c>
      <c r="EI147" s="17">
        <v>385150342.5467664</v>
      </c>
      <c r="EJ147" s="17">
        <f t="shared" ca="1" si="166"/>
        <v>391224670.27544874</v>
      </c>
      <c r="EL147" s="16">
        <f t="shared" ca="1" si="153"/>
        <v>1.5771315919171913E-2</v>
      </c>
      <c r="EM147" s="32" t="str">
        <f>IF(VLOOKUP(BQ147,Fundamentus!A:U,3,FALSE)&lt;15,"Bom",IF(VLOOKUP(BQ147,Fundamentus!A:U,3,FALSE)&gt;15,"Ruim","n/a"))</f>
        <v>Bom</v>
      </c>
      <c r="EN147" s="28" t="str">
        <f>IF(VLOOKUP(BQ147,Fundamentus!A:U,4,FALSE)&lt;1,"Baixo",IF(VLOOKUP(BQ147,Fundamentus!A:U,4,FALSE)&lt;1.5,"Moderado",IF(VLOOKUP(BQ147,Fundamentus!A:U,4,FALSE)&gt;1.5,"Alto","n/a")))</f>
        <v>Baixo</v>
      </c>
      <c r="EO147" s="17" t="str">
        <f>IF(VLOOKUP(BQ147,Fundamentus!A:U,8,FALSE)&lt;0,"Risco elevado",IF(VLOOKUP(BQ147,Fundamentus!A:U,8,FALSE)&lt;1,"Saudável",IF(VLOOKUP(BQ147,Fundamentus!A:U,8,FALSE)&lt;3,"Estável",IF(VLOOKUP(BQ147,Fundamentus!A:U,8,FALSE)&gt;3,"Alerta","n/a"))))</f>
        <v>Alerta</v>
      </c>
      <c r="EP147" s="28" t="str">
        <f t="shared" si="167"/>
        <v>Bom</v>
      </c>
      <c r="EQ147" s="17" t="str">
        <f>IF(VLOOKUP(BQ147,Fundamentus!A:U,12,FALSE)&lt;2,"Subvalorizada",IF(VLOOKUP(BQ147,Fundamentus!A:U,12,FALSE)&lt;6,"Muita barata",IF(VLOOKUP(BQ147,Fundamentus!A:U,12,FALSE)&lt;6,"Barata",IF(VLOOKUP(BQ147,Fundamentus!A:U,12,FALSE)&lt;8,"Atrativa",IF(VLOOKUP(BQ147,Fundamentus!A:U,12,FALSE)&gt;8,"Supervalorizada","n/a")))))</f>
        <v>Supervalorizada</v>
      </c>
      <c r="ES147" s="17" t="str">
        <f>IF(VLOOKUP(BQ147,Fundamentus!A:U,17,FALSE)&lt;0.1,"Fraco retorno",IF(VLOOKUP(BQ147,Fundamentus!A:U,17,FALSE)&gt;0.1,"Bom retorno","n/a"))</f>
        <v>Bom retorno</v>
      </c>
      <c r="ET147" s="17" t="str">
        <f>IF(VLOOKUP(BQ147,Fundamentus!A:U,16,FALSE)&lt;0.1,"Ineficiente",IF(VLOOKUP(BQ147,Fundamentus!A:U,16,FALSE)&gt;0.1,"Eficiente","n/a"))</f>
        <v>Ineficiente</v>
      </c>
      <c r="EU147" s="33" t="str">
        <f>IF(VLOOKUP(BQ147,Fundamentus!A:U,16,FALSE)&lt;0.1,"Oper. Ineficiente",IF(VLOOKUP(BQ147,Fundamentus!A:U,16,FALSE)&gt;0.1,"Oper.Eficiente","n/a"))</f>
        <v>Oper. Ineficiente</v>
      </c>
      <c r="EV147" s="34">
        <f>VLOOKUP(BQ147,Fundamentus!A:U,14,FALSE)</f>
        <v>1.6971000000000001</v>
      </c>
      <c r="EW147" s="17" t="str">
        <f>IF(VLOOKUP(BQ147,Fundamentus!A:U,21,FALSE)&lt;0,"Negativo",IF(VLOOKUP(BQ147,Fundamentus!A:U,21,FALSE)&lt;0.05,"Fraco",IF(VLOOKUP(BQ147,Fundamentus!A:U,21,FALSE)&lt;0.1,"Bom",IF(VLOOKUP(BQ147,Fundamentus!A:U,21,FALSE)&gt;0.1,"Muito bom","n/a"))))</f>
        <v>Muito bom</v>
      </c>
      <c r="EY147" s="29" t="str">
        <f>IF(VLOOKUP(BQ147,Fundamentus!A:U,15,FALSE)&gt;1,"Bom",IF(VLOOKUP(BQ147,Fundamentus!A:U,15,FALSE)&lt;1,"Ruim","n/a"))</f>
        <v>Bom</v>
      </c>
      <c r="EZ147" s="17" t="str">
        <f>IF(VLOOKUP(BQ147,Fundamentus!A:U,20,FALSE)&lt;0.5,"Baixa",IF(VLOOKUP(BQ147,Fundamentus!A:U,20,FALSE)&lt;1,"Moderada",IF(VLOOKUP(BQ147,Fundamentus!A:U,20,FALSE)&lt;2,"Alerta",IF(VLOOKUP(BQ147,Fundamentus!A:U,20,FALSE)&gt;2,"Alta","n/a"))))</f>
        <v>Moderada</v>
      </c>
      <c r="FA147" s="10"/>
    </row>
    <row r="148" spans="1:157" s="2" customFormat="1" ht="11.25" hidden="1" x14ac:dyDescent="0.2">
      <c r="A148" s="4">
        <v>1.7</v>
      </c>
      <c r="B148" s="4">
        <v>1.66</v>
      </c>
      <c r="C148" s="4">
        <v>1.62</v>
      </c>
      <c r="D148" s="4">
        <v>1.65</v>
      </c>
      <c r="E148" s="4">
        <v>1.64</v>
      </c>
      <c r="F148" s="4">
        <v>1.67</v>
      </c>
      <c r="G148" s="4">
        <v>1.74</v>
      </c>
      <c r="H148" s="4">
        <v>1.39</v>
      </c>
      <c r="I148" s="4">
        <v>1.41</v>
      </c>
      <c r="J148" s="4">
        <v>1.77</v>
      </c>
      <c r="K148" s="4">
        <v>1.85</v>
      </c>
      <c r="L148" s="4">
        <v>1.62</v>
      </c>
      <c r="M148" s="4">
        <v>1.57</v>
      </c>
      <c r="N148" s="4">
        <v>1.53</v>
      </c>
      <c r="O148" s="4">
        <v>1.64</v>
      </c>
      <c r="P148" s="4">
        <v>1.59</v>
      </c>
      <c r="Q148" s="4">
        <v>1.98</v>
      </c>
      <c r="R148" s="4">
        <v>2.27</v>
      </c>
      <c r="S148" s="4">
        <v>2.14</v>
      </c>
      <c r="T148" s="4">
        <v>2.15</v>
      </c>
      <c r="U148" s="4">
        <v>1.87</v>
      </c>
      <c r="V148" s="4">
        <v>2.31</v>
      </c>
      <c r="W148" s="4">
        <v>2.0499999999999998</v>
      </c>
      <c r="X148" s="4">
        <v>2.21</v>
      </c>
      <c r="Y148" s="4">
        <v>2.14</v>
      </c>
      <c r="Z148" s="4">
        <v>2.13</v>
      </c>
      <c r="AA148" s="4">
        <v>2.31</v>
      </c>
      <c r="AB148" s="4">
        <v>2.2799999999999998</v>
      </c>
      <c r="AC148" s="4">
        <v>2.27</v>
      </c>
      <c r="AD148" s="4">
        <v>2.2999999999999998</v>
      </c>
      <c r="AE148" s="4">
        <v>2.15</v>
      </c>
      <c r="AF148" s="4">
        <v>2.2999999999999998</v>
      </c>
      <c r="AG148" s="4">
        <v>2.11</v>
      </c>
      <c r="AH148" s="4">
        <v>1.57</v>
      </c>
      <c r="AI148" s="4">
        <v>1.54</v>
      </c>
      <c r="AJ148" s="4">
        <v>1.5</v>
      </c>
      <c r="AK148" s="4">
        <v>1.5</v>
      </c>
      <c r="AL148" s="4">
        <v>1.6</v>
      </c>
      <c r="AM148" s="4">
        <v>1.68</v>
      </c>
      <c r="AN148" s="4">
        <v>1.94</v>
      </c>
      <c r="AO148" s="4">
        <v>1.76</v>
      </c>
      <c r="AP148" s="4">
        <v>1.97</v>
      </c>
      <c r="AQ148" s="4">
        <v>2.0299999999999998</v>
      </c>
      <c r="AR148" s="4">
        <v>1.78</v>
      </c>
      <c r="AS148" s="4">
        <v>1.87</v>
      </c>
      <c r="AT148" s="4">
        <v>1.74</v>
      </c>
      <c r="AU148" s="4">
        <v>1.8149999999999999</v>
      </c>
      <c r="AV148" s="4">
        <v>1.91</v>
      </c>
      <c r="AW148" s="4">
        <v>1.81</v>
      </c>
      <c r="AX148" s="4">
        <v>2.0099999999999998</v>
      </c>
      <c r="AY148" s="12">
        <v>2.1</v>
      </c>
      <c r="AZ148" s="12">
        <v>2.23</v>
      </c>
      <c r="BA148" s="12">
        <v>2.06</v>
      </c>
      <c r="BB148" s="15">
        <v>2.0699999999999998</v>
      </c>
      <c r="BC148" s="52">
        <v>2.2400000000000002</v>
      </c>
      <c r="BD148" s="52">
        <v>2.19</v>
      </c>
      <c r="BE148" s="52">
        <v>2.13</v>
      </c>
      <c r="BF148" s="52">
        <v>2.1</v>
      </c>
      <c r="BG148" s="67">
        <v>1.91</v>
      </c>
      <c r="BH148" s="52">
        <v>1.77</v>
      </c>
      <c r="BI148" s="52">
        <v>1.83</v>
      </c>
      <c r="BJ148" s="52">
        <v>1.85</v>
      </c>
      <c r="BK148" s="52">
        <v>1.77</v>
      </c>
      <c r="BL148" s="52">
        <v>1.67</v>
      </c>
      <c r="BM148" s="52">
        <v>1.66</v>
      </c>
      <c r="BN148" s="52">
        <v>1.64</v>
      </c>
      <c r="BO148" s="52">
        <v>1.74</v>
      </c>
      <c r="BP148" s="52" cm="1">
        <f t="array" aca="1" ref="BP148" ca="1">_FV(ED148,"Preço")</f>
        <v>1.83</v>
      </c>
      <c r="BQ148" s="69" t="s">
        <v>144</v>
      </c>
      <c r="BR148" s="36" cm="1">
        <f t="array" aca="1" ref="BR148" ca="1">_FV(ED148,"Média de volume",TRUE)</f>
        <v>2054540</v>
      </c>
      <c r="BS148" s="36">
        <v>2816200</v>
      </c>
      <c r="BT148" s="36" cm="1">
        <f t="array" aca="1" ref="BT148" ca="1">_FV(ED148,"Volume")</f>
        <v>2554100</v>
      </c>
      <c r="BU148" s="24" cm="1">
        <f t="array" aca="1" ref="BU148" ca="1">_FV(ED148,"Beta")</f>
        <v>1.4846999999999999</v>
      </c>
      <c r="BV148" s="71" cm="1">
        <f t="array" aca="1" ref="BV148" ca="1">_FV(ED148,"Variação (%)",TRUE)</f>
        <v>4.5713999999999998E-2</v>
      </c>
      <c r="BX148" s="17" cm="1">
        <f t="array" aca="1" ref="BX148" ca="1">_FV(ED148,"Baixo")</f>
        <v>1.74</v>
      </c>
      <c r="BY148" s="17" cm="1">
        <f t="array" aca="1" ref="BY148" ca="1">_FV(ED148,"Alto")</f>
        <v>1.84</v>
      </c>
      <c r="BZ148" s="24"/>
      <c r="CA148" s="63">
        <f ca="1">SQRT(22.5*(BP148/VLOOKUP(BQ148,Fundamentus!A:U,3,FALSE))*(BP148/VLOOKUP(BQ148,Fundamentus!A:U,4,FALSE)))</f>
        <v>1.2717781955224507</v>
      </c>
      <c r="CC148" s="62">
        <f t="shared" ca="1" si="168"/>
        <v>5.1724137931034531E-2</v>
      </c>
      <c r="CD148" s="8"/>
      <c r="CE148" s="61">
        <f t="shared" si="169"/>
        <v>1.39</v>
      </c>
      <c r="CF148" s="61">
        <f t="shared" si="170"/>
        <v>2.31</v>
      </c>
      <c r="CG148" s="61">
        <f t="shared" si="171"/>
        <v>1.8806716417910443</v>
      </c>
      <c r="CH148" s="14"/>
      <c r="CI148" s="35">
        <f t="shared" si="154"/>
        <v>1.6249200319744197</v>
      </c>
      <c r="CJ148" s="15">
        <f t="shared" si="172"/>
        <v>1.7249999999999943</v>
      </c>
      <c r="CK148" s="35">
        <f t="shared" si="155"/>
        <v>1.8250799680255689</v>
      </c>
      <c r="CM148" s="14"/>
      <c r="CN148" s="17">
        <f t="shared" si="156"/>
        <v>0.39666666666666672</v>
      </c>
      <c r="CO148" s="17">
        <f t="shared" si="157"/>
        <v>0.89333333333333331</v>
      </c>
      <c r="CP148" s="17">
        <f t="shared" si="158"/>
        <v>1.3166666666666669</v>
      </c>
      <c r="CQ148" s="38">
        <f t="shared" si="173"/>
        <v>1.8133333333333335</v>
      </c>
      <c r="CR148" s="17">
        <f t="shared" si="159"/>
        <v>2.2366666666666672</v>
      </c>
      <c r="CS148" s="17">
        <f t="shared" si="160"/>
        <v>2.7333333333333334</v>
      </c>
      <c r="CT148" s="17">
        <f t="shared" si="161"/>
        <v>3.1566666666666672</v>
      </c>
      <c r="CU148" s="2" cm="1">
        <f t="array" aca="1" ref="CU148" ca="1">MAX(_xlfn._xlws.FILTER(CN148:CT148,CN148:CT148&lt;BP148))</f>
        <v>1.8133333333333335</v>
      </c>
      <c r="CV148" s="2" cm="1">
        <f t="array" aca="1" ref="CV148" ca="1">MIN(_xlfn._xlws.FILTER($CN148:$CT148,$CN148:$CT148&gt;BP148))</f>
        <v>2.2366666666666672</v>
      </c>
      <c r="CW148" s="16">
        <f t="shared" ca="1" si="175"/>
        <v>0.23345588235294135</v>
      </c>
      <c r="CX148" s="20">
        <f t="shared" ca="1" si="176"/>
        <v>-0.11672794117647067</v>
      </c>
      <c r="CY148" s="20">
        <f t="shared" ca="1" si="177"/>
        <v>-7.7818627450980449E-2</v>
      </c>
      <c r="CZ148" s="20">
        <f t="shared" ca="1" si="178"/>
        <v>-4.6691176470588271E-2</v>
      </c>
      <c r="DA148" s="20">
        <f t="shared" ca="1" si="179"/>
        <v>-2.593954248366015E-2</v>
      </c>
      <c r="DB148" s="20">
        <f t="shared" ca="1" si="180"/>
        <v>-1.3732698961937725E-2</v>
      </c>
      <c r="DC148" s="20">
        <f t="shared" ca="1" si="181"/>
        <v>-7.074420677361859E-3</v>
      </c>
      <c r="DD148" s="20">
        <f t="shared" ca="1" si="182"/>
        <v>-3.5916289592760205E-3</v>
      </c>
      <c r="DE148" s="21">
        <f t="shared" ca="1" si="183"/>
        <v>3.5916289592760205E-3</v>
      </c>
      <c r="DF148" s="21">
        <f t="shared" ca="1" si="184"/>
        <v>7.074420677361859E-3</v>
      </c>
      <c r="DG148" s="21">
        <f t="shared" ca="1" si="185"/>
        <v>1.3732698961937725E-2</v>
      </c>
      <c r="DH148" s="21">
        <f t="shared" ca="1" si="186"/>
        <v>2.593954248366015E-2</v>
      </c>
      <c r="DI148" s="21">
        <f t="shared" ca="1" si="187"/>
        <v>4.6691176470588271E-2</v>
      </c>
      <c r="DJ148" s="21">
        <f t="shared" ca="1" si="188"/>
        <v>7.7818627450980449E-2</v>
      </c>
      <c r="DK148" s="21">
        <f t="shared" ca="1" si="189"/>
        <v>0.11672794117647067</v>
      </c>
      <c r="DM148" s="16" cm="1">
        <f t="array" aca="1" ref="DM148" ca="1">MAX(_xlfn._xlws.FILTER(CX148:DK148,CX148:DK148&lt;BV148))</f>
        <v>2.593954248366015E-2</v>
      </c>
      <c r="DN148" s="16" cm="1">
        <f t="array" aca="1" ref="DN148" ca="1">MIN(_xlfn._xlws.FILTER(CX148:DK148,CX148:DK148&gt;BV148))</f>
        <v>4.6691176470588271E-2</v>
      </c>
      <c r="DO148" s="2" cm="1">
        <f t="array" aca="1" ref="DO148" ca="1">_FV(ED148,"Fechamento anterior",TRUE)</f>
        <v>1.75</v>
      </c>
      <c r="DP148" s="28">
        <f t="shared" ca="1" si="162"/>
        <v>0.95292463442069741</v>
      </c>
      <c r="DQ148" s="15">
        <f t="shared" ca="1" si="190"/>
        <v>1.7953941993464053</v>
      </c>
      <c r="DR148" s="15">
        <f t="shared" ca="1" si="191"/>
        <v>1.8317095588235295</v>
      </c>
      <c r="DS148" s="9"/>
      <c r="DT148" s="9"/>
      <c r="DU148" s="9"/>
      <c r="DV148" s="89">
        <v>3.3530239099859339E-2</v>
      </c>
      <c r="DW148" s="89">
        <f t="shared" ca="1" si="163"/>
        <v>2.0751633986928121E-2</v>
      </c>
      <c r="DX148" s="72">
        <f t="shared" ca="1" si="164"/>
        <v>1.0491610066579344</v>
      </c>
      <c r="DY148" s="37"/>
      <c r="DZ148" s="35">
        <f t="shared" si="174"/>
        <v>5.003998401278726E-2</v>
      </c>
      <c r="EA148" s="56"/>
      <c r="EB148" s="56"/>
      <c r="ED148" s="2" t="e" vm="148">
        <v>#VALUE!</v>
      </c>
      <c r="EF148" s="10" cm="1">
        <f t="array" aca="1" ref="EF148" ca="1">_FV(ED148,"Ações em circulação",TRUE)</f>
        <v>284014300</v>
      </c>
      <c r="EG148" s="18">
        <f>VLOOKUP(BQ148,Fundamentus!A:U,5,FALSE)</f>
        <v>0.30599999999999999</v>
      </c>
      <c r="EH148" s="2">
        <f t="shared" ca="1" si="165"/>
        <v>1698516892.1568627</v>
      </c>
      <c r="EI148" s="17">
        <v>12919866.196078433</v>
      </c>
      <c r="EJ148" s="17">
        <f t="shared" ca="1" si="166"/>
        <v>13588135.137254903</v>
      </c>
      <c r="EL148" s="16">
        <f t="shared" ca="1" si="153"/>
        <v>5.1724137931034475E-2</v>
      </c>
      <c r="EM148" s="32" t="str">
        <f>IF(VLOOKUP(BQ148,Fundamentus!A:U,3,FALSE)&lt;15,"Bom",IF(VLOOKUP(BQ148,Fundamentus!A:U,3,FALSE)&gt;15,"Ruim","n/a"))</f>
        <v>Ruim</v>
      </c>
      <c r="EN148" s="28" t="str">
        <f>IF(VLOOKUP(BQ148,Fundamentus!A:U,4,FALSE)&lt;1,"Baixo",IF(VLOOKUP(BQ148,Fundamentus!A:U,4,FALSE)&lt;1.5,"Moderado",IF(VLOOKUP(BQ148,Fundamentus!A:U,4,FALSE)&gt;1.5,"Alto","n/a")))</f>
        <v>Baixo</v>
      </c>
      <c r="EO148" s="17" t="str">
        <f>IF(VLOOKUP(BQ148,Fundamentus!A:U,8,FALSE)&lt;0,"Risco elevado",IF(VLOOKUP(BQ148,Fundamentus!A:U,8,FALSE)&lt;1,"Saudável",IF(VLOOKUP(BQ148,Fundamentus!A:U,8,FALSE)&lt;3,"Estável",IF(VLOOKUP(BQ148,Fundamentus!A:U,8,FALSE)&gt;3,"Alerta","n/a"))))</f>
        <v>Alerta</v>
      </c>
      <c r="EP148" s="28" t="str">
        <f t="shared" si="167"/>
        <v>Ruim</v>
      </c>
      <c r="EQ148" s="17" t="str">
        <f>IF(VLOOKUP(BQ148,Fundamentus!A:U,12,FALSE)&lt;2,"Subvalorizada",IF(VLOOKUP(BQ148,Fundamentus!A:U,12,FALSE)&lt;6,"Muita barata",IF(VLOOKUP(BQ148,Fundamentus!A:U,12,FALSE)&lt;6,"Barata",IF(VLOOKUP(BQ148,Fundamentus!A:U,12,FALSE)&lt;8,"Atrativa",IF(VLOOKUP(BQ148,Fundamentus!A:U,12,FALSE)&gt;8,"Supervalorizada","n/a")))))</f>
        <v>Subvalorizada</v>
      </c>
      <c r="ES148" s="17" t="str">
        <f>IF(VLOOKUP(BQ148,Fundamentus!A:U,17,FALSE)&lt;0.1,"Fraco retorno",IF(VLOOKUP(BQ148,Fundamentus!A:U,17,FALSE)&gt;0.1,"Bom retorno","n/a"))</f>
        <v>Fraco retorno</v>
      </c>
      <c r="ET148" s="17" t="str">
        <f>IF(VLOOKUP(BQ148,Fundamentus!A:U,16,FALSE)&lt;0.1,"Ineficiente",IF(VLOOKUP(BQ148,Fundamentus!A:U,16,FALSE)&gt;0.1,"Eficiente","n/a"))</f>
        <v>Eficiente</v>
      </c>
      <c r="EU148" s="33" t="str">
        <f>IF(VLOOKUP(BQ148,Fundamentus!A:U,16,FALSE)&lt;0.1,"Oper. Ineficiente",IF(VLOOKUP(BQ148,Fundamentus!A:U,16,FALSE)&gt;0.1,"Oper.Eficiente","n/a"))</f>
        <v>Oper.Eficiente</v>
      </c>
      <c r="EV148" s="34">
        <f>VLOOKUP(BQ148,Fundamentus!A:U,14,FALSE)</f>
        <v>8.0000000000000002E-3</v>
      </c>
      <c r="EW148" s="17" t="str">
        <f>IF(VLOOKUP(BQ148,Fundamentus!A:U,21,FALSE)&lt;0,"Negativo",IF(VLOOKUP(BQ148,Fundamentus!A:U,21,FALSE)&lt;0.05,"Fraco",IF(VLOOKUP(BQ148,Fundamentus!A:U,21,FALSE)&lt;0.1,"Bom",IF(VLOOKUP(BQ148,Fundamentus!A:U,21,FALSE)&gt;0.1,"Muito bom","n/a"))))</f>
        <v>Negativo</v>
      </c>
      <c r="EY148" s="29" t="str">
        <f>IF(VLOOKUP(BQ148,Fundamentus!A:U,15,FALSE)&gt;1,"Bom",IF(VLOOKUP(BQ148,Fundamentus!A:U,15,FALSE)&lt;1,"Ruim","n/a"))</f>
        <v>Bom</v>
      </c>
      <c r="EZ148" s="17" t="str">
        <f>IF(VLOOKUP(BQ148,Fundamentus!A:U,20,FALSE)&lt;0.5,"Baixa",IF(VLOOKUP(BQ148,Fundamentus!A:U,20,FALSE)&lt;1,"Moderada",IF(VLOOKUP(BQ148,Fundamentus!A:U,20,FALSE)&lt;2,"Alerta",IF(VLOOKUP(BQ148,Fundamentus!A:U,20,FALSE)&gt;2,"Alta","n/a"))))</f>
        <v>Alerta</v>
      </c>
      <c r="FA148" s="10"/>
    </row>
    <row r="149" spans="1:157" s="2" customFormat="1" ht="11.25" hidden="1" x14ac:dyDescent="0.2">
      <c r="A149" s="4">
        <v>11.51</v>
      </c>
      <c r="B149" s="4">
        <v>10.66</v>
      </c>
      <c r="C149" s="4">
        <v>10.94</v>
      </c>
      <c r="D149" s="4">
        <v>10.46</v>
      </c>
      <c r="E149" s="4">
        <v>10.68</v>
      </c>
      <c r="F149" s="4">
        <v>10.119999999999999</v>
      </c>
      <c r="G149" s="4">
        <v>9.74</v>
      </c>
      <c r="H149" s="4">
        <v>9.68</v>
      </c>
      <c r="I149" s="4">
        <v>9.67</v>
      </c>
      <c r="J149" s="4">
        <v>10.14</v>
      </c>
      <c r="K149" s="4">
        <v>10.24</v>
      </c>
      <c r="L149" s="4">
        <v>9.9</v>
      </c>
      <c r="M149" s="4">
        <v>10.23</v>
      </c>
      <c r="N149" s="4">
        <v>10.210000000000001</v>
      </c>
      <c r="O149" s="4">
        <v>10.78</v>
      </c>
      <c r="P149" s="4">
        <v>11.01</v>
      </c>
      <c r="Q149" s="4">
        <v>10.58</v>
      </c>
      <c r="R149" s="4">
        <v>10.07</v>
      </c>
      <c r="S149" s="4">
        <v>10.06</v>
      </c>
      <c r="T149" s="4">
        <v>10.31</v>
      </c>
      <c r="U149" s="4">
        <v>10.09</v>
      </c>
      <c r="V149" s="4">
        <v>10.16</v>
      </c>
      <c r="W149" s="4">
        <v>10.35</v>
      </c>
      <c r="X149" s="4">
        <v>10.15</v>
      </c>
      <c r="Y149" s="4">
        <v>9.8699999999999992</v>
      </c>
      <c r="Z149" s="4">
        <v>10.050000000000001</v>
      </c>
      <c r="AA149" s="4">
        <v>9.89</v>
      </c>
      <c r="AB149" s="4">
        <v>9.92</v>
      </c>
      <c r="AC149" s="4">
        <v>9.75</v>
      </c>
      <c r="AD149" s="4">
        <v>9.58</v>
      </c>
      <c r="AE149" s="4">
        <v>9.4600000000000009</v>
      </c>
      <c r="AF149" s="4">
        <v>9.4499999999999993</v>
      </c>
      <c r="AG149" s="4">
        <v>9.2100000000000009</v>
      </c>
      <c r="AH149" s="4">
        <v>8.7799999999999994</v>
      </c>
      <c r="AI149" s="4">
        <v>8.6999999999999993</v>
      </c>
      <c r="AJ149" s="4">
        <v>8.4700000000000006</v>
      </c>
      <c r="AK149" s="4">
        <v>8.64</v>
      </c>
      <c r="AL149" s="4">
        <v>8.23</v>
      </c>
      <c r="AM149" s="4">
        <v>8.23</v>
      </c>
      <c r="AN149" s="4">
        <v>8.3000000000000007</v>
      </c>
      <c r="AO149" s="4">
        <v>8.08</v>
      </c>
      <c r="AP149" s="4">
        <v>8.1999999999999993</v>
      </c>
      <c r="AQ149" s="4">
        <v>8.18</v>
      </c>
      <c r="AR149" s="4">
        <v>8.1999999999999993</v>
      </c>
      <c r="AS149" s="4">
        <v>8.1999999999999993</v>
      </c>
      <c r="AT149" s="4">
        <v>8.52</v>
      </c>
      <c r="AU149" s="4">
        <v>8.74</v>
      </c>
      <c r="AV149" s="4">
        <v>8.8699999999999992</v>
      </c>
      <c r="AW149" s="4">
        <v>8.8800000000000008</v>
      </c>
      <c r="AX149" s="4">
        <v>8.7200000000000006</v>
      </c>
      <c r="AY149" s="12">
        <v>8.9</v>
      </c>
      <c r="AZ149" s="12">
        <v>9.0399999999999991</v>
      </c>
      <c r="BA149" s="12">
        <v>9.18</v>
      </c>
      <c r="BB149" s="15">
        <v>9.1999999999999993</v>
      </c>
      <c r="BC149" s="52">
        <v>9</v>
      </c>
      <c r="BD149" s="52">
        <v>8.74</v>
      </c>
      <c r="BE149" s="52">
        <v>8.6999999999999993</v>
      </c>
      <c r="BF149" s="52">
        <v>8.4</v>
      </c>
      <c r="BG149" s="67">
        <v>8.18</v>
      </c>
      <c r="BH149" s="52">
        <v>8.9600000000000009</v>
      </c>
      <c r="BI149" s="52">
        <v>9.52</v>
      </c>
      <c r="BJ149" s="52">
        <v>9.5399999999999991</v>
      </c>
      <c r="BK149" s="52">
        <v>9.34</v>
      </c>
      <c r="BL149" s="52">
        <v>9.09</v>
      </c>
      <c r="BM149" s="52">
        <v>9.2799999999999994</v>
      </c>
      <c r="BN149" s="52">
        <v>9.1199999999999992</v>
      </c>
      <c r="BO149" s="52">
        <v>10.210000000000001</v>
      </c>
      <c r="BP149" s="52" cm="1">
        <f t="array" aca="1" ref="BP149" ca="1">_FV(ED149,"Preço")</f>
        <v>9.99</v>
      </c>
      <c r="BQ149" s="69" t="s">
        <v>145</v>
      </c>
      <c r="BR149" s="36" cm="1">
        <f t="array" aca="1" ref="BR149" ca="1">_FV(ED149,"Média de volume",TRUE)</f>
        <v>359290</v>
      </c>
      <c r="BS149" s="36">
        <v>519400</v>
      </c>
      <c r="BT149" s="36" cm="1">
        <f t="array" aca="1" ref="BT149" ca="1">_FV(ED149,"Volume")</f>
        <v>360800</v>
      </c>
      <c r="BU149" s="24" cm="1">
        <f t="array" aca="1" ref="BU149" ca="1">_FV(ED149,"Beta")</f>
        <v>1.1901999999999999</v>
      </c>
      <c r="BV149" s="71" cm="1">
        <f t="array" aca="1" ref="BV149" ca="1">_FV(ED149,"Variação (%)",TRUE)</f>
        <v>-1.3819999999999999E-2</v>
      </c>
      <c r="BX149" s="17" cm="1">
        <f t="array" aca="1" ref="BX149" ca="1">_FV(ED149,"Baixo")</f>
        <v>9.8000000000000007</v>
      </c>
      <c r="BY149" s="17" cm="1">
        <f t="array" aca="1" ref="BY149" ca="1">_FV(ED149,"Alto")</f>
        <v>10.220000000000001</v>
      </c>
      <c r="BZ149" s="24"/>
      <c r="CA149" s="63">
        <f ca="1">SQRT(22.5*(BP149/VLOOKUP(BQ149,Fundamentus!A:U,3,FALSE))*(BP149/VLOOKUP(BQ149,Fundamentus!A:U,4,FALSE)))</f>
        <v>11.832492202948673</v>
      </c>
      <c r="CC149" s="62">
        <f t="shared" ca="1" si="168"/>
        <v>-2.1547502448579885E-2</v>
      </c>
      <c r="CD149" s="8"/>
      <c r="CE149" s="61">
        <f t="shared" si="169"/>
        <v>8.08</v>
      </c>
      <c r="CF149" s="61">
        <f t="shared" si="170"/>
        <v>11.51</v>
      </c>
      <c r="CG149" s="61">
        <f t="shared" si="171"/>
        <v>9.4516417910447768</v>
      </c>
      <c r="CH149" s="14"/>
      <c r="CI149" s="35">
        <f t="shared" si="154"/>
        <v>9.4012136199235865</v>
      </c>
      <c r="CJ149" s="15">
        <f t="shared" si="172"/>
        <v>10.225000000000364</v>
      </c>
      <c r="CK149" s="35">
        <f t="shared" si="155"/>
        <v>11.048786380077141</v>
      </c>
      <c r="CM149" s="14"/>
      <c r="CN149" s="17">
        <f t="shared" si="156"/>
        <v>4.9266666666666676</v>
      </c>
      <c r="CO149" s="17">
        <f t="shared" si="157"/>
        <v>6.5033333333333339</v>
      </c>
      <c r="CP149" s="17">
        <f t="shared" si="158"/>
        <v>8.3566666666666674</v>
      </c>
      <c r="CQ149" s="38">
        <f t="shared" si="173"/>
        <v>9.9333333333333336</v>
      </c>
      <c r="CR149" s="17">
        <f t="shared" si="159"/>
        <v>11.786666666666667</v>
      </c>
      <c r="CS149" s="17">
        <f t="shared" si="160"/>
        <v>13.363333333333333</v>
      </c>
      <c r="CT149" s="17">
        <f t="shared" si="161"/>
        <v>15.216666666666667</v>
      </c>
      <c r="CU149" s="2" cm="1">
        <f t="array" aca="1" ref="CU149" ca="1">MAX(_xlfn._xlws.FILTER(CN149:CT149,CN149:CT149&lt;BP149))</f>
        <v>9.9333333333333336</v>
      </c>
      <c r="CV149" s="2" cm="1">
        <f t="array" aca="1" ref="CV149" ca="1">MIN(_xlfn._xlws.FILTER($CN149:$CT149,$CN149:$CT149&gt;BP149))</f>
        <v>11.786666666666667</v>
      </c>
      <c r="CW149" s="16">
        <f t="shared" ca="1" si="175"/>
        <v>0.18657718120805367</v>
      </c>
      <c r="CX149" s="20">
        <f t="shared" ca="1" si="176"/>
        <v>-9.3288590604026833E-2</v>
      </c>
      <c r="CY149" s="20">
        <f t="shared" ca="1" si="177"/>
        <v>-6.2192393736017891E-2</v>
      </c>
      <c r="CZ149" s="20">
        <f t="shared" ca="1" si="178"/>
        <v>-3.7315436241610732E-2</v>
      </c>
      <c r="DA149" s="20">
        <f t="shared" ca="1" si="179"/>
        <v>-2.0730797912005963E-2</v>
      </c>
      <c r="DB149" s="20">
        <f t="shared" ca="1" si="180"/>
        <v>-1.0975128306356097E-2</v>
      </c>
      <c r="DC149" s="20">
        <f t="shared" ca="1" si="181"/>
        <v>-5.6538539760016262E-3</v>
      </c>
      <c r="DD149" s="20">
        <f t="shared" ca="1" si="182"/>
        <v>-2.8704181724315951E-3</v>
      </c>
      <c r="DE149" s="21">
        <f t="shared" ca="1" si="183"/>
        <v>2.8704181724315951E-3</v>
      </c>
      <c r="DF149" s="21">
        <f t="shared" ca="1" si="184"/>
        <v>5.6538539760016262E-3</v>
      </c>
      <c r="DG149" s="21">
        <f t="shared" ca="1" si="185"/>
        <v>1.0975128306356097E-2</v>
      </c>
      <c r="DH149" s="21">
        <f t="shared" ca="1" si="186"/>
        <v>2.0730797912005963E-2</v>
      </c>
      <c r="DI149" s="21">
        <f t="shared" ca="1" si="187"/>
        <v>3.7315436241610732E-2</v>
      </c>
      <c r="DJ149" s="21">
        <f t="shared" ca="1" si="188"/>
        <v>6.2192393736017891E-2</v>
      </c>
      <c r="DK149" s="21">
        <f t="shared" ca="1" si="189"/>
        <v>9.3288590604026833E-2</v>
      </c>
      <c r="DM149" s="16" cm="1">
        <f t="array" aca="1" ref="DM149" ca="1">MAX(_xlfn._xlws.FILTER(CX149:DK149,CX149:DK149&lt;BV149))</f>
        <v>-2.0730797912005963E-2</v>
      </c>
      <c r="DN149" s="16" cm="1">
        <f t="array" aca="1" ref="DN149" ca="1">MIN(_xlfn._xlws.FILTER(CX149:DK149,CX149:DK149&gt;BV149))</f>
        <v>-1.0975128306356097E-2</v>
      </c>
      <c r="DO149" s="2" cm="1">
        <f t="array" aca="1" ref="DO149" ca="1">_FV(ED149,"Fechamento anterior",TRUE)</f>
        <v>10.130000000000001</v>
      </c>
      <c r="DP149" s="28">
        <f t="shared" ca="1" si="162"/>
        <v>0.70835345543899475</v>
      </c>
      <c r="DQ149" s="15">
        <f t="shared" ca="1" si="190"/>
        <v>9.9199970171513812</v>
      </c>
      <c r="DR149" s="15">
        <f t="shared" ca="1" si="191"/>
        <v>10.018821950256614</v>
      </c>
      <c r="DS149" s="9"/>
      <c r="DT149" s="9"/>
      <c r="DU149" s="9"/>
      <c r="DV149" s="89">
        <v>9.7556696056498651E-3</v>
      </c>
      <c r="DW149" s="89">
        <f t="shared" ca="1" si="163"/>
        <v>9.7556696056498651E-3</v>
      </c>
      <c r="DX149" s="72">
        <f t="shared" ca="1" si="164"/>
        <v>-0.28526812980139521</v>
      </c>
      <c r="DY149" s="37"/>
      <c r="DZ149" s="35">
        <f t="shared" si="174"/>
        <v>0.41189319003838898</v>
      </c>
      <c r="EA149" s="56"/>
      <c r="EB149" s="56"/>
      <c r="ED149" s="2" t="e" vm="149">
        <v>#VALUE!</v>
      </c>
      <c r="EF149" s="10" cm="1">
        <f t="array" aca="1" ref="EF149" ca="1">_FV(ED149,"Ações em circulação",TRUE)</f>
        <v>150377500</v>
      </c>
      <c r="EG149" s="18">
        <f>VLOOKUP(BQ149,Fundamentus!A:U,5,FALSE)</f>
        <v>0.28100000000000003</v>
      </c>
      <c r="EH149" s="2">
        <f t="shared" ca="1" si="165"/>
        <v>5346160943.0604973</v>
      </c>
      <c r="EI149" s="17">
        <v>107092326.65480427</v>
      </c>
      <c r="EJ149" s="17">
        <f t="shared" ca="1" si="166"/>
        <v>104784754.48398574</v>
      </c>
      <c r="EL149" s="16">
        <f t="shared" ca="1" si="153"/>
        <v>-2.1547502448580169E-2</v>
      </c>
      <c r="EM149" s="32" t="str">
        <f>IF(VLOOKUP(BQ149,Fundamentus!A:U,3,FALSE)&lt;15,"Bom",IF(VLOOKUP(BQ149,Fundamentus!A:U,3,FALSE)&gt;15,"Ruim","n/a"))</f>
        <v>Bom</v>
      </c>
      <c r="EN149" s="28" t="str">
        <f>IF(VLOOKUP(BQ149,Fundamentus!A:U,4,FALSE)&lt;1,"Baixo",IF(VLOOKUP(BQ149,Fundamentus!A:U,4,FALSE)&lt;1.5,"Moderado",IF(VLOOKUP(BQ149,Fundamentus!A:U,4,FALSE)&gt;1.5,"Alto","n/a")))</f>
        <v>Moderado</v>
      </c>
      <c r="EO149" s="17" t="str">
        <f>IF(VLOOKUP(BQ149,Fundamentus!A:U,8,FALSE)&lt;0,"Risco elevado",IF(VLOOKUP(BQ149,Fundamentus!A:U,8,FALSE)&lt;1,"Saudável",IF(VLOOKUP(BQ149,Fundamentus!A:U,8,FALSE)&lt;3,"Estável",IF(VLOOKUP(BQ149,Fundamentus!A:U,8,FALSE)&gt;3,"Alerta","n/a"))))</f>
        <v>Estável</v>
      </c>
      <c r="EP149" s="28" t="str">
        <f t="shared" si="167"/>
        <v>Ruim</v>
      </c>
      <c r="EQ149" s="17" t="str">
        <f>IF(VLOOKUP(BQ149,Fundamentus!A:U,12,FALSE)&lt;2,"Subvalorizada",IF(VLOOKUP(BQ149,Fundamentus!A:U,12,FALSE)&lt;6,"Muita barata",IF(VLOOKUP(BQ149,Fundamentus!A:U,12,FALSE)&lt;6,"Barata",IF(VLOOKUP(BQ149,Fundamentus!A:U,12,FALSE)&lt;8,"Atrativa",IF(VLOOKUP(BQ149,Fundamentus!A:U,12,FALSE)&gt;8,"Supervalorizada","n/a")))))</f>
        <v>Atrativa</v>
      </c>
      <c r="ES149" s="17" t="str">
        <f>IF(VLOOKUP(BQ149,Fundamentus!A:U,17,FALSE)&lt;0.1,"Fraco retorno",IF(VLOOKUP(BQ149,Fundamentus!A:U,17,FALSE)&gt;0.1,"Bom retorno","n/a"))</f>
        <v>Fraco retorno</v>
      </c>
      <c r="ET149" s="17" t="str">
        <f>IF(VLOOKUP(BQ149,Fundamentus!A:U,16,FALSE)&lt;0.1,"Ineficiente",IF(VLOOKUP(BQ149,Fundamentus!A:U,16,FALSE)&gt;0.1,"Eficiente","n/a"))</f>
        <v>Ineficiente</v>
      </c>
      <c r="EU149" s="33" t="str">
        <f>IF(VLOOKUP(BQ149,Fundamentus!A:U,16,FALSE)&lt;0.1,"Oper. Ineficiente",IF(VLOOKUP(BQ149,Fundamentus!A:U,16,FALSE)&gt;0.1,"Oper.Eficiente","n/a"))</f>
        <v>Oper. Ineficiente</v>
      </c>
      <c r="EV149" s="34">
        <f>VLOOKUP(BQ149,Fundamentus!A:U,14,FALSE)</f>
        <v>1.9599999999999999E-2</v>
      </c>
      <c r="EW149" s="17" t="str">
        <f>IF(VLOOKUP(BQ149,Fundamentus!A:U,21,FALSE)&lt;0,"Negativo",IF(VLOOKUP(BQ149,Fundamentus!A:U,21,FALSE)&lt;0.05,"Fraco",IF(VLOOKUP(BQ149,Fundamentus!A:U,21,FALSE)&lt;0.1,"Bom",IF(VLOOKUP(BQ149,Fundamentus!A:U,21,FALSE)&gt;0.1,"Muito bom","n/a"))))</f>
        <v>Muito bom</v>
      </c>
      <c r="EY149" s="29" t="str">
        <f>IF(VLOOKUP(BQ149,Fundamentus!A:U,15,FALSE)&gt;1,"Bom",IF(VLOOKUP(BQ149,Fundamentus!A:U,15,FALSE)&lt;1,"Ruim","n/a"))</f>
        <v>Bom</v>
      </c>
      <c r="EZ149" s="17" t="str">
        <f>IF(VLOOKUP(BQ149,Fundamentus!A:U,20,FALSE)&lt;0.5,"Baixa",IF(VLOOKUP(BQ149,Fundamentus!A:U,20,FALSE)&lt;1,"Moderada",IF(VLOOKUP(BQ149,Fundamentus!A:U,20,FALSE)&lt;2,"Alerta",IF(VLOOKUP(BQ149,Fundamentus!A:U,20,FALSE)&gt;2,"Alta","n/a"))))</f>
        <v>Moderada</v>
      </c>
      <c r="FA149" s="10"/>
    </row>
    <row r="150" spans="1:157" s="2" customFormat="1" ht="11.25" hidden="1" x14ac:dyDescent="0.2">
      <c r="A150" s="4">
        <v>8</v>
      </c>
      <c r="B150" s="4">
        <v>7.88</v>
      </c>
      <c r="C150" s="4">
        <v>7</v>
      </c>
      <c r="D150" s="4">
        <v>7.1</v>
      </c>
      <c r="E150" s="4">
        <v>7.4</v>
      </c>
      <c r="F150" s="4">
        <v>9.07</v>
      </c>
      <c r="G150" s="4">
        <v>7.08</v>
      </c>
      <c r="H150" s="4">
        <v>7.3</v>
      </c>
      <c r="I150" s="4">
        <v>7.25</v>
      </c>
      <c r="J150" s="4">
        <v>7.83</v>
      </c>
      <c r="K150" s="4">
        <v>7.38</v>
      </c>
      <c r="L150" s="4">
        <v>7.34</v>
      </c>
      <c r="M150" s="4">
        <v>8.4</v>
      </c>
      <c r="N150" s="4">
        <v>7.94</v>
      </c>
      <c r="O150" s="4">
        <v>7.73</v>
      </c>
      <c r="P150" s="4">
        <v>7.76</v>
      </c>
      <c r="Q150" s="4">
        <v>7.27</v>
      </c>
      <c r="R150" s="4">
        <v>8.57</v>
      </c>
      <c r="S150" s="4">
        <v>8.6</v>
      </c>
      <c r="T150" s="4">
        <v>8.33</v>
      </c>
      <c r="U150" s="4">
        <v>7.94</v>
      </c>
      <c r="V150" s="4">
        <v>8.77</v>
      </c>
      <c r="W150" s="4">
        <v>9.5500000000000007</v>
      </c>
      <c r="X150" s="4">
        <v>9.5399999999999991</v>
      </c>
      <c r="Y150" s="4">
        <v>9.43</v>
      </c>
      <c r="Z150" s="4">
        <v>9.43</v>
      </c>
      <c r="AA150" s="4">
        <v>9.5500000000000007</v>
      </c>
      <c r="AB150" s="4">
        <v>9.77</v>
      </c>
      <c r="AC150" s="4">
        <v>9.84</v>
      </c>
      <c r="AD150" s="4">
        <v>9.7799999999999994</v>
      </c>
      <c r="AE150" s="4">
        <v>9.76</v>
      </c>
      <c r="AF150" s="4">
        <v>9.83</v>
      </c>
      <c r="AG150" s="4">
        <v>9.92</v>
      </c>
      <c r="AH150" s="4">
        <v>9.82</v>
      </c>
      <c r="AI150" s="4">
        <v>9.82</v>
      </c>
      <c r="AJ150" s="4">
        <v>9.8000000000000007</v>
      </c>
      <c r="AK150" s="4">
        <v>9.91</v>
      </c>
      <c r="AL150" s="4">
        <v>10.08</v>
      </c>
      <c r="AM150" s="4">
        <v>10.119999999999999</v>
      </c>
      <c r="AN150" s="4">
        <v>10.14</v>
      </c>
      <c r="AO150" s="4">
        <v>10.18</v>
      </c>
      <c r="AP150" s="4">
        <v>10.25</v>
      </c>
      <c r="AQ150" s="4">
        <v>10.36</v>
      </c>
      <c r="AR150" s="4">
        <v>10.38</v>
      </c>
      <c r="AS150" s="4">
        <v>10.4</v>
      </c>
      <c r="AT150" s="4">
        <v>10.41</v>
      </c>
      <c r="AU150" s="4">
        <v>10.445</v>
      </c>
      <c r="AV150" s="4">
        <v>10.47</v>
      </c>
      <c r="AW150" s="4">
        <v>10.51</v>
      </c>
      <c r="AX150" s="4">
        <v>10.51</v>
      </c>
      <c r="AY150" s="12">
        <v>10.51</v>
      </c>
      <c r="AZ150" s="12">
        <v>10.51</v>
      </c>
      <c r="BA150" s="12">
        <v>10.51</v>
      </c>
      <c r="BB150" s="15">
        <v>9.9600000000000009</v>
      </c>
      <c r="BC150" s="52">
        <v>10.59</v>
      </c>
      <c r="BD150" s="52">
        <v>10.61</v>
      </c>
      <c r="BE150" s="52">
        <v>10.74</v>
      </c>
      <c r="BF150" s="52">
        <v>10.74</v>
      </c>
      <c r="BG150" s="67">
        <v>10.77</v>
      </c>
      <c r="BH150" s="52">
        <v>10.8</v>
      </c>
      <c r="BI150" s="52">
        <v>11</v>
      </c>
      <c r="BJ150" s="52">
        <v>11.34</v>
      </c>
      <c r="BK150" s="52">
        <v>11.03</v>
      </c>
      <c r="BL150" s="52">
        <v>11.22</v>
      </c>
      <c r="BM150" s="52">
        <v>11.44</v>
      </c>
      <c r="BN150" s="52">
        <v>11.09</v>
      </c>
      <c r="BO150" s="52">
        <v>11.33</v>
      </c>
      <c r="BP150" s="52" cm="1">
        <f t="array" aca="1" ref="BP150" ca="1">_FV(ED150,"Preço")</f>
        <v>11.32</v>
      </c>
      <c r="BQ150" s="69" t="s">
        <v>146</v>
      </c>
      <c r="BR150" s="36" t="e" cm="1" vm="3">
        <f t="array" ref="BR150">_FV(ED150,"Média de volume",TRUE)</f>
        <v>#VALUE!</v>
      </c>
      <c r="BS150" s="36">
        <v>3200</v>
      </c>
      <c r="BT150" s="36" cm="1">
        <f t="array" aca="1" ref="BT150" ca="1">_FV(ED150,"Volume")</f>
        <v>400</v>
      </c>
      <c r="BU150" s="24" t="e" cm="1" vm="137">
        <f t="array" ref="BU150">_FV(ED150,"Beta")</f>
        <v>#VALUE!</v>
      </c>
      <c r="BV150" s="71" cm="1">
        <f t="array" aca="1" ref="BV150" ca="1">_FV(ED150,"Variação (%)",TRUE)</f>
        <v>-1.7639999999999999E-3</v>
      </c>
      <c r="BX150" s="17" cm="1">
        <f t="array" aca="1" ref="BX150" ca="1">_FV(ED150,"Baixo")</f>
        <v>11.32</v>
      </c>
      <c r="BY150" s="17" cm="1">
        <f t="array" aca="1" ref="BY150" ca="1">_FV(ED150,"Alto")</f>
        <v>11.32</v>
      </c>
      <c r="BZ150" s="24"/>
      <c r="CA150" s="63" t="e">
        <f ca="1">SQRT(22.5*(BP150/VLOOKUP(BQ150,Fundamentus!A:U,3,FALSE))*(BP150/VLOOKUP(BQ150,Fundamentus!A:U,4,FALSE)))</f>
        <v>#N/A</v>
      </c>
      <c r="CC150" s="62">
        <f t="shared" ca="1" si="168"/>
        <v>-8.8261253309795116E-4</v>
      </c>
      <c r="CD150" s="8"/>
      <c r="CE150" s="61">
        <f t="shared" si="169"/>
        <v>7</v>
      </c>
      <c r="CF150" s="61">
        <f t="shared" si="170"/>
        <v>11.44</v>
      </c>
      <c r="CG150" s="61">
        <f t="shared" si="171"/>
        <v>9.4945522388059711</v>
      </c>
      <c r="CH150" s="14"/>
      <c r="CI150" s="35">
        <f t="shared" si="154"/>
        <v>10.963696166635739</v>
      </c>
      <c r="CJ150" s="15">
        <f t="shared" si="172"/>
        <v>11.265000000000002</v>
      </c>
      <c r="CK150" s="35">
        <f t="shared" si="155"/>
        <v>11.566303833364266</v>
      </c>
      <c r="CM150" s="14"/>
      <c r="CN150" s="17">
        <f t="shared" si="156"/>
        <v>3.966666666666665</v>
      </c>
      <c r="CO150" s="17">
        <f t="shared" si="157"/>
        <v>5.4833333333333325</v>
      </c>
      <c r="CP150" s="17">
        <f t="shared" si="158"/>
        <v>8.4066666666666645</v>
      </c>
      <c r="CQ150" s="38">
        <f t="shared" si="173"/>
        <v>9.923333333333332</v>
      </c>
      <c r="CR150" s="17">
        <f t="shared" si="159"/>
        <v>12.846666666666664</v>
      </c>
      <c r="CS150" s="17">
        <f t="shared" si="160"/>
        <v>14.363333333333332</v>
      </c>
      <c r="CT150" s="17">
        <f t="shared" si="161"/>
        <v>17.286666666666662</v>
      </c>
      <c r="CU150" s="2" cm="1">
        <f t="array" aca="1" ref="CU150" ca="1">MAX(_xlfn._xlws.FILTER(CN150:CT150,CN150:CT150&lt;BP150))</f>
        <v>9.923333333333332</v>
      </c>
      <c r="CV150" s="2" cm="1">
        <f t="array" aca="1" ref="CV150" ca="1">MIN(_xlfn._xlws.FILTER($CN150:$CT150,$CN150:$CT150&gt;BP150))</f>
        <v>12.846666666666664</v>
      </c>
      <c r="CW150" s="16">
        <f t="shared" ca="1" si="175"/>
        <v>0.29459187101108486</v>
      </c>
      <c r="CX150" s="20">
        <f t="shared" ca="1" si="176"/>
        <v>-0.14729593550554243</v>
      </c>
      <c r="CY150" s="20">
        <f t="shared" ca="1" si="177"/>
        <v>-9.8197290337028287E-2</v>
      </c>
      <c r="CZ150" s="20">
        <f t="shared" ca="1" si="178"/>
        <v>-5.8918374202216975E-2</v>
      </c>
      <c r="DA150" s="20">
        <f t="shared" ca="1" si="179"/>
        <v>-3.273243011234276E-2</v>
      </c>
      <c r="DB150" s="20">
        <f t="shared" ca="1" si="180"/>
        <v>-1.7328933588887346E-2</v>
      </c>
      <c r="DC150" s="20">
        <f t="shared" ca="1" si="181"/>
        <v>-8.9270263942752993E-3</v>
      </c>
      <c r="DD150" s="20">
        <f t="shared" ca="1" si="182"/>
        <v>-4.5321826309397675E-3</v>
      </c>
      <c r="DE150" s="21">
        <f t="shared" ca="1" si="183"/>
        <v>4.5321826309397675E-3</v>
      </c>
      <c r="DF150" s="21">
        <f t="shared" ca="1" si="184"/>
        <v>8.9270263942752993E-3</v>
      </c>
      <c r="DG150" s="21">
        <f t="shared" ca="1" si="185"/>
        <v>1.7328933588887346E-2</v>
      </c>
      <c r="DH150" s="21">
        <f t="shared" ca="1" si="186"/>
        <v>3.273243011234276E-2</v>
      </c>
      <c r="DI150" s="21">
        <f t="shared" ca="1" si="187"/>
        <v>5.8918374202216975E-2</v>
      </c>
      <c r="DJ150" s="21">
        <f t="shared" ca="1" si="188"/>
        <v>9.8197290337028287E-2</v>
      </c>
      <c r="DK150" s="21">
        <f t="shared" ca="1" si="189"/>
        <v>0.14729593550554243</v>
      </c>
      <c r="DM150" s="16" cm="1">
        <f t="array" aca="1" ref="DM150" ca="1">MAX(_xlfn._xlws.FILTER(CX150:DK150,CX150:DK150&lt;BV150))</f>
        <v>-4.5321826309397675E-3</v>
      </c>
      <c r="DN150" s="16" cm="1">
        <f t="array" aca="1" ref="DN150" ca="1">MIN(_xlfn._xlws.FILTER(CX150:DK150,CX150:DK150&gt;BV150))</f>
        <v>4.5321826309397675E-3</v>
      </c>
      <c r="DO150" s="2" cm="1">
        <f t="array" aca="1" ref="DO150" ca="1">_FV(ED150,"Fechamento anterior",TRUE)</f>
        <v>11.34</v>
      </c>
      <c r="DP150" s="28">
        <f t="shared" ca="1" si="162"/>
        <v>0.30542835825998305</v>
      </c>
      <c r="DQ150" s="15">
        <f t="shared" ca="1" si="190"/>
        <v>11.288605048965143</v>
      </c>
      <c r="DR150" s="15">
        <f t="shared" ca="1" si="191"/>
        <v>11.391394951034856</v>
      </c>
      <c r="DS150" s="9"/>
      <c r="DT150" s="9"/>
      <c r="DU150" s="9"/>
      <c r="DV150" s="89">
        <v>9.064365261879535E-3</v>
      </c>
      <c r="DW150" s="89">
        <f t="shared" ca="1" si="163"/>
        <v>9.064365261879535E-3</v>
      </c>
      <c r="DX150" s="72">
        <f t="shared" ca="1" si="164"/>
        <v>0.1825399942174159</v>
      </c>
      <c r="DY150" s="37"/>
      <c r="DZ150" s="35">
        <f t="shared" si="174"/>
        <v>0.1506519166821319</v>
      </c>
      <c r="EA150" s="56"/>
      <c r="EB150" s="56"/>
      <c r="ED150" s="2" t="e" vm="150">
        <v>#VALUE!</v>
      </c>
      <c r="EF150" s="10" t="e" cm="1" vm="151">
        <f t="array" ref="EF150">_FV(ED150,"Ações em circulação",TRUE)</f>
        <v>#VALUE!</v>
      </c>
      <c r="EG150" s="18" t="e">
        <f>VLOOKUP(BQ150,Fundamentus!A:U,5,FALSE)</f>
        <v>#N/A</v>
      </c>
      <c r="EH150" s="2" t="e" vm="152">
        <f t="shared" ca="1" si="165"/>
        <v>#VALUE!</v>
      </c>
      <c r="EI150" s="17" t="e" vm="152">
        <v>#VALUE!</v>
      </c>
      <c r="EJ150" s="17" t="e" vm="152">
        <f t="shared" ca="1" si="166"/>
        <v>#VALUE!</v>
      </c>
      <c r="EL150" s="16" t="e" vm="152">
        <f t="shared" ca="1" si="153"/>
        <v>#VALUE!</v>
      </c>
      <c r="EM150" s="32" t="e">
        <f>IF(VLOOKUP(BQ150,Fundamentus!A:U,3,FALSE)&lt;15,"Bom",IF(VLOOKUP(BQ150,Fundamentus!A:U,3,FALSE)&gt;15,"Ruim","n/a"))</f>
        <v>#N/A</v>
      </c>
      <c r="EN150" s="28" t="e">
        <f>IF(VLOOKUP(BQ150,Fundamentus!A:U,4,FALSE)&lt;1,"Baixo",IF(VLOOKUP(BQ150,Fundamentus!A:U,4,FALSE)&lt;1.5,"Moderado",IF(VLOOKUP(BQ150,Fundamentus!A:U,4,FALSE)&gt;1.5,"Alto","n/a")))</f>
        <v>#N/A</v>
      </c>
      <c r="EO150" s="17" t="e">
        <f>IF(VLOOKUP(BQ150,Fundamentus!A:U,8,FALSE)&lt;0,"Risco elevado",IF(VLOOKUP(BQ150,Fundamentus!A:U,8,FALSE)&lt;1,"Saudável",IF(VLOOKUP(BQ150,Fundamentus!A:U,8,FALSE)&lt;3,"Estável",IF(VLOOKUP(BQ150,Fundamentus!A:U,8,FALSE)&gt;3,"Alerta","n/a"))))</f>
        <v>#N/A</v>
      </c>
      <c r="EP150" s="28" t="e">
        <f t="shared" si="167"/>
        <v>#N/A</v>
      </c>
      <c r="EQ150" s="17" t="e">
        <f>IF(VLOOKUP(BQ150,Fundamentus!A:U,12,FALSE)&lt;2,"Subvalorizada",IF(VLOOKUP(BQ150,Fundamentus!A:U,12,FALSE)&lt;6,"Muita barata",IF(VLOOKUP(BQ150,Fundamentus!A:U,12,FALSE)&lt;6,"Barata",IF(VLOOKUP(BQ150,Fundamentus!A:U,12,FALSE)&lt;8,"Atrativa",IF(VLOOKUP(BQ150,Fundamentus!A:U,12,FALSE)&gt;8,"Supervalorizada","n/a")))))</f>
        <v>#N/A</v>
      </c>
      <c r="ES150" s="17" t="e">
        <f>IF(VLOOKUP(BQ150,Fundamentus!A:U,17,FALSE)&lt;0.1,"Fraco retorno",IF(VLOOKUP(BQ150,Fundamentus!A:U,17,FALSE)&gt;0.1,"Bom retorno","n/a"))</f>
        <v>#N/A</v>
      </c>
      <c r="ET150" s="17" t="e">
        <f>IF(VLOOKUP(BQ150,Fundamentus!A:U,16,FALSE)&lt;0.1,"Ineficiente",IF(VLOOKUP(BQ150,Fundamentus!A:U,16,FALSE)&gt;0.1,"Eficiente","n/a"))</f>
        <v>#N/A</v>
      </c>
      <c r="EU150" s="33" t="e">
        <f>IF(VLOOKUP(BQ150,Fundamentus!A:U,16,FALSE)&lt;0.1,"Oper. Ineficiente",IF(VLOOKUP(BQ150,Fundamentus!A:U,16,FALSE)&gt;0.1,"Oper.Eficiente","n/a"))</f>
        <v>#N/A</v>
      </c>
      <c r="EV150" s="34" t="e">
        <f>VLOOKUP(BQ150,Fundamentus!A:U,14,FALSE)</f>
        <v>#N/A</v>
      </c>
      <c r="EW150" s="17" t="e">
        <f>IF(VLOOKUP(BQ150,Fundamentus!A:U,21,FALSE)&lt;0,"Negativo",IF(VLOOKUP(BQ150,Fundamentus!A:U,21,FALSE)&lt;0.05,"Fraco",IF(VLOOKUP(BQ150,Fundamentus!A:U,21,FALSE)&lt;0.1,"Bom",IF(VLOOKUP(BQ150,Fundamentus!A:U,21,FALSE)&gt;0.1,"Muito bom","n/a"))))</f>
        <v>#N/A</v>
      </c>
      <c r="EY150" s="29" t="e">
        <f>IF(VLOOKUP(BQ150,Fundamentus!A:U,15,FALSE)&gt;1,"Bom",IF(VLOOKUP(BQ150,Fundamentus!A:U,15,FALSE)&lt;1,"Ruim","n/a"))</f>
        <v>#N/A</v>
      </c>
      <c r="EZ150" s="17" t="e">
        <f>IF(VLOOKUP(BQ150,Fundamentus!A:U,20,FALSE)&lt;0.5,"Baixa",IF(VLOOKUP(BQ150,Fundamentus!A:U,20,FALSE)&lt;1,"Moderada",IF(VLOOKUP(BQ150,Fundamentus!A:U,20,FALSE)&lt;2,"Alerta",IF(VLOOKUP(BQ150,Fundamentus!A:U,20,FALSE)&gt;2,"Alta","n/a"))))</f>
        <v>#N/A</v>
      </c>
      <c r="FA150" s="10"/>
    </row>
    <row r="151" spans="1:157" s="2" customFormat="1" ht="11.25" hidden="1" x14ac:dyDescent="0.2">
      <c r="A151" s="4">
        <v>4.72</v>
      </c>
      <c r="B151" s="4">
        <v>4.3499999999999996</v>
      </c>
      <c r="C151" s="4">
        <v>4.2699999999999996</v>
      </c>
      <c r="D151" s="4">
        <v>4.2</v>
      </c>
      <c r="E151" s="4">
        <v>4.05</v>
      </c>
      <c r="F151" s="4">
        <v>3.98</v>
      </c>
      <c r="G151" s="4">
        <v>4.03</v>
      </c>
      <c r="H151" s="4">
        <v>4.17</v>
      </c>
      <c r="I151" s="4">
        <v>4.26</v>
      </c>
      <c r="J151" s="4">
        <v>4.2</v>
      </c>
      <c r="K151" s="4">
        <v>4.18</v>
      </c>
      <c r="L151" s="4">
        <v>4.28</v>
      </c>
      <c r="M151" s="4">
        <v>4.24</v>
      </c>
      <c r="N151" s="4">
        <v>4.37</v>
      </c>
      <c r="O151" s="4">
        <v>4.1900000000000004</v>
      </c>
      <c r="P151" s="4">
        <v>4.1900000000000004</v>
      </c>
      <c r="Q151" s="4">
        <v>4.4000000000000004</v>
      </c>
      <c r="R151" s="4">
        <v>4.3600000000000003</v>
      </c>
      <c r="S151" s="4">
        <v>4.3099999999999996</v>
      </c>
      <c r="T151" s="4">
        <v>4.3600000000000003</v>
      </c>
      <c r="U151" s="4">
        <v>4.17</v>
      </c>
      <c r="V151" s="4">
        <v>4.2</v>
      </c>
      <c r="W151" s="4">
        <v>4.2699999999999996</v>
      </c>
      <c r="X151" s="4">
        <v>4.03</v>
      </c>
      <c r="Y151" s="4">
        <v>4.1399999999999997</v>
      </c>
      <c r="Z151" s="4">
        <v>4.16</v>
      </c>
      <c r="AA151" s="4">
        <v>4.1900000000000004</v>
      </c>
      <c r="AB151" s="4">
        <v>4.13</v>
      </c>
      <c r="AC151" s="4">
        <v>4.1100000000000003</v>
      </c>
      <c r="AD151" s="4">
        <v>4.26</v>
      </c>
      <c r="AE151" s="4">
        <v>4.4000000000000004</v>
      </c>
      <c r="AF151" s="4">
        <v>4.57</v>
      </c>
      <c r="AG151" s="4">
        <v>4.59</v>
      </c>
      <c r="AH151" s="4">
        <v>4.5599999999999996</v>
      </c>
      <c r="AI151" s="4">
        <v>4.5999999999999996</v>
      </c>
      <c r="AJ151" s="4">
        <v>4.49</v>
      </c>
      <c r="AK151" s="4">
        <v>4.34</v>
      </c>
      <c r="AL151" s="4">
        <v>4.2699999999999996</v>
      </c>
      <c r="AM151" s="4">
        <v>4.34</v>
      </c>
      <c r="AN151" s="4">
        <v>4.41</v>
      </c>
      <c r="AO151" s="4">
        <v>4.1900000000000004</v>
      </c>
      <c r="AP151" s="4">
        <v>4.24</v>
      </c>
      <c r="AQ151" s="4">
        <v>4.1399999999999997</v>
      </c>
      <c r="AR151" s="4">
        <v>3.97</v>
      </c>
      <c r="AS151" s="4">
        <v>4</v>
      </c>
      <c r="AT151" s="4">
        <v>3.9</v>
      </c>
      <c r="AU151" s="4">
        <v>3.92</v>
      </c>
      <c r="AV151" s="4">
        <v>3.8</v>
      </c>
      <c r="AW151" s="4">
        <v>3.68</v>
      </c>
      <c r="AX151" s="4">
        <v>3.59</v>
      </c>
      <c r="AY151" s="12">
        <v>3.56</v>
      </c>
      <c r="AZ151" s="12">
        <v>3.71</v>
      </c>
      <c r="BA151" s="12">
        <v>3.68</v>
      </c>
      <c r="BB151" s="15">
        <v>3.94</v>
      </c>
      <c r="BC151" s="52">
        <v>3.91</v>
      </c>
      <c r="BD151" s="52">
        <v>3.83</v>
      </c>
      <c r="BE151" s="52">
        <v>3.67</v>
      </c>
      <c r="BF151" s="52">
        <v>3.64</v>
      </c>
      <c r="BG151" s="67">
        <v>3.64</v>
      </c>
      <c r="BH151" s="52">
        <v>3.5</v>
      </c>
      <c r="BI151" s="52">
        <v>3.58</v>
      </c>
      <c r="BJ151" s="52">
        <v>3.89</v>
      </c>
      <c r="BK151" s="52">
        <v>3.7</v>
      </c>
      <c r="BL151" s="52">
        <v>3.73</v>
      </c>
      <c r="BM151" s="52">
        <v>3.74</v>
      </c>
      <c r="BN151" s="52">
        <v>3.64</v>
      </c>
      <c r="BO151" s="52">
        <v>3.77</v>
      </c>
      <c r="BP151" s="52" cm="1">
        <f t="array" aca="1" ref="BP151" ca="1">_FV(ED151,"Preço")</f>
        <v>3.61</v>
      </c>
      <c r="BQ151" s="69" t="s">
        <v>147</v>
      </c>
      <c r="BR151" s="36" cm="1">
        <f t="array" aca="1" ref="BR151" ca="1">_FV(ED151,"Média de volume",TRUE)</f>
        <v>2169260</v>
      </c>
      <c r="BS151" s="36">
        <v>1901700</v>
      </c>
      <c r="BT151" s="36" cm="1">
        <f t="array" aca="1" ref="BT151" ca="1">_FV(ED151,"Volume")</f>
        <v>1339600</v>
      </c>
      <c r="BU151" s="24" cm="1">
        <f t="array" aca="1" ref="BU151" ca="1">_FV(ED151,"Beta")</f>
        <v>0.41370000000000001</v>
      </c>
      <c r="BV151" s="71" cm="1">
        <f t="array" aca="1" ref="BV151" ca="1">_FV(ED151,"Variação (%)",TRUE)</f>
        <v>0</v>
      </c>
      <c r="BX151" s="17" cm="1">
        <f t="array" aca="1" ref="BX151" ca="1">_FV(ED151,"Baixo")</f>
        <v>3.6</v>
      </c>
      <c r="BY151" s="17" cm="1">
        <f t="array" aca="1" ref="BY151" ca="1">_FV(ED151,"Alto")</f>
        <v>3.68</v>
      </c>
      <c r="BZ151" s="24"/>
      <c r="CA151" s="63">
        <f ca="1">SQRT(22.5*(BP151/VLOOKUP(BQ151,Fundamentus!A:U,3,FALSE))*(BP151/VLOOKUP(BQ151,Fundamentus!A:U,4,FALSE)))</f>
        <v>2.9563692141746332</v>
      </c>
      <c r="CC151" s="62">
        <f t="shared" ca="1" si="168"/>
        <v>-4.2440318302387307E-2</v>
      </c>
      <c r="CD151" s="8"/>
      <c r="CE151" s="61">
        <f t="shared" si="169"/>
        <v>3.5</v>
      </c>
      <c r="CF151" s="61">
        <f t="shared" si="170"/>
        <v>4.72</v>
      </c>
      <c r="CG151" s="61">
        <f t="shared" si="171"/>
        <v>4.0880597014925382</v>
      </c>
      <c r="CH151" s="14"/>
      <c r="CI151" s="35">
        <f t="shared" si="154"/>
        <v>3.6368183692598071</v>
      </c>
      <c r="CJ151" s="15">
        <f t="shared" si="172"/>
        <v>3.7250000000000014</v>
      </c>
      <c r="CK151" s="35">
        <f t="shared" si="155"/>
        <v>3.8131816307401958</v>
      </c>
      <c r="CM151" s="14"/>
      <c r="CN151" s="17">
        <f t="shared" si="156"/>
        <v>2.0533333333333328</v>
      </c>
      <c r="CO151" s="17">
        <f t="shared" si="157"/>
        <v>2.7766666666666664</v>
      </c>
      <c r="CP151" s="17">
        <f t="shared" si="158"/>
        <v>3.2733333333333325</v>
      </c>
      <c r="CQ151" s="38">
        <f t="shared" si="173"/>
        <v>3.9966666666666661</v>
      </c>
      <c r="CR151" s="17">
        <f t="shared" si="159"/>
        <v>4.4933333333333323</v>
      </c>
      <c r="CS151" s="17">
        <f t="shared" si="160"/>
        <v>5.2166666666666659</v>
      </c>
      <c r="CT151" s="17">
        <f t="shared" si="161"/>
        <v>5.713333333333332</v>
      </c>
      <c r="CU151" s="2" cm="1">
        <f t="array" aca="1" ref="CU151" ca="1">MAX(_xlfn._xlws.FILTER(CN151:CT151,CN151:CT151&lt;BP151))</f>
        <v>3.2733333333333325</v>
      </c>
      <c r="CV151" s="2" cm="1">
        <f t="array" aca="1" ref="CV151" ca="1">MIN(_xlfn._xlws.FILTER($CN151:$CT151,$CN151:$CT151&gt;BP151))</f>
        <v>3.9966666666666661</v>
      </c>
      <c r="CW151" s="16">
        <f t="shared" ca="1" si="175"/>
        <v>0.22097759674134432</v>
      </c>
      <c r="CX151" s="20">
        <f t="shared" ca="1" si="176"/>
        <v>-0.11048879837067216</v>
      </c>
      <c r="CY151" s="20">
        <f t="shared" ca="1" si="177"/>
        <v>-7.3659198913781435E-2</v>
      </c>
      <c r="CZ151" s="20">
        <f t="shared" ca="1" si="178"/>
        <v>-4.4195519348268861E-2</v>
      </c>
      <c r="DA151" s="20">
        <f t="shared" ca="1" si="179"/>
        <v>-2.4553066304593814E-2</v>
      </c>
      <c r="DB151" s="20">
        <f t="shared" ca="1" si="180"/>
        <v>-1.2998682161255548E-2</v>
      </c>
      <c r="DC151" s="20">
        <f t="shared" ca="1" si="181"/>
        <v>-6.6962908103437675E-3</v>
      </c>
      <c r="DD151" s="20">
        <f t="shared" ca="1" si="182"/>
        <v>-3.3996553344822203E-3</v>
      </c>
      <c r="DE151" s="21">
        <f t="shared" ca="1" si="183"/>
        <v>3.3996553344822203E-3</v>
      </c>
      <c r="DF151" s="21">
        <f t="shared" ca="1" si="184"/>
        <v>6.6962908103437675E-3</v>
      </c>
      <c r="DG151" s="21">
        <f t="shared" ca="1" si="185"/>
        <v>1.2998682161255548E-2</v>
      </c>
      <c r="DH151" s="21">
        <f t="shared" ca="1" si="186"/>
        <v>2.4553066304593814E-2</v>
      </c>
      <c r="DI151" s="21">
        <f t="shared" ca="1" si="187"/>
        <v>4.4195519348268861E-2</v>
      </c>
      <c r="DJ151" s="21">
        <f t="shared" ca="1" si="188"/>
        <v>7.3659198913781435E-2</v>
      </c>
      <c r="DK151" s="21">
        <f t="shared" ca="1" si="189"/>
        <v>0.11048879837067216</v>
      </c>
      <c r="DM151" s="16" cm="1">
        <f t="array" aca="1" ref="DM151" ca="1">MAX(_xlfn._xlws.FILTER(CX151:DK151,CX151:DK151&lt;BV151))</f>
        <v>-3.3996553344822203E-3</v>
      </c>
      <c r="DN151" s="16" cm="1">
        <f t="array" aca="1" ref="DN151" ca="1">MIN(_xlfn._xlws.FILTER(CX151:DK151,CX151:DK151&gt;BV151))</f>
        <v>3.3996553344822203E-3</v>
      </c>
      <c r="DO151" s="2" cm="1">
        <f t="array" aca="1" ref="DO151" ca="1">_FV(ED151,"Fechamento anterior",TRUE)</f>
        <v>3.61</v>
      </c>
      <c r="DP151" s="28">
        <f t="shared" ca="1" si="162"/>
        <v>0.5</v>
      </c>
      <c r="DQ151" s="15">
        <f t="shared" ca="1" si="190"/>
        <v>3.597727244242519</v>
      </c>
      <c r="DR151" s="15">
        <f t="shared" ca="1" si="191"/>
        <v>3.6222727557574808</v>
      </c>
      <c r="DS151" s="9"/>
      <c r="DT151" s="9"/>
      <c r="DU151" s="9"/>
      <c r="DV151" s="89">
        <v>1.1554384143338266E-2</v>
      </c>
      <c r="DW151" s="89">
        <f t="shared" ca="1" si="163"/>
        <v>6.7993106689644405E-3</v>
      </c>
      <c r="DX151" s="72">
        <f t="shared" ca="1" si="164"/>
        <v>-1.3041264834262474</v>
      </c>
      <c r="DY151" s="37"/>
      <c r="DZ151" s="35">
        <f t="shared" si="174"/>
        <v>4.4090815370097174E-2</v>
      </c>
      <c r="EA151" s="56"/>
      <c r="EB151" s="56"/>
      <c r="ED151" s="2" t="e" vm="153">
        <v>#VALUE!</v>
      </c>
      <c r="EF151" s="10" cm="1">
        <f t="array" aca="1" ref="EF151" ca="1">_FV(ED151,"Ações em circulação",TRUE)</f>
        <v>1235936000</v>
      </c>
      <c r="EG151" s="18">
        <f>VLOOKUP(BQ151,Fundamentus!A:U,5,FALSE)</f>
        <v>1.139</v>
      </c>
      <c r="EH151" s="2">
        <f t="shared" ca="1" si="165"/>
        <v>3917233503.0728707</v>
      </c>
      <c r="EI151" s="17">
        <v>414403155.69446886</v>
      </c>
      <c r="EJ151" s="17">
        <f t="shared" ca="1" si="166"/>
        <v>396815753.86128181</v>
      </c>
      <c r="EL151" s="16">
        <f t="shared" ca="1" si="153"/>
        <v>-4.244031830238737E-2</v>
      </c>
      <c r="EM151" s="32" t="str">
        <f>IF(VLOOKUP(BQ151,Fundamentus!A:U,3,FALSE)&lt;15,"Bom",IF(VLOOKUP(BQ151,Fundamentus!A:U,3,FALSE)&gt;15,"Ruim","n/a"))</f>
        <v>Bom</v>
      </c>
      <c r="EN151" s="28" t="str">
        <f>IF(VLOOKUP(BQ151,Fundamentus!A:U,4,FALSE)&lt;1,"Baixo",IF(VLOOKUP(BQ151,Fundamentus!A:U,4,FALSE)&lt;1.5,"Moderado",IF(VLOOKUP(BQ151,Fundamentus!A:U,4,FALSE)&gt;1.5,"Alto","n/a")))</f>
        <v>Alto</v>
      </c>
      <c r="EO151" s="17" t="str">
        <f>IF(VLOOKUP(BQ151,Fundamentus!A:U,8,FALSE)&lt;0,"Risco elevado",IF(VLOOKUP(BQ151,Fundamentus!A:U,8,FALSE)&lt;1,"Saudável",IF(VLOOKUP(BQ151,Fundamentus!A:U,8,FALSE)&lt;3,"Estável",IF(VLOOKUP(BQ151,Fundamentus!A:U,8,FALSE)&gt;3,"Alerta","n/a"))))</f>
        <v>Alerta</v>
      </c>
      <c r="EP151" s="28" t="str">
        <f t="shared" si="167"/>
        <v>Bom</v>
      </c>
      <c r="EQ151" s="17" t="str">
        <f>IF(VLOOKUP(BQ151,Fundamentus!A:U,12,FALSE)&lt;2,"Subvalorizada",IF(VLOOKUP(BQ151,Fundamentus!A:U,12,FALSE)&lt;6,"Muita barata",IF(VLOOKUP(BQ151,Fundamentus!A:U,12,FALSE)&lt;6,"Barata",IF(VLOOKUP(BQ151,Fundamentus!A:U,12,FALSE)&lt;8,"Atrativa",IF(VLOOKUP(BQ151,Fundamentus!A:U,12,FALSE)&gt;8,"Supervalorizada","n/a")))))</f>
        <v>Muita barata</v>
      </c>
      <c r="ES151" s="17" t="str">
        <f>IF(VLOOKUP(BQ151,Fundamentus!A:U,17,FALSE)&lt;0.1,"Fraco retorno",IF(VLOOKUP(BQ151,Fundamentus!A:U,17,FALSE)&gt;0.1,"Bom retorno","n/a"))</f>
        <v>Bom retorno</v>
      </c>
      <c r="ET151" s="17" t="str">
        <f>IF(VLOOKUP(BQ151,Fundamentus!A:U,16,FALSE)&lt;0.1,"Ineficiente",IF(VLOOKUP(BQ151,Fundamentus!A:U,16,FALSE)&gt;0.1,"Eficiente","n/a"))</f>
        <v>Ineficiente</v>
      </c>
      <c r="EU151" s="33" t="str">
        <f>IF(VLOOKUP(BQ151,Fundamentus!A:U,16,FALSE)&lt;0.1,"Oper. Ineficiente",IF(VLOOKUP(BQ151,Fundamentus!A:U,16,FALSE)&gt;0.1,"Oper.Eficiente","n/a"))</f>
        <v>Oper. Ineficiente</v>
      </c>
      <c r="EV151" s="34">
        <f>VLOOKUP(BQ151,Fundamentus!A:U,14,FALSE)</f>
        <v>0.1013</v>
      </c>
      <c r="EW151" s="17" t="str">
        <f>IF(VLOOKUP(BQ151,Fundamentus!A:U,21,FALSE)&lt;0,"Negativo",IF(VLOOKUP(BQ151,Fundamentus!A:U,21,FALSE)&lt;0.05,"Fraco",IF(VLOOKUP(BQ151,Fundamentus!A:U,21,FALSE)&lt;0.1,"Bom",IF(VLOOKUP(BQ151,Fundamentus!A:U,21,FALSE)&gt;0.1,"Muito bom","n/a"))))</f>
        <v>Bom</v>
      </c>
      <c r="EY151" s="29" t="str">
        <f>IF(VLOOKUP(BQ151,Fundamentus!A:U,15,FALSE)&gt;1,"Bom",IF(VLOOKUP(BQ151,Fundamentus!A:U,15,FALSE)&lt;1,"Ruim","n/a"))</f>
        <v>Bom</v>
      </c>
      <c r="EZ151" s="17" t="str">
        <f>IF(VLOOKUP(BQ151,Fundamentus!A:U,20,FALSE)&lt;0.5,"Baixa",IF(VLOOKUP(BQ151,Fundamentus!A:U,20,FALSE)&lt;1,"Moderada",IF(VLOOKUP(BQ151,Fundamentus!A:U,20,FALSE)&lt;2,"Alerta",IF(VLOOKUP(BQ151,Fundamentus!A:U,20,FALSE)&gt;2,"Alta","n/a"))))</f>
        <v>Alta</v>
      </c>
      <c r="FA151" s="10"/>
    </row>
    <row r="152" spans="1:157" s="2" customFormat="1" ht="11.25" hidden="1" x14ac:dyDescent="0.2">
      <c r="A152" s="4">
        <v>8.7200000000000006</v>
      </c>
      <c r="B152" s="4">
        <v>8.16</v>
      </c>
      <c r="C152" s="4">
        <v>8.7200000000000006</v>
      </c>
      <c r="D152" s="4">
        <v>7.9</v>
      </c>
      <c r="E152" s="4">
        <v>7.85</v>
      </c>
      <c r="F152" s="4">
        <v>8.3800000000000008</v>
      </c>
      <c r="G152" s="4">
        <v>7.76</v>
      </c>
      <c r="H152" s="4">
        <v>7.96</v>
      </c>
      <c r="I152" s="4">
        <v>7.75</v>
      </c>
      <c r="J152" s="4">
        <v>8.48</v>
      </c>
      <c r="K152" s="4">
        <v>8.48</v>
      </c>
      <c r="L152" s="4">
        <v>8.09</v>
      </c>
      <c r="M152" s="4">
        <v>8.31</v>
      </c>
      <c r="N152" s="4">
        <v>8.41</v>
      </c>
      <c r="O152" s="4">
        <v>8.9700000000000006</v>
      </c>
      <c r="P152" s="4">
        <v>9.44</v>
      </c>
      <c r="Q152" s="4">
        <v>9.73</v>
      </c>
      <c r="R152" s="4">
        <v>9.4600000000000009</v>
      </c>
      <c r="S152" s="4">
        <v>9.35</v>
      </c>
      <c r="T152" s="4">
        <v>9.24</v>
      </c>
      <c r="U152" s="4">
        <v>8.76</v>
      </c>
      <c r="V152" s="4">
        <v>8.98</v>
      </c>
      <c r="W152" s="4">
        <v>8.39</v>
      </c>
      <c r="X152" s="4">
        <v>8.4</v>
      </c>
      <c r="Y152" s="4">
        <v>8.58</v>
      </c>
      <c r="Z152" s="4">
        <v>8.51</v>
      </c>
      <c r="AA152" s="4">
        <v>8.49</v>
      </c>
      <c r="AB152" s="4">
        <v>8.67</v>
      </c>
      <c r="AC152" s="4">
        <v>8.6999999999999993</v>
      </c>
      <c r="AD152" s="4">
        <v>8.57</v>
      </c>
      <c r="AE152" s="4">
        <v>7.9</v>
      </c>
      <c r="AF152" s="4">
        <v>7.67</v>
      </c>
      <c r="AG152" s="4">
        <v>7.42</v>
      </c>
      <c r="AH152" s="4">
        <v>7.09</v>
      </c>
      <c r="AI152" s="4">
        <v>7.29</v>
      </c>
      <c r="AJ152" s="4">
        <v>7.1</v>
      </c>
      <c r="AK152" s="4">
        <v>6.95</v>
      </c>
      <c r="AL152" s="4">
        <v>7.18</v>
      </c>
      <c r="AM152" s="4">
        <v>7.29</v>
      </c>
      <c r="AN152" s="4">
        <v>8.0500000000000007</v>
      </c>
      <c r="AO152" s="4">
        <v>8.36</v>
      </c>
      <c r="AP152" s="4">
        <v>8.34</v>
      </c>
      <c r="AQ152" s="4">
        <v>8.11</v>
      </c>
      <c r="AR152" s="4">
        <v>7.56</v>
      </c>
      <c r="AS152" s="4">
        <v>7.81</v>
      </c>
      <c r="AT152" s="4">
        <v>8.31</v>
      </c>
      <c r="AU152" s="4">
        <v>8.5399999999999991</v>
      </c>
      <c r="AV152" s="4">
        <v>8.09</v>
      </c>
      <c r="AW152" s="4">
        <v>7.8</v>
      </c>
      <c r="AX152" s="4">
        <v>7.34</v>
      </c>
      <c r="AY152" s="12">
        <v>7.65</v>
      </c>
      <c r="AZ152" s="12">
        <v>8.25</v>
      </c>
      <c r="BA152" s="12">
        <v>8.39</v>
      </c>
      <c r="BB152" s="15">
        <v>8.99</v>
      </c>
      <c r="BC152" s="52">
        <v>8.77</v>
      </c>
      <c r="BD152" s="52">
        <v>8.8000000000000007</v>
      </c>
      <c r="BE152" s="52">
        <v>8.44</v>
      </c>
      <c r="BF152" s="52">
        <v>8.64</v>
      </c>
      <c r="BG152" s="67">
        <v>8.8000000000000007</v>
      </c>
      <c r="BH152" s="52">
        <v>9</v>
      </c>
      <c r="BI152" s="52">
        <v>9.39</v>
      </c>
      <c r="BJ152" s="52">
        <v>9.41</v>
      </c>
      <c r="BK152" s="52">
        <v>8.99</v>
      </c>
      <c r="BL152" s="52">
        <v>8.8699999999999992</v>
      </c>
      <c r="BM152" s="52">
        <v>8.66</v>
      </c>
      <c r="BN152" s="52">
        <v>8.8699999999999992</v>
      </c>
      <c r="BO152" s="52">
        <v>9.32</v>
      </c>
      <c r="BP152" s="52" cm="1">
        <f t="array" aca="1" ref="BP152" ca="1">_FV(ED152,"Preço")</f>
        <v>9.85</v>
      </c>
      <c r="BQ152" s="69" t="s">
        <v>148</v>
      </c>
      <c r="BR152" s="36" cm="1">
        <f t="array" aca="1" ref="BR152" ca="1">_FV(ED152,"Média de volume",TRUE)</f>
        <v>11213410</v>
      </c>
      <c r="BS152" s="36">
        <v>9000</v>
      </c>
      <c r="BT152" s="36" cm="1">
        <f t="array" aca="1" ref="BT152" ca="1">_FV(ED152,"Volume")</f>
        <v>3000</v>
      </c>
      <c r="BU152" s="24" cm="1">
        <f t="array" aca="1" ref="BU152" ca="1">_FV(ED152,"Beta")</f>
        <v>1.3865000000000001</v>
      </c>
      <c r="BV152" s="71" cm="1">
        <f t="array" aca="1" ref="BV152" ca="1">_FV(ED152,"Variação (%)",TRUE)</f>
        <v>-1.1044E-2</v>
      </c>
      <c r="BX152" s="17" cm="1">
        <f t="array" aca="1" ref="BX152" ca="1">_FV(ED152,"Baixo")</f>
        <v>9.84</v>
      </c>
      <c r="BY152" s="17" cm="1">
        <f t="array" aca="1" ref="BY152" ca="1">_FV(ED152,"Alto")</f>
        <v>10.01</v>
      </c>
      <c r="BZ152" s="24"/>
      <c r="CA152" s="63">
        <f ca="1">SQRT(22.5*(BP152/VLOOKUP(BQ152,Fundamentus!A:U,3,FALSE))*(BP152/VLOOKUP(BQ152,Fundamentus!A:U,4,FALSE)))</f>
        <v>12.270138892852366</v>
      </c>
      <c r="CC152" s="62">
        <f t="shared" ca="1" si="168"/>
        <v>5.6866952789699499E-2</v>
      </c>
      <c r="CD152" s="8"/>
      <c r="CE152" s="61">
        <f t="shared" si="169"/>
        <v>6.95</v>
      </c>
      <c r="CF152" s="61">
        <f t="shared" si="170"/>
        <v>9.73</v>
      </c>
      <c r="CG152" s="61">
        <f t="shared" si="171"/>
        <v>8.3679104477611954</v>
      </c>
      <c r="CH152" s="14"/>
      <c r="CI152" s="35">
        <f t="shared" si="154"/>
        <v>8.8863365360097131</v>
      </c>
      <c r="CJ152" s="15">
        <f t="shared" si="172"/>
        <v>9.3199999999999363</v>
      </c>
      <c r="CK152" s="35">
        <f t="shared" si="155"/>
        <v>9.7536634639901596</v>
      </c>
      <c r="CM152" s="14"/>
      <c r="CN152" s="17">
        <f t="shared" si="156"/>
        <v>4.8233333333333315</v>
      </c>
      <c r="CO152" s="17">
        <f t="shared" si="157"/>
        <v>5.8866666666666658</v>
      </c>
      <c r="CP152" s="17">
        <f t="shared" si="158"/>
        <v>7.6033333333333317</v>
      </c>
      <c r="CQ152" s="38">
        <f t="shared" si="173"/>
        <v>8.6666666666666661</v>
      </c>
      <c r="CR152" s="17">
        <f t="shared" si="159"/>
        <v>10.383333333333333</v>
      </c>
      <c r="CS152" s="17">
        <f t="shared" si="160"/>
        <v>11.446666666666665</v>
      </c>
      <c r="CT152" s="17">
        <f t="shared" si="161"/>
        <v>13.163333333333332</v>
      </c>
      <c r="CU152" s="2" cm="1">
        <f t="array" aca="1" ref="CU152" ca="1">MAX(_xlfn._xlws.FILTER(CN152:CT152,CN152:CT152&lt;BP152))</f>
        <v>8.6666666666666661</v>
      </c>
      <c r="CV152" s="2" cm="1">
        <f t="array" aca="1" ref="CV152" ca="1">MIN(_xlfn._xlws.FILTER($CN152:$CT152,$CN152:$CT152&gt;BP152))</f>
        <v>10.383333333333333</v>
      </c>
      <c r="CW152" s="16">
        <f t="shared" ca="1" si="175"/>
        <v>0.19807692307692304</v>
      </c>
      <c r="CX152" s="20">
        <f t="shared" ca="1" si="176"/>
        <v>-9.903846153846152E-2</v>
      </c>
      <c r="CY152" s="20">
        <f t="shared" ca="1" si="177"/>
        <v>-6.6025641025641013E-2</v>
      </c>
      <c r="CZ152" s="20">
        <f t="shared" ca="1" si="178"/>
        <v>-3.9615384615384608E-2</v>
      </c>
      <c r="DA152" s="20">
        <f t="shared" ca="1" si="179"/>
        <v>-2.2008547008547003E-2</v>
      </c>
      <c r="DB152" s="20">
        <f t="shared" ca="1" si="180"/>
        <v>-1.1651583710407238E-2</v>
      </c>
      <c r="DC152" s="20">
        <f t="shared" ca="1" si="181"/>
        <v>-6.0023310023310014E-3</v>
      </c>
      <c r="DD152" s="20">
        <f t="shared" ca="1" si="182"/>
        <v>-3.0473372781065081E-3</v>
      </c>
      <c r="DE152" s="21">
        <f t="shared" ca="1" si="183"/>
        <v>3.0473372781065081E-3</v>
      </c>
      <c r="DF152" s="21">
        <f t="shared" ca="1" si="184"/>
        <v>6.0023310023310014E-3</v>
      </c>
      <c r="DG152" s="21">
        <f t="shared" ca="1" si="185"/>
        <v>1.1651583710407238E-2</v>
      </c>
      <c r="DH152" s="21">
        <f t="shared" ca="1" si="186"/>
        <v>2.2008547008547003E-2</v>
      </c>
      <c r="DI152" s="21">
        <f t="shared" ca="1" si="187"/>
        <v>3.9615384615384608E-2</v>
      </c>
      <c r="DJ152" s="21">
        <f t="shared" ca="1" si="188"/>
        <v>6.6025641025641013E-2</v>
      </c>
      <c r="DK152" s="21">
        <f t="shared" ca="1" si="189"/>
        <v>9.903846153846152E-2</v>
      </c>
      <c r="DM152" s="16" cm="1">
        <f t="array" aca="1" ref="DM152" ca="1">MAX(_xlfn._xlws.FILTER(CX152:DK152,CX152:DK152&lt;BV152))</f>
        <v>-1.1651583710407238E-2</v>
      </c>
      <c r="DN152" s="16" cm="1">
        <f t="array" aca="1" ref="DN152" ca="1">MIN(_xlfn._xlws.FILTER(CX152:DK152,CX152:DK152&gt;BV152))</f>
        <v>-6.0023310023310014E-3</v>
      </c>
      <c r="DO152" s="2" cm="1">
        <f t="array" aca="1" ref="DO152" ca="1">_FV(ED152,"Fechamento anterior",TRUE)</f>
        <v>9.9600000000000009</v>
      </c>
      <c r="DP152" s="28">
        <f t="shared" ca="1" si="162"/>
        <v>0.10751988536667646</v>
      </c>
      <c r="DQ152" s="15">
        <f t="shared" ca="1" si="190"/>
        <v>9.8439502262443455</v>
      </c>
      <c r="DR152" s="15">
        <f t="shared" ca="1" si="191"/>
        <v>9.9002167832167842</v>
      </c>
      <c r="DS152" s="9"/>
      <c r="DT152" s="9"/>
      <c r="DU152" s="9"/>
      <c r="DV152" s="89">
        <v>1.0356963298139765E-2</v>
      </c>
      <c r="DW152" s="89">
        <f t="shared" ca="1" si="163"/>
        <v>5.649252708076237E-3</v>
      </c>
      <c r="DX152" s="72">
        <f t="shared" ca="1" si="164"/>
        <v>1.2221458435152193</v>
      </c>
      <c r="DY152" s="37"/>
      <c r="DZ152" s="35">
        <f t="shared" si="174"/>
        <v>0.21683173199511199</v>
      </c>
      <c r="EA152" s="56"/>
      <c r="EB152" s="56"/>
      <c r="ED152" s="2" t="e" vm="154">
        <v>#VALUE!</v>
      </c>
      <c r="EF152" s="10" cm="1">
        <f t="array" aca="1" ref="EF152" ca="1">_FV(ED152,"Ações em circulação",TRUE)</f>
        <v>10108690000</v>
      </c>
      <c r="EG152" s="18">
        <f>VLOOKUP(BQ152,Fundamentus!A:U,5,FALSE)</f>
        <v>0</v>
      </c>
      <c r="EH152" s="2" t="e">
        <f t="shared" ca="1" si="165"/>
        <v>#DIV/0!</v>
      </c>
      <c r="EI152" s="17" t="e">
        <v>#DIV/0!</v>
      </c>
      <c r="EJ152" s="17" t="e">
        <f t="shared" ca="1" si="166"/>
        <v>#DIV/0!</v>
      </c>
      <c r="EL152" s="16" t="e">
        <f t="shared" ca="1" si="153"/>
        <v>#DIV/0!</v>
      </c>
      <c r="EM152" s="32" t="str">
        <f>IF(VLOOKUP(BQ152,Fundamentus!A:U,3,FALSE)&lt;15,"Bom",IF(VLOOKUP(BQ152,Fundamentus!A:U,3,FALSE)&gt;15,"Ruim","n/a"))</f>
        <v>Bom</v>
      </c>
      <c r="EN152" s="28" t="str">
        <f>IF(VLOOKUP(BQ152,Fundamentus!A:U,4,FALSE)&lt;1,"Baixo",IF(VLOOKUP(BQ152,Fundamentus!A:U,4,FALSE)&lt;1.5,"Moderado",IF(VLOOKUP(BQ152,Fundamentus!A:U,4,FALSE)&gt;1.5,"Alto","n/a")))</f>
        <v>Alto</v>
      </c>
      <c r="EO152" s="17" t="str">
        <f>IF(VLOOKUP(BQ152,Fundamentus!A:U,8,FALSE)&lt;0,"Risco elevado",IF(VLOOKUP(BQ152,Fundamentus!A:U,8,FALSE)&lt;1,"Saudável",IF(VLOOKUP(BQ152,Fundamentus!A:U,8,FALSE)&lt;3,"Estável",IF(VLOOKUP(BQ152,Fundamentus!A:U,8,FALSE)&gt;3,"Alerta","n/a"))))</f>
        <v>Saudável</v>
      </c>
      <c r="EP152" s="28" t="str">
        <f t="shared" si="167"/>
        <v>Ruim</v>
      </c>
      <c r="EQ152" s="17" t="str">
        <f>IF(VLOOKUP(BQ152,Fundamentus!A:U,12,FALSE)&lt;2,"Subvalorizada",IF(VLOOKUP(BQ152,Fundamentus!A:U,12,FALSE)&lt;6,"Muita barata",IF(VLOOKUP(BQ152,Fundamentus!A:U,12,FALSE)&lt;6,"Barata",IF(VLOOKUP(BQ152,Fundamentus!A:U,12,FALSE)&lt;8,"Atrativa",IF(VLOOKUP(BQ152,Fundamentus!A:U,12,FALSE)&gt;8,"Supervalorizada","n/a")))))</f>
        <v>Subvalorizada</v>
      </c>
      <c r="ES152" s="17" t="str">
        <f>IF(VLOOKUP(BQ152,Fundamentus!A:U,17,FALSE)&lt;0.1,"Fraco retorno",IF(VLOOKUP(BQ152,Fundamentus!A:U,17,FALSE)&gt;0.1,"Bom retorno","n/a"))</f>
        <v>Bom retorno</v>
      </c>
      <c r="ET152" s="17" t="str">
        <f>IF(VLOOKUP(BQ152,Fundamentus!A:U,16,FALSE)&lt;0.1,"Ineficiente",IF(VLOOKUP(BQ152,Fundamentus!A:U,16,FALSE)&gt;0.1,"Eficiente","n/a"))</f>
        <v>Ineficiente</v>
      </c>
      <c r="EU152" s="33" t="str">
        <f>IF(VLOOKUP(BQ152,Fundamentus!A:U,16,FALSE)&lt;0.1,"Oper. Ineficiente",IF(VLOOKUP(BQ152,Fundamentus!A:U,16,FALSE)&gt;0.1,"Oper.Eficiente","n/a"))</f>
        <v>Oper. Ineficiente</v>
      </c>
      <c r="EV152" s="34">
        <f>VLOOKUP(BQ152,Fundamentus!A:U,14,FALSE)</f>
        <v>0</v>
      </c>
      <c r="EW152" s="17" t="str">
        <f>IF(VLOOKUP(BQ152,Fundamentus!A:U,21,FALSE)&lt;0,"Negativo",IF(VLOOKUP(BQ152,Fundamentus!A:U,21,FALSE)&lt;0.05,"Fraco",IF(VLOOKUP(BQ152,Fundamentus!A:U,21,FALSE)&lt;0.1,"Bom",IF(VLOOKUP(BQ152,Fundamentus!A:U,21,FALSE)&gt;0.1,"Muito bom","n/a"))))</f>
        <v>Muito bom</v>
      </c>
      <c r="EY152" s="29" t="str">
        <f>IF(VLOOKUP(BQ152,Fundamentus!A:U,15,FALSE)&gt;1,"Bom",IF(VLOOKUP(BQ152,Fundamentus!A:U,15,FALSE)&lt;1,"Ruim","n/a"))</f>
        <v>Ruim</v>
      </c>
      <c r="EZ152" s="17" t="str">
        <f>IF(VLOOKUP(BQ152,Fundamentus!A:U,20,FALSE)&lt;0.5,"Baixa",IF(VLOOKUP(BQ152,Fundamentus!A:U,20,FALSE)&lt;1,"Moderada",IF(VLOOKUP(BQ152,Fundamentus!A:U,20,FALSE)&lt;2,"Alerta",IF(VLOOKUP(BQ152,Fundamentus!A:U,20,FALSE)&gt;2,"Alta","n/a"))))</f>
        <v>Baixa</v>
      </c>
      <c r="FA152" s="10"/>
    </row>
    <row r="153" spans="1:157" s="2" customFormat="1" ht="11.25" hidden="1" x14ac:dyDescent="0.2">
      <c r="A153" s="4">
        <v>24.7</v>
      </c>
      <c r="B153" s="4">
        <v>24.65</v>
      </c>
      <c r="C153" s="4">
        <v>25.8</v>
      </c>
      <c r="D153" s="4">
        <v>25.16</v>
      </c>
      <c r="E153" s="4">
        <v>24.69</v>
      </c>
      <c r="F153" s="4">
        <v>26.24</v>
      </c>
      <c r="G153" s="4">
        <v>25.27</v>
      </c>
      <c r="H153" s="4">
        <v>25.26</v>
      </c>
      <c r="I153" s="4">
        <v>26.59</v>
      </c>
      <c r="J153" s="4">
        <v>26.79</v>
      </c>
      <c r="K153" s="4">
        <v>27.77</v>
      </c>
      <c r="L153" s="4">
        <v>28.41</v>
      </c>
      <c r="M153" s="4">
        <v>28.3</v>
      </c>
      <c r="N153" s="4">
        <v>27.24</v>
      </c>
      <c r="O153" s="4">
        <v>28.87</v>
      </c>
      <c r="P153" s="4">
        <v>29.1</v>
      </c>
      <c r="Q153" s="4">
        <v>29</v>
      </c>
      <c r="R153" s="4">
        <v>28.93</v>
      </c>
      <c r="S153" s="4">
        <v>31</v>
      </c>
      <c r="T153" s="4">
        <v>33.46</v>
      </c>
      <c r="U153" s="4">
        <v>31.87</v>
      </c>
      <c r="V153" s="4">
        <v>30.65</v>
      </c>
      <c r="W153" s="4">
        <v>30.05</v>
      </c>
      <c r="X153" s="4">
        <v>29.05</v>
      </c>
      <c r="Y153" s="4">
        <v>29.92</v>
      </c>
      <c r="Z153" s="4">
        <v>30.71</v>
      </c>
      <c r="AA153" s="4">
        <v>30.65</v>
      </c>
      <c r="AB153" s="4">
        <v>30.48</v>
      </c>
      <c r="AC153" s="4">
        <v>30</v>
      </c>
      <c r="AD153" s="4">
        <v>31.54</v>
      </c>
      <c r="AE153" s="4">
        <v>28.95</v>
      </c>
      <c r="AF153" s="4">
        <v>29.81</v>
      </c>
      <c r="AG153" s="4">
        <v>28.21</v>
      </c>
      <c r="AH153" s="4">
        <v>27.24</v>
      </c>
      <c r="AI153" s="4">
        <v>26.88</v>
      </c>
      <c r="AJ153" s="4">
        <v>26.56</v>
      </c>
      <c r="AK153" s="4">
        <v>24.15</v>
      </c>
      <c r="AL153" s="4">
        <v>25.31</v>
      </c>
      <c r="AM153" s="4">
        <v>26.76</v>
      </c>
      <c r="AN153" s="4">
        <v>28.78</v>
      </c>
      <c r="AO153" s="4">
        <v>29.73</v>
      </c>
      <c r="AP153" s="4">
        <v>31.16</v>
      </c>
      <c r="AQ153" s="4">
        <v>32.4</v>
      </c>
      <c r="AR153" s="4">
        <v>29.35</v>
      </c>
      <c r="AS153" s="4">
        <v>30.42</v>
      </c>
      <c r="AT153" s="4">
        <v>30</v>
      </c>
      <c r="AU153" s="4">
        <v>31.6</v>
      </c>
      <c r="AV153" s="4">
        <v>31.8</v>
      </c>
      <c r="AW153" s="4">
        <v>32.4</v>
      </c>
      <c r="AX153" s="4">
        <v>32.299999999999997</v>
      </c>
      <c r="AY153" s="12">
        <v>34.32</v>
      </c>
      <c r="AZ153" s="12">
        <v>35.869999999999997</v>
      </c>
      <c r="BA153" s="12">
        <v>36.35</v>
      </c>
      <c r="BB153" s="15">
        <v>37.97</v>
      </c>
      <c r="BC153" s="52">
        <v>38.15</v>
      </c>
      <c r="BD153" s="52">
        <v>39.479999999999997</v>
      </c>
      <c r="BE153" s="52">
        <v>40.659999999999997</v>
      </c>
      <c r="BF153" s="52">
        <v>40.71</v>
      </c>
      <c r="BG153" s="67">
        <v>39.46</v>
      </c>
      <c r="BH153" s="52">
        <v>42.15</v>
      </c>
      <c r="BI153" s="52">
        <v>42.44</v>
      </c>
      <c r="BJ153" s="52">
        <v>41.09</v>
      </c>
      <c r="BK153" s="52">
        <v>39.590000000000003</v>
      </c>
      <c r="BL153" s="52">
        <v>40.26</v>
      </c>
      <c r="BM153" s="52">
        <v>38.299999999999997</v>
      </c>
      <c r="BN153" s="52">
        <v>39.22</v>
      </c>
      <c r="BO153" s="52">
        <v>41.08</v>
      </c>
      <c r="BP153" s="52" cm="1">
        <f t="array" aca="1" ref="BP153" ca="1">_FV(ED153,"Preço")</f>
        <v>14.23</v>
      </c>
      <c r="BQ153" s="69" t="s">
        <v>120</v>
      </c>
      <c r="BR153" s="36" cm="1">
        <f t="array" aca="1" ref="BR153" ca="1">_FV(ED153,"Média de volume",TRUE)</f>
        <v>5121130</v>
      </c>
      <c r="BS153" s="36">
        <v>1770000</v>
      </c>
      <c r="BT153" s="36" cm="1">
        <f t="array" aca="1" ref="BT153" ca="1">_FV(ED153,"Volume")</f>
        <v>2443800</v>
      </c>
      <c r="BU153" s="24" cm="1">
        <f t="array" aca="1" ref="BU153" ca="1">_FV(ED153,"Beta")</f>
        <v>1.0359</v>
      </c>
      <c r="BV153" s="71" cm="1">
        <f t="array" aca="1" ref="BV153" ca="1">_FV(ED153,"Variação (%)",TRUE)</f>
        <v>5.6540000000000002E-3</v>
      </c>
      <c r="BX153" s="17" cm="1">
        <f t="array" aca="1" ref="BX153" ca="1">_FV(ED153,"Baixo")</f>
        <v>14</v>
      </c>
      <c r="BY153" s="17" cm="1">
        <f t="array" aca="1" ref="BY153" ca="1">_FV(ED153,"Alto")</f>
        <v>14.31</v>
      </c>
      <c r="BZ153" s="24"/>
      <c r="CA153" s="63">
        <f ca="1">SQRT(22.5*(BP153/VLOOKUP(BQ153,Fundamentus!A:U,3,FALSE))*(BP153/VLOOKUP(BQ153,Fundamentus!A:U,4,FALSE)))</f>
        <v>11.73670618652625</v>
      </c>
      <c r="CC153" s="62">
        <f t="shared" ca="1" si="168"/>
        <v>-0.65360272638753647</v>
      </c>
      <c r="CD153" s="8"/>
      <c r="CE153" s="61">
        <f t="shared" si="169"/>
        <v>24.15</v>
      </c>
      <c r="CF153" s="61">
        <f t="shared" si="170"/>
        <v>42.44</v>
      </c>
      <c r="CG153" s="61">
        <f t="shared" si="171"/>
        <v>31.38895522388059</v>
      </c>
      <c r="CH153" s="14"/>
      <c r="CI153" s="35">
        <f t="shared" si="154"/>
        <v>38.679574516233039</v>
      </c>
      <c r="CJ153" s="15">
        <f t="shared" si="172"/>
        <v>40.559999999999945</v>
      </c>
      <c r="CK153" s="35">
        <f t="shared" si="155"/>
        <v>42.440425483766852</v>
      </c>
      <c r="CM153" s="14"/>
      <c r="CN153" s="17">
        <f t="shared" si="156"/>
        <v>11.050000000000004</v>
      </c>
      <c r="CO153" s="17">
        <f t="shared" si="157"/>
        <v>17.600000000000001</v>
      </c>
      <c r="CP153" s="17">
        <f t="shared" si="158"/>
        <v>29.340000000000003</v>
      </c>
      <c r="CQ153" s="38">
        <f t="shared" si="173"/>
        <v>35.89</v>
      </c>
      <c r="CR153" s="17">
        <f t="shared" si="159"/>
        <v>47.63</v>
      </c>
      <c r="CS153" s="17">
        <f t="shared" si="160"/>
        <v>54.18</v>
      </c>
      <c r="CT153" s="17">
        <f t="shared" si="161"/>
        <v>65.92</v>
      </c>
      <c r="CU153" s="2" cm="1">
        <f t="array" aca="1" ref="CU153" ca="1">MAX(_xlfn._xlws.FILTER(CN153:CT153,CN153:CT153&lt;BP153))</f>
        <v>11.050000000000004</v>
      </c>
      <c r="CV153" s="2" cm="1">
        <f t="array" aca="1" ref="CV153" ca="1">MIN(_xlfn._xlws.FILTER($CN153:$CT153,$CN153:$CT153&gt;BP153))</f>
        <v>17.600000000000001</v>
      </c>
      <c r="CW153" s="16">
        <f t="shared" ca="1" si="175"/>
        <v>0.59276018099547456</v>
      </c>
      <c r="CX153" s="20">
        <f t="shared" ca="1" si="176"/>
        <v>-0.29638009049773728</v>
      </c>
      <c r="CY153" s="20">
        <f t="shared" ca="1" si="177"/>
        <v>-0.19758672699849153</v>
      </c>
      <c r="CZ153" s="20">
        <f t="shared" ca="1" si="178"/>
        <v>-0.11855203619909491</v>
      </c>
      <c r="DA153" s="20">
        <f t="shared" ca="1" si="179"/>
        <v>-6.5862242332830501E-2</v>
      </c>
      <c r="DB153" s="20">
        <f t="shared" ca="1" si="180"/>
        <v>-3.4868245940910265E-2</v>
      </c>
      <c r="DC153" s="20">
        <f t="shared" ca="1" si="181"/>
        <v>-1.7962429727135593E-2</v>
      </c>
      <c r="DD153" s="20">
        <f t="shared" ca="1" si="182"/>
        <v>-9.1193873999303784E-3</v>
      </c>
      <c r="DE153" s="21">
        <f t="shared" ca="1" si="183"/>
        <v>9.1193873999303784E-3</v>
      </c>
      <c r="DF153" s="21">
        <f t="shared" ca="1" si="184"/>
        <v>1.7962429727135593E-2</v>
      </c>
      <c r="DG153" s="21">
        <f t="shared" ca="1" si="185"/>
        <v>3.4868245940910265E-2</v>
      </c>
      <c r="DH153" s="21">
        <f t="shared" ca="1" si="186"/>
        <v>6.5862242332830501E-2</v>
      </c>
      <c r="DI153" s="21">
        <f t="shared" ca="1" si="187"/>
        <v>0.11855203619909491</v>
      </c>
      <c r="DJ153" s="21">
        <f t="shared" ca="1" si="188"/>
        <v>0.19758672699849153</v>
      </c>
      <c r="DK153" s="21">
        <f t="shared" ca="1" si="189"/>
        <v>0.29638009049773728</v>
      </c>
      <c r="DM153" s="16" cm="1">
        <f t="array" aca="1" ref="DM153" ca="1">MAX(_xlfn._xlws.FILTER(CX153:DK153,CX153:DK153&lt;BV153))</f>
        <v>-9.1193873999303784E-3</v>
      </c>
      <c r="DN153" s="16" cm="1">
        <f t="array" aca="1" ref="DN153" ca="1">MIN(_xlfn._xlws.FILTER(CX153:DK153,CX153:DK153&gt;BV153))</f>
        <v>9.1193873999303784E-3</v>
      </c>
      <c r="DO153" s="2" cm="1">
        <f t="array" aca="1" ref="DO153" ca="1">_FV(ED153,"Fechamento anterior",TRUE)</f>
        <v>14.15</v>
      </c>
      <c r="DP153" s="28">
        <f t="shared" ca="1" si="162"/>
        <v>0.809983006500689</v>
      </c>
      <c r="DQ153" s="15">
        <f t="shared" ca="1" si="190"/>
        <v>14.020960668290986</v>
      </c>
      <c r="DR153" s="15">
        <f t="shared" ca="1" si="191"/>
        <v>14.279039331709015</v>
      </c>
      <c r="DS153" s="9"/>
      <c r="DT153" s="9"/>
      <c r="DU153" s="9"/>
      <c r="DV153" s="89">
        <v>4.8799718902811685E-3</v>
      </c>
      <c r="DW153" s="89">
        <f t="shared" ca="1" si="163"/>
        <v>1.8238774799860757E-2</v>
      </c>
      <c r="DX153" s="72">
        <f t="shared" ca="1" si="164"/>
        <v>-14.002150166171518</v>
      </c>
      <c r="DY153" s="37"/>
      <c r="DZ153" s="35">
        <f t="shared" si="174"/>
        <v>0.94021274188345283</v>
      </c>
      <c r="EA153" s="56"/>
      <c r="EB153" s="56"/>
      <c r="ED153" s="2" t="e" vm="155">
        <v>#VALUE!</v>
      </c>
      <c r="EF153" s="10" cm="1">
        <f t="array" aca="1" ref="EF153" ca="1">_FV(ED153,"Ações em circulação",TRUE)</f>
        <v>520500000</v>
      </c>
      <c r="EG153" s="18">
        <f>VLOOKUP(BQ153,Fundamentus!A:U,5,FALSE)</f>
        <v>1.9179999999999999</v>
      </c>
      <c r="EH153" s="2">
        <f t="shared" ca="1" si="165"/>
        <v>3861686652.7632952</v>
      </c>
      <c r="EI153" s="17">
        <v>779998468.19603753</v>
      </c>
      <c r="EJ153" s="17">
        <f t="shared" ca="1" si="166"/>
        <v>810568028.4150157</v>
      </c>
      <c r="EL153" s="16">
        <f t="shared" ca="1" si="153"/>
        <v>3.9191820837390479E-2</v>
      </c>
      <c r="EM153" s="32" t="str">
        <f>IF(VLOOKUP(BQ153,Fundamentus!A:U,3,FALSE)&lt;15,"Bom",IF(VLOOKUP(BQ153,Fundamentus!A:U,3,FALSE)&gt;15,"Ruim","n/a"))</f>
        <v>Bom</v>
      </c>
      <c r="EN153" s="28" t="str">
        <f>IF(VLOOKUP(BQ153,Fundamentus!A:U,4,FALSE)&lt;1,"Baixo",IF(VLOOKUP(BQ153,Fundamentus!A:U,4,FALSE)&lt;1.5,"Moderado",IF(VLOOKUP(BQ153,Fundamentus!A:U,4,FALSE)&gt;1.5,"Alto","n/a")))</f>
        <v>Alto</v>
      </c>
      <c r="EO153" s="17" t="str">
        <f>IF(VLOOKUP(BQ153,Fundamentus!A:U,8,FALSE)&lt;0,"Risco elevado",IF(VLOOKUP(BQ153,Fundamentus!A:U,8,FALSE)&lt;1,"Saudável",IF(VLOOKUP(BQ153,Fundamentus!A:U,8,FALSE)&lt;3,"Estável",IF(VLOOKUP(BQ153,Fundamentus!A:U,8,FALSE)&gt;3,"Alerta","n/a"))))</f>
        <v>Estável</v>
      </c>
      <c r="EP153" s="28" t="str">
        <f t="shared" si="167"/>
        <v>Bom</v>
      </c>
      <c r="EQ153" s="17" t="str">
        <f>IF(VLOOKUP(BQ153,Fundamentus!A:U,12,FALSE)&lt;2,"Subvalorizada",IF(VLOOKUP(BQ153,Fundamentus!A:U,12,FALSE)&lt;6,"Muita barata",IF(VLOOKUP(BQ153,Fundamentus!A:U,12,FALSE)&lt;6,"Barata",IF(VLOOKUP(BQ153,Fundamentus!A:U,12,FALSE)&lt;8,"Atrativa",IF(VLOOKUP(BQ153,Fundamentus!A:U,12,FALSE)&gt;8,"Supervalorizada","n/a")))))</f>
        <v>Supervalorizada</v>
      </c>
      <c r="ES153" s="17" t="str">
        <f>IF(VLOOKUP(BQ153,Fundamentus!A:U,17,FALSE)&lt;0.1,"Fraco retorno",IF(VLOOKUP(BQ153,Fundamentus!A:U,17,FALSE)&gt;0.1,"Bom retorno","n/a"))</f>
        <v>Bom retorno</v>
      </c>
      <c r="ET153" s="17" t="str">
        <f>IF(VLOOKUP(BQ153,Fundamentus!A:U,16,FALSE)&lt;0.1,"Ineficiente",IF(VLOOKUP(BQ153,Fundamentus!A:U,16,FALSE)&gt;0.1,"Eficiente","n/a"))</f>
        <v>Ineficiente</v>
      </c>
      <c r="EU153" s="33" t="str">
        <f>IF(VLOOKUP(BQ153,Fundamentus!A:U,16,FALSE)&lt;0.1,"Oper. Ineficiente",IF(VLOOKUP(BQ153,Fundamentus!A:U,16,FALSE)&gt;0.1,"Oper.Eficiente","n/a"))</f>
        <v>Oper. Ineficiente</v>
      </c>
      <c r="EV153" s="34">
        <f>VLOOKUP(BQ153,Fundamentus!A:U,14,FALSE)</f>
        <v>0.2099</v>
      </c>
      <c r="EW153" s="17" t="str">
        <f>IF(VLOOKUP(BQ153,Fundamentus!A:U,21,FALSE)&lt;0,"Negativo",IF(VLOOKUP(BQ153,Fundamentus!A:U,21,FALSE)&lt;0.05,"Fraco",IF(VLOOKUP(BQ153,Fundamentus!A:U,21,FALSE)&lt;0.1,"Bom",IF(VLOOKUP(BQ153,Fundamentus!A:U,21,FALSE)&gt;0.1,"Muito bom","n/a"))))</f>
        <v>Muito bom</v>
      </c>
      <c r="EY153" s="29" t="str">
        <f>IF(VLOOKUP(BQ153,Fundamentus!A:U,15,FALSE)&gt;1,"Bom",IF(VLOOKUP(BQ153,Fundamentus!A:U,15,FALSE)&lt;1,"Ruim","n/a"))</f>
        <v>Bom</v>
      </c>
      <c r="EZ153" s="17" t="str">
        <f>IF(VLOOKUP(BQ153,Fundamentus!A:U,20,FALSE)&lt;0.5,"Baixa",IF(VLOOKUP(BQ153,Fundamentus!A:U,20,FALSE)&lt;1,"Moderada",IF(VLOOKUP(BQ153,Fundamentus!A:U,20,FALSE)&lt;2,"Alerta",IF(VLOOKUP(BQ153,Fundamentus!A:U,20,FALSE)&gt;2,"Alta","n/a"))))</f>
        <v>Moderada</v>
      </c>
      <c r="FA153" s="10">
        <v>2</v>
      </c>
    </row>
    <row r="154" spans="1:157" s="2" customFormat="1" ht="11.25" hidden="1" x14ac:dyDescent="0.2">
      <c r="A154" s="4">
        <v>13.02</v>
      </c>
      <c r="B154" s="4">
        <v>12.81</v>
      </c>
      <c r="C154" s="4">
        <v>11.57</v>
      </c>
      <c r="D154" s="4">
        <v>11.21</v>
      </c>
      <c r="E154" s="4">
        <v>10.72</v>
      </c>
      <c r="F154" s="4">
        <v>10.75</v>
      </c>
      <c r="G154" s="4">
        <v>10.71</v>
      </c>
      <c r="H154" s="4">
        <v>11.43</v>
      </c>
      <c r="I154" s="4">
        <v>11.87</v>
      </c>
      <c r="J154" s="4">
        <v>11.97</v>
      </c>
      <c r="K154" s="4">
        <v>11.84</v>
      </c>
      <c r="L154" s="4">
        <v>11.88</v>
      </c>
      <c r="M154" s="4">
        <v>12.25</v>
      </c>
      <c r="N154" s="4">
        <v>12.04</v>
      </c>
      <c r="O154" s="4">
        <v>11.67</v>
      </c>
      <c r="P154" s="4">
        <v>11.69</v>
      </c>
      <c r="Q154" s="4">
        <v>11.7</v>
      </c>
      <c r="R154" s="4">
        <v>11.57</v>
      </c>
      <c r="S154" s="4">
        <v>11.55</v>
      </c>
      <c r="T154" s="4">
        <v>11.47</v>
      </c>
      <c r="U154" s="4">
        <v>11.25</v>
      </c>
      <c r="V154" s="4">
        <v>11.11</v>
      </c>
      <c r="W154" s="4">
        <v>10.51</v>
      </c>
      <c r="X154" s="4">
        <v>10.29</v>
      </c>
      <c r="Y154" s="4">
        <v>10.16</v>
      </c>
      <c r="Z154" s="4">
        <v>10.06</v>
      </c>
      <c r="AA154" s="4">
        <v>9.93</v>
      </c>
      <c r="AB154" s="4">
        <v>11.55</v>
      </c>
      <c r="AC154" s="4">
        <v>11.63</v>
      </c>
      <c r="AD154" s="4">
        <v>11.52</v>
      </c>
      <c r="AE154" s="4">
        <v>11.73</v>
      </c>
      <c r="AF154" s="4">
        <v>12.44</v>
      </c>
      <c r="AG154" s="4">
        <v>11.85</v>
      </c>
      <c r="AH154" s="4">
        <v>11.57</v>
      </c>
      <c r="AI154" s="4">
        <v>11.41</v>
      </c>
      <c r="AJ154" s="4">
        <v>11.08</v>
      </c>
      <c r="AK154" s="4">
        <v>12.45</v>
      </c>
      <c r="AL154" s="4">
        <v>13.53</v>
      </c>
      <c r="AM154" s="4">
        <v>13.42</v>
      </c>
      <c r="AN154" s="4">
        <v>13.6</v>
      </c>
      <c r="AO154" s="4">
        <v>13.24</v>
      </c>
      <c r="AP154" s="4">
        <v>13.3</v>
      </c>
      <c r="AQ154" s="4">
        <v>13.18</v>
      </c>
      <c r="AR154" s="4">
        <v>12.74</v>
      </c>
      <c r="AS154" s="4">
        <v>13.16</v>
      </c>
      <c r="AT154" s="4">
        <v>13.63</v>
      </c>
      <c r="AU154" s="4">
        <v>12.93</v>
      </c>
      <c r="AV154" s="4">
        <v>11.75</v>
      </c>
      <c r="AW154" s="4">
        <v>11.79</v>
      </c>
      <c r="AX154" s="4">
        <v>10.9</v>
      </c>
      <c r="AY154" s="12">
        <v>11.37</v>
      </c>
      <c r="AZ154" s="12">
        <v>12.63</v>
      </c>
      <c r="BA154" s="12">
        <v>12.32</v>
      </c>
      <c r="BB154" s="15">
        <v>12.06</v>
      </c>
      <c r="BC154" s="52">
        <v>12.36</v>
      </c>
      <c r="BD154" s="52">
        <v>12.04</v>
      </c>
      <c r="BE154" s="52">
        <v>12.15</v>
      </c>
      <c r="BF154" s="52">
        <v>12.59</v>
      </c>
      <c r="BG154" s="67">
        <v>13.1</v>
      </c>
      <c r="BH154" s="52">
        <v>12.9</v>
      </c>
      <c r="BI154" s="52">
        <v>13.36</v>
      </c>
      <c r="BJ154" s="52">
        <v>13.41</v>
      </c>
      <c r="BK154" s="52">
        <v>13.5</v>
      </c>
      <c r="BL154" s="52">
        <v>13.75</v>
      </c>
      <c r="BM154" s="52">
        <v>14.2</v>
      </c>
      <c r="BN154" s="52">
        <v>14.38</v>
      </c>
      <c r="BO154" s="52">
        <v>13.91</v>
      </c>
      <c r="BP154" s="52" cm="1">
        <f t="array" aca="1" ref="BP154" ca="1">_FV(ED154,"Preço")</f>
        <v>14.17</v>
      </c>
      <c r="BQ154" s="69" t="s">
        <v>150</v>
      </c>
      <c r="BR154" s="36" cm="1">
        <f t="array" aca="1" ref="BR154" ca="1">_FV(ED154,"Média de volume",TRUE)</f>
        <v>1020650</v>
      </c>
      <c r="BS154" s="36">
        <v>886800</v>
      </c>
      <c r="BT154" s="36" cm="1">
        <f t="array" aca="1" ref="BT154" ca="1">_FV(ED154,"Volume")</f>
        <v>923700</v>
      </c>
      <c r="BU154" s="24" cm="1">
        <f t="array" aca="1" ref="BU154" ca="1">_FV(ED154,"Beta")</f>
        <v>0.37909999999999999</v>
      </c>
      <c r="BV154" s="71" cm="1">
        <f t="array" aca="1" ref="BV154" ca="1">_FV(ED154,"Variação (%)",TRUE)</f>
        <v>4.9649999999999998E-3</v>
      </c>
      <c r="BX154" s="17" cm="1">
        <f t="array" aca="1" ref="BX154" ca="1">_FV(ED154,"Baixo")</f>
        <v>13.98</v>
      </c>
      <c r="BY154" s="17" cm="1">
        <f t="array" aca="1" ref="BY154" ca="1">_FV(ED154,"Alto")</f>
        <v>14.21</v>
      </c>
      <c r="BZ154" s="24"/>
      <c r="CA154" s="63">
        <f ca="1">SQRT(22.5*(BP154/VLOOKUP(BQ154,Fundamentus!A:U,3,FALSE))*(BP154/VLOOKUP(BQ154,Fundamentus!A:U,4,FALSE)))</f>
        <v>30.839995392176597</v>
      </c>
      <c r="CC154" s="62">
        <f t="shared" ca="1" si="168"/>
        <v>1.8691588785046714E-2</v>
      </c>
      <c r="CD154" s="8"/>
      <c r="CE154" s="61">
        <f t="shared" si="169"/>
        <v>9.93</v>
      </c>
      <c r="CF154" s="61">
        <f t="shared" si="170"/>
        <v>14.38</v>
      </c>
      <c r="CG154" s="61">
        <f t="shared" si="171"/>
        <v>12.111343283582089</v>
      </c>
      <c r="CH154" s="14"/>
      <c r="CI154" s="35">
        <f t="shared" si="154"/>
        <v>13.597956141884818</v>
      </c>
      <c r="CJ154" s="15">
        <f t="shared" si="172"/>
        <v>14.225000000000023</v>
      </c>
      <c r="CK154" s="35">
        <f t="shared" si="155"/>
        <v>14.852043858115227</v>
      </c>
      <c r="CM154" s="14"/>
      <c r="CN154" s="17">
        <f t="shared" si="156"/>
        <v>6.6499999999999986</v>
      </c>
      <c r="CO154" s="17">
        <f t="shared" si="157"/>
        <v>8.2899999999999991</v>
      </c>
      <c r="CP154" s="17">
        <f t="shared" si="158"/>
        <v>11.1</v>
      </c>
      <c r="CQ154" s="38">
        <f t="shared" si="173"/>
        <v>12.74</v>
      </c>
      <c r="CR154" s="17">
        <f t="shared" si="159"/>
        <v>15.55</v>
      </c>
      <c r="CS154" s="17">
        <f t="shared" si="160"/>
        <v>17.190000000000001</v>
      </c>
      <c r="CT154" s="17">
        <f t="shared" si="161"/>
        <v>20</v>
      </c>
      <c r="CU154" s="2" cm="1">
        <f t="array" aca="1" ref="CU154" ca="1">MAX(_xlfn._xlws.FILTER(CN154:CT154,CN154:CT154&lt;BP154))</f>
        <v>12.74</v>
      </c>
      <c r="CV154" s="2" cm="1">
        <f t="array" aca="1" ref="CV154" ca="1">MIN(_xlfn._xlws.FILTER($CN154:$CT154,$CN154:$CT154&gt;BP154))</f>
        <v>15.55</v>
      </c>
      <c r="CW154" s="16">
        <f t="shared" ca="1" si="175"/>
        <v>0.22056514913657765</v>
      </c>
      <c r="CX154" s="20">
        <f t="shared" ca="1" si="176"/>
        <v>-0.11028257456828883</v>
      </c>
      <c r="CY154" s="20">
        <f t="shared" ca="1" si="177"/>
        <v>-7.3521716378859223E-2</v>
      </c>
      <c r="CZ154" s="20">
        <f t="shared" ca="1" si="178"/>
        <v>-4.4113029827315534E-2</v>
      </c>
      <c r="DA154" s="20">
        <f t="shared" ca="1" si="179"/>
        <v>-2.4507238792953072E-2</v>
      </c>
      <c r="DB154" s="20">
        <f t="shared" ca="1" si="180"/>
        <v>-1.2974420537445745E-2</v>
      </c>
      <c r="DC154" s="20">
        <f t="shared" ca="1" si="181"/>
        <v>-6.6837923980781104E-3</v>
      </c>
      <c r="DD154" s="20">
        <f t="shared" ca="1" si="182"/>
        <v>-3.3933099867165793E-3</v>
      </c>
      <c r="DE154" s="21">
        <f t="shared" ca="1" si="183"/>
        <v>3.3933099867165793E-3</v>
      </c>
      <c r="DF154" s="21">
        <f t="shared" ca="1" si="184"/>
        <v>6.6837923980781104E-3</v>
      </c>
      <c r="DG154" s="21">
        <f t="shared" ca="1" si="185"/>
        <v>1.2974420537445745E-2</v>
      </c>
      <c r="DH154" s="21">
        <f t="shared" ca="1" si="186"/>
        <v>2.4507238792953072E-2</v>
      </c>
      <c r="DI154" s="21">
        <f t="shared" ca="1" si="187"/>
        <v>4.4113029827315534E-2</v>
      </c>
      <c r="DJ154" s="21">
        <f t="shared" ca="1" si="188"/>
        <v>7.3521716378859223E-2</v>
      </c>
      <c r="DK154" s="21">
        <f t="shared" ca="1" si="189"/>
        <v>0.11028257456828883</v>
      </c>
      <c r="DM154" s="16" cm="1">
        <f t="array" aca="1" ref="DM154" ca="1">MAX(_xlfn._xlws.FILTER(CX154:DK154,CX154:DK154&lt;BV154))</f>
        <v>3.3933099867165793E-3</v>
      </c>
      <c r="DN154" s="16" cm="1">
        <f t="array" aca="1" ref="DN154" ca="1">MIN(_xlfn._xlws.FILTER(CX154:DK154,CX154:DK154&gt;BV154))</f>
        <v>6.6837923980781104E-3</v>
      </c>
      <c r="DO154" s="2" cm="1">
        <f t="array" aca="1" ref="DO154" ca="1">_FV(ED154,"Fechamento anterior",TRUE)</f>
        <v>14.1</v>
      </c>
      <c r="DP154" s="28">
        <f t="shared" ca="1" si="162"/>
        <v>0.47750719315514562</v>
      </c>
      <c r="DQ154" s="15">
        <f t="shared" ca="1" si="190"/>
        <v>14.147845670812703</v>
      </c>
      <c r="DR154" s="15">
        <f t="shared" ca="1" si="191"/>
        <v>14.194241472812902</v>
      </c>
      <c r="DS154" s="9"/>
      <c r="DT154" s="9"/>
      <c r="DU154" s="9"/>
      <c r="DV154" s="89">
        <v>1.9605791034362462E-2</v>
      </c>
      <c r="DW154" s="89">
        <f t="shared" ca="1" si="163"/>
        <v>3.2904824113615312E-3</v>
      </c>
      <c r="DX154" s="72">
        <f t="shared" ca="1" si="164"/>
        <v>-8.7713162784728016E-2</v>
      </c>
      <c r="DY154" s="37"/>
      <c r="DZ154" s="35">
        <f t="shared" si="174"/>
        <v>0.31352192905760207</v>
      </c>
      <c r="EA154" s="56"/>
      <c r="EB154" s="56"/>
      <c r="ED154" s="2" t="e" vm="156">
        <v>#VALUE!</v>
      </c>
      <c r="EF154" s="10" cm="1">
        <f t="array" aca="1" ref="EF154" ca="1">_FV(ED154,"Ações em circulação",TRUE)</f>
        <v>153719600</v>
      </c>
      <c r="EG154" s="18">
        <f>VLOOKUP(BQ154,Fundamentus!A:U,5,FALSE)</f>
        <v>0.13700000000000001</v>
      </c>
      <c r="EH154" s="2">
        <f t="shared" ca="1" si="165"/>
        <v>15899319211.678831</v>
      </c>
      <c r="EI154" s="17">
        <v>332441636.83795619</v>
      </c>
      <c r="EJ154" s="17">
        <f t="shared" ca="1" si="166"/>
        <v>338655499.20875907</v>
      </c>
      <c r="EL154" s="16">
        <f t="shared" ca="1" si="153"/>
        <v>1.8691588785046509E-2</v>
      </c>
      <c r="EM154" s="32" t="str">
        <f>IF(VLOOKUP(BQ154,Fundamentus!A:U,3,FALSE)&lt;15,"Bom",IF(VLOOKUP(BQ154,Fundamentus!A:U,3,FALSE)&gt;15,"Ruim","n/a"))</f>
        <v>Bom</v>
      </c>
      <c r="EN154" s="28" t="str">
        <f>IF(VLOOKUP(BQ154,Fundamentus!A:U,4,FALSE)&lt;1,"Baixo",IF(VLOOKUP(BQ154,Fundamentus!A:U,4,FALSE)&lt;1.5,"Moderado",IF(VLOOKUP(BQ154,Fundamentus!A:U,4,FALSE)&gt;1.5,"Alto","n/a")))</f>
        <v>Baixo</v>
      </c>
      <c r="EO154" s="17" t="str">
        <f>IF(VLOOKUP(BQ154,Fundamentus!A:U,8,FALSE)&lt;0,"Risco elevado",IF(VLOOKUP(BQ154,Fundamentus!A:U,8,FALSE)&lt;1,"Saudável",IF(VLOOKUP(BQ154,Fundamentus!A:U,8,FALSE)&lt;3,"Estável",IF(VLOOKUP(BQ154,Fundamentus!A:U,8,FALSE)&gt;3,"Alerta","n/a"))))</f>
        <v>Saudável</v>
      </c>
      <c r="EP154" s="28" t="str">
        <f t="shared" si="167"/>
        <v>Ruim</v>
      </c>
      <c r="EQ154" s="17" t="str">
        <f>IF(VLOOKUP(BQ154,Fundamentus!A:U,12,FALSE)&lt;2,"Subvalorizada",IF(VLOOKUP(BQ154,Fundamentus!A:U,12,FALSE)&lt;6,"Muita barata",IF(VLOOKUP(BQ154,Fundamentus!A:U,12,FALSE)&lt;6,"Barata",IF(VLOOKUP(BQ154,Fundamentus!A:U,12,FALSE)&lt;8,"Atrativa",IF(VLOOKUP(BQ154,Fundamentus!A:U,12,FALSE)&gt;8,"Supervalorizada","n/a")))))</f>
        <v>Muita barata</v>
      </c>
      <c r="ES154" s="17" t="str">
        <f>IF(VLOOKUP(BQ154,Fundamentus!A:U,17,FALSE)&lt;0.1,"Fraco retorno",IF(VLOOKUP(BQ154,Fundamentus!A:U,17,FALSE)&gt;0.1,"Bom retorno","n/a"))</f>
        <v>Fraco retorno</v>
      </c>
      <c r="ET154" s="17" t="str">
        <f>IF(VLOOKUP(BQ154,Fundamentus!A:U,16,FALSE)&lt;0.1,"Ineficiente",IF(VLOOKUP(BQ154,Fundamentus!A:U,16,FALSE)&gt;0.1,"Eficiente","n/a"))</f>
        <v>Ineficiente</v>
      </c>
      <c r="EU154" s="33" t="str">
        <f>IF(VLOOKUP(BQ154,Fundamentus!A:U,16,FALSE)&lt;0.1,"Oper. Ineficiente",IF(VLOOKUP(BQ154,Fundamentus!A:U,16,FALSE)&gt;0.1,"Oper.Eficiente","n/a"))</f>
        <v>Oper. Ineficiente</v>
      </c>
      <c r="EV154" s="34">
        <f>VLOOKUP(BQ154,Fundamentus!A:U,14,FALSE)</f>
        <v>2.1299999999999999E-2</v>
      </c>
      <c r="EW154" s="17" t="str">
        <f>IF(VLOOKUP(BQ154,Fundamentus!A:U,21,FALSE)&lt;0,"Negativo",IF(VLOOKUP(BQ154,Fundamentus!A:U,21,FALSE)&lt;0.05,"Fraco",IF(VLOOKUP(BQ154,Fundamentus!A:U,21,FALSE)&lt;0.1,"Bom",IF(VLOOKUP(BQ154,Fundamentus!A:U,21,FALSE)&gt;0.1,"Muito bom","n/a"))))</f>
        <v>Bom</v>
      </c>
      <c r="EY154" s="29" t="str">
        <f>IF(VLOOKUP(BQ154,Fundamentus!A:U,15,FALSE)&gt;1,"Bom",IF(VLOOKUP(BQ154,Fundamentus!A:U,15,FALSE)&lt;1,"Ruim","n/a"))</f>
        <v>Bom</v>
      </c>
      <c r="EZ154" s="17" t="str">
        <f>IF(VLOOKUP(BQ154,Fundamentus!A:U,20,FALSE)&lt;0.5,"Baixa",IF(VLOOKUP(BQ154,Fundamentus!A:U,20,FALSE)&lt;1,"Moderada",IF(VLOOKUP(BQ154,Fundamentus!A:U,20,FALSE)&lt;2,"Alerta",IF(VLOOKUP(BQ154,Fundamentus!A:U,20,FALSE)&gt;2,"Alta","n/a"))))</f>
        <v>Alerta</v>
      </c>
      <c r="FA154" s="10"/>
    </row>
    <row r="155" spans="1:157" s="2" customFormat="1" ht="11.25" hidden="1" x14ac:dyDescent="0.2">
      <c r="A155" s="4">
        <v>26.82</v>
      </c>
      <c r="B155" s="4">
        <v>30.27</v>
      </c>
      <c r="C155" s="4">
        <v>31.1</v>
      </c>
      <c r="D155" s="4">
        <v>29</v>
      </c>
      <c r="E155" s="4">
        <v>27.3</v>
      </c>
      <c r="F155" s="4">
        <v>26.91</v>
      </c>
      <c r="G155" s="4">
        <v>26.93</v>
      </c>
      <c r="H155" s="4">
        <v>26.35</v>
      </c>
      <c r="I155" s="4">
        <v>27.01</v>
      </c>
      <c r="J155" s="4">
        <v>27.7</v>
      </c>
      <c r="K155" s="4">
        <v>28.94</v>
      </c>
      <c r="L155" s="4">
        <v>28.1</v>
      </c>
      <c r="M155" s="4">
        <v>28.08</v>
      </c>
      <c r="N155" s="4">
        <v>27.98</v>
      </c>
      <c r="O155" s="4">
        <v>29.68</v>
      </c>
      <c r="P155" s="4">
        <v>31.76</v>
      </c>
      <c r="Q155" s="4">
        <v>33.57</v>
      </c>
      <c r="R155" s="4">
        <v>31.93</v>
      </c>
      <c r="S155" s="4">
        <v>33.35</v>
      </c>
      <c r="T155" s="4">
        <v>34.76</v>
      </c>
      <c r="U155" s="4">
        <v>32.58</v>
      </c>
      <c r="V155" s="4">
        <v>31.51</v>
      </c>
      <c r="W155" s="4">
        <v>30.56</v>
      </c>
      <c r="X155" s="4">
        <v>29.96</v>
      </c>
      <c r="Y155" s="4">
        <v>29.11</v>
      </c>
      <c r="Z155" s="4">
        <v>29.12</v>
      </c>
      <c r="AA155" s="4">
        <v>28.77</v>
      </c>
      <c r="AB155" s="4">
        <v>28.68</v>
      </c>
      <c r="AC155" s="4">
        <v>29.5</v>
      </c>
      <c r="AD155" s="4">
        <v>29.11</v>
      </c>
      <c r="AE155" s="4">
        <v>27.05</v>
      </c>
      <c r="AF155" s="4">
        <v>27.4</v>
      </c>
      <c r="AG155" s="4">
        <v>26.82</v>
      </c>
      <c r="AH155" s="4">
        <v>26.16</v>
      </c>
      <c r="AI155" s="4">
        <v>25.28</v>
      </c>
      <c r="AJ155" s="4">
        <v>25.15</v>
      </c>
      <c r="AK155" s="4">
        <v>26.27</v>
      </c>
      <c r="AL155" s="4">
        <v>26.71</v>
      </c>
      <c r="AM155" s="4">
        <v>28.01</v>
      </c>
      <c r="AN155" s="4">
        <v>27.95</v>
      </c>
      <c r="AO155" s="4">
        <v>28.15</v>
      </c>
      <c r="AP155" s="4">
        <v>29.47</v>
      </c>
      <c r="AQ155" s="4">
        <v>29.68</v>
      </c>
      <c r="AR155" s="4">
        <v>27.19</v>
      </c>
      <c r="AS155" s="4">
        <v>28.14</v>
      </c>
      <c r="AT155" s="4">
        <v>28.33</v>
      </c>
      <c r="AU155" s="4">
        <v>28.635000000000002</v>
      </c>
      <c r="AV155" s="4">
        <v>28.82</v>
      </c>
      <c r="AW155" s="4">
        <v>28.62</v>
      </c>
      <c r="AX155" s="4">
        <v>29.06</v>
      </c>
      <c r="AY155" s="12">
        <v>29.87</v>
      </c>
      <c r="AZ155" s="12">
        <v>31.42</v>
      </c>
      <c r="BA155" s="12">
        <v>32.020000000000003</v>
      </c>
      <c r="BB155" s="15">
        <v>33.700000000000003</v>
      </c>
      <c r="BC155" s="52">
        <v>35.229999999999997</v>
      </c>
      <c r="BD155" s="52">
        <v>36.9</v>
      </c>
      <c r="BE155" s="52">
        <v>37.78</v>
      </c>
      <c r="BF155" s="52">
        <v>35.840000000000003</v>
      </c>
      <c r="BG155" s="67">
        <v>35.1</v>
      </c>
      <c r="BH155" s="52">
        <v>34.799999999999997</v>
      </c>
      <c r="BI155" s="52">
        <v>34.9</v>
      </c>
      <c r="BJ155" s="52">
        <v>34.93</v>
      </c>
      <c r="BK155" s="52">
        <v>33.299999999999997</v>
      </c>
      <c r="BL155" s="52">
        <v>32.89</v>
      </c>
      <c r="BM155" s="52">
        <v>32.520000000000003</v>
      </c>
      <c r="BN155" s="52">
        <v>32.4</v>
      </c>
      <c r="BO155" s="52">
        <v>36.25</v>
      </c>
      <c r="BP155" s="52" cm="1">
        <f t="array" aca="1" ref="BP155" ca="1">_FV(ED155,"Preço")</f>
        <v>37.53</v>
      </c>
      <c r="BQ155" s="69" t="s">
        <v>176</v>
      </c>
      <c r="BR155" s="36" cm="1">
        <f t="array" aca="1" ref="BR155" ca="1">_FV(ED155,"Média de volume",TRUE)</f>
        <v>5539080</v>
      </c>
      <c r="BS155" s="36">
        <v>4464700</v>
      </c>
      <c r="BT155" s="36" cm="1">
        <f t="array" aca="1" ref="BT155" ca="1">_FV(ED155,"Volume")</f>
        <v>6412000</v>
      </c>
      <c r="BU155" s="24" cm="1">
        <f t="array" aca="1" ref="BU155" ca="1">_FV(ED155,"Beta")</f>
        <v>1.5394000000000001</v>
      </c>
      <c r="BV155" s="71" cm="1">
        <f t="array" aca="1" ref="BV155" ca="1">_FV(ED155,"Variação (%)",TRUE)</f>
        <v>1.2408999999999998E-2</v>
      </c>
      <c r="BX155" s="17" cm="1">
        <f t="array" aca="1" ref="BX155" ca="1">_FV(ED155,"Baixo")</f>
        <v>36.950000000000003</v>
      </c>
      <c r="BY155" s="17" cm="1">
        <f t="array" aca="1" ref="BY155" ca="1">_FV(ED155,"Alto")</f>
        <v>37.68</v>
      </c>
      <c r="BZ155" s="24"/>
      <c r="CA155" s="63">
        <f ca="1">SQRT(22.5*(BP155/VLOOKUP(BQ155,Fundamentus!A:U,3,FALSE))*(BP155/VLOOKUP(BQ155,Fundamentus!A:U,4,FALSE)))</f>
        <v>23.738841638069538</v>
      </c>
      <c r="CC155" s="62">
        <f t="shared" ca="1" si="168"/>
        <v>3.5310344827586236E-2</v>
      </c>
      <c r="CD155" s="8"/>
      <c r="CE155" s="61">
        <f t="shared" si="169"/>
        <v>25.15</v>
      </c>
      <c r="CF155" s="61">
        <f t="shared" si="170"/>
        <v>37.78</v>
      </c>
      <c r="CG155" s="61">
        <f t="shared" si="171"/>
        <v>30.137089552238809</v>
      </c>
      <c r="CH155" s="14"/>
      <c r="CI155" s="35">
        <f t="shared" si="154"/>
        <v>33.156691027995841</v>
      </c>
      <c r="CJ155" s="15">
        <f t="shared" si="172"/>
        <v>36.005000000000109</v>
      </c>
      <c r="CK155" s="35">
        <f t="shared" si="155"/>
        <v>38.853308972004378</v>
      </c>
      <c r="CM155" s="14"/>
      <c r="CN155" s="17">
        <f t="shared" si="156"/>
        <v>15.71</v>
      </c>
      <c r="CO155" s="17">
        <f t="shared" si="157"/>
        <v>20.43</v>
      </c>
      <c r="CP155" s="17">
        <f t="shared" si="158"/>
        <v>28.340000000000003</v>
      </c>
      <c r="CQ155" s="38">
        <f t="shared" si="173"/>
        <v>33.06</v>
      </c>
      <c r="CR155" s="17">
        <f t="shared" si="159"/>
        <v>40.970000000000006</v>
      </c>
      <c r="CS155" s="17">
        <f t="shared" si="160"/>
        <v>45.690000000000005</v>
      </c>
      <c r="CT155" s="17">
        <f t="shared" si="161"/>
        <v>53.600000000000009</v>
      </c>
      <c r="CU155" s="2" cm="1">
        <f t="array" aca="1" ref="CU155" ca="1">MAX(_xlfn._xlws.FILTER(CN155:CT155,CN155:CT155&lt;BP155))</f>
        <v>33.06</v>
      </c>
      <c r="CV155" s="2" cm="1">
        <f t="array" aca="1" ref="CV155" ca="1">MIN(_xlfn._xlws.FILTER($CN155:$CT155,$CN155:$CT155&gt;BP155))</f>
        <v>40.970000000000006</v>
      </c>
      <c r="CW155" s="16">
        <f t="shared" ca="1" si="175"/>
        <v>0.23926194797338174</v>
      </c>
      <c r="CX155" s="20">
        <f t="shared" ca="1" si="176"/>
        <v>-0.11963097398669087</v>
      </c>
      <c r="CY155" s="20">
        <f t="shared" ca="1" si="177"/>
        <v>-7.9753982657793918E-2</v>
      </c>
      <c r="CZ155" s="20">
        <f t="shared" ca="1" si="178"/>
        <v>-4.7852389594676345E-2</v>
      </c>
      <c r="DA155" s="20">
        <f t="shared" ca="1" si="179"/>
        <v>-2.6584660885931304E-2</v>
      </c>
      <c r="DB155" s="20">
        <f t="shared" ca="1" si="180"/>
        <v>-1.4074232233728338E-2</v>
      </c>
      <c r="DC155" s="20">
        <f t="shared" ca="1" si="181"/>
        <v>-7.2503620597994464E-3</v>
      </c>
      <c r="DD155" s="20">
        <f t="shared" ca="1" si="182"/>
        <v>-3.6809530457443344E-3</v>
      </c>
      <c r="DE155" s="21">
        <f t="shared" ca="1" si="183"/>
        <v>3.6809530457443344E-3</v>
      </c>
      <c r="DF155" s="21">
        <f t="shared" ca="1" si="184"/>
        <v>7.2503620597994464E-3</v>
      </c>
      <c r="DG155" s="21">
        <f t="shared" ca="1" si="185"/>
        <v>1.4074232233728338E-2</v>
      </c>
      <c r="DH155" s="21">
        <f t="shared" ca="1" si="186"/>
        <v>2.6584660885931304E-2</v>
      </c>
      <c r="DI155" s="21">
        <f t="shared" ca="1" si="187"/>
        <v>4.7852389594676345E-2</v>
      </c>
      <c r="DJ155" s="21">
        <f t="shared" ca="1" si="188"/>
        <v>7.9753982657793918E-2</v>
      </c>
      <c r="DK155" s="21">
        <f t="shared" ca="1" si="189"/>
        <v>0.11963097398669087</v>
      </c>
      <c r="DM155" s="16" cm="1">
        <f t="array" aca="1" ref="DM155" ca="1">MAX(_xlfn._xlws.FILTER(CX155:DK155,CX155:DK155&lt;BV155))</f>
        <v>7.2503620597994464E-3</v>
      </c>
      <c r="DN155" s="16" cm="1">
        <f t="array" aca="1" ref="DN155" ca="1">MIN(_xlfn._xlws.FILTER(CX155:DK155,CX155:DK155&gt;BV155))</f>
        <v>1.4074232233728338E-2</v>
      </c>
      <c r="DO155" s="2" cm="1">
        <f t="array" aca="1" ref="DO155" ca="1">_FV(ED155,"Fechamento anterior",TRUE)</f>
        <v>37.07</v>
      </c>
      <c r="DP155" s="28">
        <f t="shared" ca="1" si="162"/>
        <v>0.7559630880791669</v>
      </c>
      <c r="DQ155" s="15">
        <f t="shared" ca="1" si="190"/>
        <v>37.338770921556765</v>
      </c>
      <c r="DR155" s="15">
        <f t="shared" ca="1" si="191"/>
        <v>37.591731788904312</v>
      </c>
      <c r="DS155" s="9"/>
      <c r="DT155" s="9"/>
      <c r="DU155" s="9"/>
      <c r="DV155" s="89">
        <v>6.8238701739288914E-3</v>
      </c>
      <c r="DW155" s="89">
        <f t="shared" ca="1" si="163"/>
        <v>6.8238701739288914E-3</v>
      </c>
      <c r="DX155" s="72">
        <f t="shared" ca="1" si="164"/>
        <v>0.53540539842726254</v>
      </c>
      <c r="DY155" s="37"/>
      <c r="DZ155" s="35">
        <f t="shared" si="174"/>
        <v>1.4241544860021329</v>
      </c>
      <c r="EA155" s="56"/>
      <c r="EB155" s="56"/>
      <c r="ED155" s="2" t="e" vm="157">
        <v>#VALUE!</v>
      </c>
      <c r="EF155" s="10" cm="1">
        <f t="array" aca="1" ref="EF155" ca="1">_FV(ED155,"Ações em circulação",TRUE)</f>
        <v>2289292000</v>
      </c>
      <c r="EG155" s="18">
        <f>VLOOKUP(BQ155,Fundamentus!A:U,5,FALSE)</f>
        <v>1.476</v>
      </c>
      <c r="EH155" s="2">
        <f t="shared" ca="1" si="165"/>
        <v>58209436829.268295</v>
      </c>
      <c r="EI155" s="17">
        <v>4559777993.5636864</v>
      </c>
      <c r="EJ155" s="17">
        <f t="shared" ca="1" si="166"/>
        <v>4720785326.8536587</v>
      </c>
      <c r="EL155" s="16">
        <f t="shared" ca="1" si="153"/>
        <v>3.5310344827585993E-2</v>
      </c>
      <c r="EM155" s="32" t="str">
        <f>IF(VLOOKUP(BQ155,Fundamentus!A:U,3,FALSE)&lt;15,"Bom",IF(VLOOKUP(BQ155,Fundamentus!A:U,3,FALSE)&gt;15,"Ruim","n/a"))</f>
        <v>Ruim</v>
      </c>
      <c r="EN155" s="28" t="str">
        <f>IF(VLOOKUP(BQ155,Fundamentus!A:U,4,FALSE)&lt;1,"Baixo",IF(VLOOKUP(BQ155,Fundamentus!A:U,4,FALSE)&lt;1.5,"Moderado",IF(VLOOKUP(BQ155,Fundamentus!A:U,4,FALSE)&gt;1.5,"Alto","n/a")))</f>
        <v>Alto</v>
      </c>
      <c r="EO155" s="17" t="str">
        <f>IF(VLOOKUP(BQ155,Fundamentus!A:U,8,FALSE)&lt;0,"Risco elevado",IF(VLOOKUP(BQ155,Fundamentus!A:U,8,FALSE)&lt;1,"Saudável",IF(VLOOKUP(BQ155,Fundamentus!A:U,8,FALSE)&lt;3,"Estável",IF(VLOOKUP(BQ155,Fundamentus!A:U,8,FALSE)&gt;3,"Alerta","n/a"))))</f>
        <v>Estável</v>
      </c>
      <c r="EP155" s="28" t="str">
        <f t="shared" si="167"/>
        <v>Bom</v>
      </c>
      <c r="EQ155" s="17" t="str">
        <f>IF(VLOOKUP(BQ155,Fundamentus!A:U,12,FALSE)&lt;2,"Subvalorizada",IF(VLOOKUP(BQ155,Fundamentus!A:U,12,FALSE)&lt;6,"Muita barata",IF(VLOOKUP(BQ155,Fundamentus!A:U,12,FALSE)&lt;6,"Barata",IF(VLOOKUP(BQ155,Fundamentus!A:U,12,FALSE)&lt;8,"Atrativa",IF(VLOOKUP(BQ155,Fundamentus!A:U,12,FALSE)&gt;8,"Supervalorizada","n/a")))))</f>
        <v>Atrativa</v>
      </c>
      <c r="ES155" s="17" t="str">
        <f>IF(VLOOKUP(BQ155,Fundamentus!A:U,17,FALSE)&lt;0.1,"Fraco retorno",IF(VLOOKUP(BQ155,Fundamentus!A:U,17,FALSE)&gt;0.1,"Bom retorno","n/a"))</f>
        <v>Bom retorno</v>
      </c>
      <c r="ET155" s="17" t="str">
        <f>IF(VLOOKUP(BQ155,Fundamentus!A:U,16,FALSE)&lt;0.1,"Ineficiente",IF(VLOOKUP(BQ155,Fundamentus!A:U,16,FALSE)&gt;0.1,"Eficiente","n/a"))</f>
        <v>Eficiente</v>
      </c>
      <c r="EU155" s="33" t="str">
        <f>IF(VLOOKUP(BQ155,Fundamentus!A:U,16,FALSE)&lt;0.1,"Oper. Ineficiente",IF(VLOOKUP(BQ155,Fundamentus!A:U,16,FALSE)&gt;0.1,"Oper.Eficiente","n/a"))</f>
        <v>Oper.Eficiente</v>
      </c>
      <c r="EV155" s="34">
        <f>VLOOKUP(BQ155,Fundamentus!A:U,14,FALSE)</f>
        <v>8.1100000000000005E-2</v>
      </c>
      <c r="EW155" s="17" t="str">
        <f>IF(VLOOKUP(BQ155,Fundamentus!A:U,21,FALSE)&lt;0,"Negativo",IF(VLOOKUP(BQ155,Fundamentus!A:U,21,FALSE)&lt;0.05,"Fraco",IF(VLOOKUP(BQ155,Fundamentus!A:U,21,FALSE)&lt;0.1,"Bom",IF(VLOOKUP(BQ155,Fundamentus!A:U,21,FALSE)&gt;0.1,"Muito bom","n/a"))))</f>
        <v>Muito bom</v>
      </c>
      <c r="EY155" s="29" t="str">
        <f>IF(VLOOKUP(BQ155,Fundamentus!A:U,15,FALSE)&gt;1,"Bom",IF(VLOOKUP(BQ155,Fundamentus!A:U,15,FALSE)&lt;1,"Ruim","n/a"))</f>
        <v>Bom</v>
      </c>
      <c r="EZ155" s="17" t="str">
        <f>IF(VLOOKUP(BQ155,Fundamentus!A:U,20,FALSE)&lt;0.5,"Baixa",IF(VLOOKUP(BQ155,Fundamentus!A:U,20,FALSE)&lt;1,"Moderada",IF(VLOOKUP(BQ155,Fundamentus!A:U,20,FALSE)&lt;2,"Alerta",IF(VLOOKUP(BQ155,Fundamentus!A:U,20,FALSE)&gt;2,"Alta","n/a"))))</f>
        <v>Alerta</v>
      </c>
      <c r="FA155" s="10">
        <v>1</v>
      </c>
    </row>
    <row r="156" spans="1:157" s="2" customFormat="1" ht="11.25" hidden="1" x14ac:dyDescent="0.2">
      <c r="A156" s="4">
        <v>50.35</v>
      </c>
      <c r="B156" s="4">
        <v>45.53</v>
      </c>
      <c r="C156" s="4">
        <v>46.45</v>
      </c>
      <c r="D156" s="4">
        <v>45.9</v>
      </c>
      <c r="E156" s="4">
        <v>43.3</v>
      </c>
      <c r="F156" s="4">
        <v>45</v>
      </c>
      <c r="G156" s="4">
        <v>44.9</v>
      </c>
      <c r="H156" s="4">
        <v>44.49</v>
      </c>
      <c r="I156" s="4">
        <v>45.25</v>
      </c>
      <c r="J156" s="4">
        <v>46.42</v>
      </c>
      <c r="K156" s="4">
        <v>49.47</v>
      </c>
      <c r="L156" s="4">
        <v>49.03</v>
      </c>
      <c r="M156" s="4">
        <v>48.7</v>
      </c>
      <c r="N156" s="4">
        <v>50.08</v>
      </c>
      <c r="O156" s="4">
        <v>50.76</v>
      </c>
      <c r="P156" s="4">
        <v>52</v>
      </c>
      <c r="Q156" s="4">
        <v>53.17</v>
      </c>
      <c r="R156" s="4">
        <v>51.83</v>
      </c>
      <c r="S156" s="4">
        <v>54.96</v>
      </c>
      <c r="T156" s="4">
        <v>54.85</v>
      </c>
      <c r="U156" s="4">
        <v>55.28</v>
      </c>
      <c r="V156" s="4">
        <v>55.6</v>
      </c>
      <c r="W156" s="4">
        <v>54.62</v>
      </c>
      <c r="X156" s="4">
        <v>52.67</v>
      </c>
      <c r="Y156" s="4">
        <v>53.48</v>
      </c>
      <c r="Z156" s="4">
        <v>53.43</v>
      </c>
      <c r="AA156" s="4">
        <v>52.39</v>
      </c>
      <c r="AB156" s="4">
        <v>52.07</v>
      </c>
      <c r="AC156" s="4">
        <v>51.6</v>
      </c>
      <c r="AD156" s="4">
        <v>51</v>
      </c>
      <c r="AE156" s="4">
        <v>49.52</v>
      </c>
      <c r="AF156" s="4">
        <v>51.66</v>
      </c>
      <c r="AG156" s="4">
        <v>49.42</v>
      </c>
      <c r="AH156" s="4">
        <v>48.04</v>
      </c>
      <c r="AI156" s="4">
        <v>47.16</v>
      </c>
      <c r="AJ156" s="4">
        <v>46.86</v>
      </c>
      <c r="AK156" s="4">
        <v>46.87</v>
      </c>
      <c r="AL156" s="4">
        <v>49.1</v>
      </c>
      <c r="AM156" s="4">
        <v>50.56</v>
      </c>
      <c r="AN156" s="4">
        <v>51.87</v>
      </c>
      <c r="AO156" s="4">
        <v>50.9</v>
      </c>
      <c r="AP156" s="4">
        <v>53.85</v>
      </c>
      <c r="AQ156" s="4">
        <v>52.74</v>
      </c>
      <c r="AR156" s="4">
        <v>48.34</v>
      </c>
      <c r="AS156" s="4">
        <v>49.47</v>
      </c>
      <c r="AT156" s="4">
        <v>51.16</v>
      </c>
      <c r="AU156" s="4">
        <v>49.73</v>
      </c>
      <c r="AV156" s="4">
        <v>50.15</v>
      </c>
      <c r="AW156" s="4">
        <v>51.05</v>
      </c>
      <c r="AX156" s="4">
        <v>50.45</v>
      </c>
      <c r="AY156" s="12">
        <v>26.41</v>
      </c>
      <c r="AZ156" s="12">
        <v>27.15</v>
      </c>
      <c r="BA156" s="12">
        <v>27.79</v>
      </c>
      <c r="BB156" s="15">
        <v>27.91</v>
      </c>
      <c r="BC156" s="52">
        <v>28.15</v>
      </c>
      <c r="BD156" s="52">
        <v>27.66</v>
      </c>
      <c r="BE156" s="52">
        <v>28.66</v>
      </c>
      <c r="BF156" s="52">
        <v>28.78</v>
      </c>
      <c r="BG156" s="67">
        <v>29.79</v>
      </c>
      <c r="BH156" s="52">
        <v>30.28</v>
      </c>
      <c r="BI156" s="52">
        <v>30.4</v>
      </c>
      <c r="BJ156" s="52">
        <v>32.4</v>
      </c>
      <c r="BK156" s="52">
        <v>32.1</v>
      </c>
      <c r="BL156" s="52">
        <v>30.95</v>
      </c>
      <c r="BM156" s="52">
        <v>30.7</v>
      </c>
      <c r="BN156" s="52">
        <v>31.58</v>
      </c>
      <c r="BO156" s="52">
        <v>32.950000000000003</v>
      </c>
      <c r="BP156" s="52" cm="1">
        <f t="array" aca="1" ref="BP156" ca="1">_FV(ED156,"Preço")</f>
        <v>33.43</v>
      </c>
      <c r="BQ156" s="69" t="s">
        <v>152</v>
      </c>
      <c r="BR156" s="36" cm="1">
        <f t="array" aca="1" ref="BR156" ca="1">_FV(ED156,"Média de volume",TRUE)</f>
        <v>5839690</v>
      </c>
      <c r="BS156" s="36">
        <v>4766100</v>
      </c>
      <c r="BT156" s="36" cm="1">
        <f t="array" aca="1" ref="BT156" ca="1">_FV(ED156,"Volume")</f>
        <v>4408600</v>
      </c>
      <c r="BU156" s="24" cm="1">
        <f t="array" aca="1" ref="BU156" ca="1">_FV(ED156,"Beta")</f>
        <v>0.54490000000000005</v>
      </c>
      <c r="BV156" s="71" cm="1">
        <f t="array" aca="1" ref="BV156" ca="1">_FV(ED156,"Variação (%)",TRUE)</f>
        <v>7.8380000000000012E-3</v>
      </c>
      <c r="BX156" s="17" cm="1">
        <f t="array" aca="1" ref="BX156" ca="1">_FV(ED156,"Baixo")</f>
        <v>32.950000000000003</v>
      </c>
      <c r="BY156" s="17" cm="1">
        <f t="array" aca="1" ref="BY156" ca="1">_FV(ED156,"Alto")</f>
        <v>33.5</v>
      </c>
      <c r="BZ156" s="24"/>
      <c r="CA156" s="63">
        <f ca="1">SQRT(22.5*(BP156/VLOOKUP(BQ156,Fundamentus!A:U,3,FALSE))*(BP156/VLOOKUP(BQ156,Fundamentus!A:U,4,FALSE)))</f>
        <v>31.237625231833025</v>
      </c>
      <c r="CC156" s="62">
        <f t="shared" ca="1" si="168"/>
        <v>1.4567526555386854E-2</v>
      </c>
      <c r="CD156" s="8"/>
      <c r="CE156" s="61">
        <f t="shared" si="169"/>
        <v>26.41</v>
      </c>
      <c r="CF156" s="61">
        <f t="shared" si="170"/>
        <v>55.6</v>
      </c>
      <c r="CG156" s="61">
        <f t="shared" si="171"/>
        <v>44.882686567164164</v>
      </c>
      <c r="CH156" s="14"/>
      <c r="CI156" s="35">
        <f t="shared" si="154"/>
        <v>31.642725054128647</v>
      </c>
      <c r="CJ156" s="15">
        <f t="shared" si="172"/>
        <v>33.264999999999418</v>
      </c>
      <c r="CK156" s="35">
        <f t="shared" si="155"/>
        <v>34.887274945870189</v>
      </c>
      <c r="CM156" s="14"/>
      <c r="CN156" s="17">
        <f t="shared" si="156"/>
        <v>-8.1500000000000021</v>
      </c>
      <c r="CO156" s="17">
        <f t="shared" si="157"/>
        <v>9.129999999999999</v>
      </c>
      <c r="CP156" s="17">
        <f t="shared" si="158"/>
        <v>21.04</v>
      </c>
      <c r="CQ156" s="38">
        <f t="shared" si="173"/>
        <v>38.32</v>
      </c>
      <c r="CR156" s="17">
        <f t="shared" si="159"/>
        <v>50.230000000000004</v>
      </c>
      <c r="CS156" s="17">
        <f t="shared" si="160"/>
        <v>67.510000000000005</v>
      </c>
      <c r="CT156" s="17">
        <f t="shared" si="161"/>
        <v>79.42</v>
      </c>
      <c r="CU156" s="2" cm="1">
        <f t="array" aca="1" ref="CU156" ca="1">MAX(_xlfn._xlws.FILTER(CN156:CT156,CN156:CT156&lt;BP156))</f>
        <v>21.04</v>
      </c>
      <c r="CV156" s="2" cm="1">
        <f t="array" aca="1" ref="CV156" ca="1">MIN(_xlfn._xlws.FILTER($CN156:$CT156,$CN156:$CT156&gt;BP156))</f>
        <v>38.32</v>
      </c>
      <c r="CW156" s="16">
        <f t="shared" ca="1" si="175"/>
        <v>0.82129277566539938</v>
      </c>
      <c r="CX156" s="20">
        <f t="shared" ca="1" si="176"/>
        <v>-0.41064638783269969</v>
      </c>
      <c r="CY156" s="20">
        <f t="shared" ca="1" si="177"/>
        <v>-0.27376425855513314</v>
      </c>
      <c r="CZ156" s="20">
        <f t="shared" ca="1" si="178"/>
        <v>-0.16425855513307988</v>
      </c>
      <c r="DA156" s="20">
        <f t="shared" ca="1" si="179"/>
        <v>-9.1254752851711043E-2</v>
      </c>
      <c r="DB156" s="20">
        <f t="shared" ca="1" si="180"/>
        <v>-4.8311339745023496E-2</v>
      </c>
      <c r="DC156" s="20">
        <f t="shared" ca="1" si="181"/>
        <v>-2.4887659868648465E-2</v>
      </c>
      <c r="DD156" s="20">
        <f t="shared" ca="1" si="182"/>
        <v>-1.2635273471775375E-2</v>
      </c>
      <c r="DE156" s="21">
        <f t="shared" ca="1" si="183"/>
        <v>1.2635273471775375E-2</v>
      </c>
      <c r="DF156" s="21">
        <f t="shared" ca="1" si="184"/>
        <v>2.4887659868648465E-2</v>
      </c>
      <c r="DG156" s="21">
        <f t="shared" ca="1" si="185"/>
        <v>4.8311339745023496E-2</v>
      </c>
      <c r="DH156" s="21">
        <f t="shared" ca="1" si="186"/>
        <v>9.1254752851711043E-2</v>
      </c>
      <c r="DI156" s="21">
        <f t="shared" ca="1" si="187"/>
        <v>0.16425855513307988</v>
      </c>
      <c r="DJ156" s="21">
        <f t="shared" ca="1" si="188"/>
        <v>0.27376425855513314</v>
      </c>
      <c r="DK156" s="21">
        <f t="shared" ca="1" si="189"/>
        <v>0.41064638783269969</v>
      </c>
      <c r="DM156" s="16" cm="1">
        <f t="array" aca="1" ref="DM156" ca="1">MAX(_xlfn._xlws.FILTER(CX156:DK156,CX156:DK156&lt;BV156))</f>
        <v>-1.2635273471775375E-2</v>
      </c>
      <c r="DN156" s="16" cm="1">
        <f t="array" aca="1" ref="DN156" ca="1">MIN(_xlfn._xlws.FILTER(CX156:DK156,CX156:DK156&gt;BV156))</f>
        <v>1.2635273471775375E-2</v>
      </c>
      <c r="DO156" s="2" cm="1">
        <f t="array" aca="1" ref="DO156" ca="1">_FV(ED156,"Fechamento anterior",TRUE)</f>
        <v>33.17</v>
      </c>
      <c r="DP156" s="28">
        <f t="shared" ca="1" si="162"/>
        <v>0.81017960227336094</v>
      </c>
      <c r="DQ156" s="15">
        <f t="shared" ca="1" si="190"/>
        <v>32.750887978941215</v>
      </c>
      <c r="DR156" s="15">
        <f t="shared" ca="1" si="191"/>
        <v>33.589112021058789</v>
      </c>
      <c r="DS156" s="9"/>
      <c r="DT156" s="9"/>
      <c r="DU156" s="9"/>
      <c r="DV156" s="89">
        <v>2.5270546943550749E-2</v>
      </c>
      <c r="DW156" s="89">
        <f t="shared" ca="1" si="163"/>
        <v>2.5270546943550749E-2</v>
      </c>
      <c r="DX156" s="72">
        <f t="shared" ca="1" si="164"/>
        <v>0.10170902313480316</v>
      </c>
      <c r="DY156" s="37"/>
      <c r="DZ156" s="35">
        <f t="shared" si="174"/>
        <v>0.81113747293538496</v>
      </c>
      <c r="EA156" s="56"/>
      <c r="EB156" s="56"/>
      <c r="ED156" s="2" t="e" vm="158">
        <v>#VALUE!</v>
      </c>
      <c r="EF156" s="10" cm="1">
        <f t="array" aca="1" ref="EF156" ca="1">_FV(ED156,"Ações em circulação",TRUE)</f>
        <v>3226547000</v>
      </c>
      <c r="EG156" s="18">
        <f>VLOOKUP(BQ156,Fundamentus!A:U,5,FALSE)</f>
        <v>1.766</v>
      </c>
      <c r="EH156" s="2">
        <f t="shared" ca="1" si="165"/>
        <v>61077840436.013588</v>
      </c>
      <c r="EI156" s="17">
        <v>6074267053.3890152</v>
      </c>
      <c r="EJ156" s="17">
        <f t="shared" ca="1" si="166"/>
        <v>6162754099.9937716</v>
      </c>
      <c r="EL156" s="16">
        <f t="shared" ca="1" si="153"/>
        <v>1.4567526555386845E-2</v>
      </c>
      <c r="EM156" s="32" t="str">
        <f>IF(VLOOKUP(BQ156,Fundamentus!A:U,3,FALSE)&lt;15,"Bom",IF(VLOOKUP(BQ156,Fundamentus!A:U,3,FALSE)&gt;15,"Ruim","n/a"))</f>
        <v>Ruim</v>
      </c>
      <c r="EN156" s="28" t="str">
        <f>IF(VLOOKUP(BQ156,Fundamentus!A:U,4,FALSE)&lt;1,"Baixo",IF(VLOOKUP(BQ156,Fundamentus!A:U,4,FALSE)&lt;1.5,"Moderado",IF(VLOOKUP(BQ156,Fundamentus!A:U,4,FALSE)&gt;1.5,"Alto","n/a")))</f>
        <v>Moderado</v>
      </c>
      <c r="EO156" s="17" t="str">
        <f>IF(VLOOKUP(BQ156,Fundamentus!A:U,8,FALSE)&lt;0,"Risco elevado",IF(VLOOKUP(BQ156,Fundamentus!A:U,8,FALSE)&lt;1,"Saudável",IF(VLOOKUP(BQ156,Fundamentus!A:U,8,FALSE)&lt;3,"Estável",IF(VLOOKUP(BQ156,Fundamentus!A:U,8,FALSE)&gt;3,"Alerta","n/a"))))</f>
        <v>Risco elevado</v>
      </c>
      <c r="EP156" s="28" t="str">
        <f t="shared" si="167"/>
        <v>Bom</v>
      </c>
      <c r="EQ156" s="17" t="str">
        <f>IF(VLOOKUP(BQ156,Fundamentus!A:U,12,FALSE)&lt;2,"Subvalorizada",IF(VLOOKUP(BQ156,Fundamentus!A:U,12,FALSE)&lt;6,"Muita barata",IF(VLOOKUP(BQ156,Fundamentus!A:U,12,FALSE)&lt;6,"Barata",IF(VLOOKUP(BQ156,Fundamentus!A:U,12,FALSE)&lt;8,"Atrativa",IF(VLOOKUP(BQ156,Fundamentus!A:U,12,FALSE)&gt;8,"Supervalorizada","n/a")))))</f>
        <v>Muita barata</v>
      </c>
      <c r="ES156" s="17" t="str">
        <f>IF(VLOOKUP(BQ156,Fundamentus!A:U,17,FALSE)&lt;0.1,"Fraco retorno",IF(VLOOKUP(BQ156,Fundamentus!A:U,17,FALSE)&gt;0.1,"Bom retorno","n/a"))</f>
        <v>Fraco retorno</v>
      </c>
      <c r="ET156" s="17" t="str">
        <f>IF(VLOOKUP(BQ156,Fundamentus!A:U,16,FALSE)&lt;0.1,"Ineficiente",IF(VLOOKUP(BQ156,Fundamentus!A:U,16,FALSE)&gt;0.1,"Eficiente","n/a"))</f>
        <v>Ineficiente</v>
      </c>
      <c r="EU156" s="33" t="str">
        <f>IF(VLOOKUP(BQ156,Fundamentus!A:U,16,FALSE)&lt;0.1,"Oper. Ineficiente",IF(VLOOKUP(BQ156,Fundamentus!A:U,16,FALSE)&gt;0.1,"Oper.Eficiente","n/a"))</f>
        <v>Oper. Ineficiente</v>
      </c>
      <c r="EV156" s="34">
        <f>VLOOKUP(BQ156,Fundamentus!A:U,14,FALSE)</f>
        <v>0.1009</v>
      </c>
      <c r="EW156" s="17" t="str">
        <f>IF(VLOOKUP(BQ156,Fundamentus!A:U,21,FALSE)&lt;0,"Negativo",IF(VLOOKUP(BQ156,Fundamentus!A:U,21,FALSE)&lt;0.05,"Fraco",IF(VLOOKUP(BQ156,Fundamentus!A:U,21,FALSE)&lt;0.1,"Bom",IF(VLOOKUP(BQ156,Fundamentus!A:U,21,FALSE)&gt;0.1,"Muito bom","n/a"))))</f>
        <v>Bom</v>
      </c>
      <c r="EY156" s="29" t="str">
        <f>IF(VLOOKUP(BQ156,Fundamentus!A:U,15,FALSE)&gt;1,"Bom",IF(VLOOKUP(BQ156,Fundamentus!A:U,15,FALSE)&lt;1,"Ruim","n/a"))</f>
        <v>Ruim</v>
      </c>
      <c r="EZ156" s="17" t="str">
        <f>IF(VLOOKUP(BQ156,Fundamentus!A:U,20,FALSE)&lt;0.5,"Baixa",IF(VLOOKUP(BQ156,Fundamentus!A:U,20,FALSE)&lt;1,"Moderada",IF(VLOOKUP(BQ156,Fundamentus!A:U,20,FALSE)&lt;2,"Alerta",IF(VLOOKUP(BQ156,Fundamentus!A:U,20,FALSE)&gt;2,"Alta","n/a"))))</f>
        <v>Baixa</v>
      </c>
      <c r="FA156" s="10"/>
    </row>
    <row r="157" spans="1:157" s="2" customFormat="1" ht="11.25" hidden="1" x14ac:dyDescent="0.2">
      <c r="A157" s="4">
        <v>2.62</v>
      </c>
      <c r="B157" s="4">
        <v>2.5299999999999998</v>
      </c>
      <c r="C157" s="4">
        <v>2.54</v>
      </c>
      <c r="D157" s="4">
        <v>2.46</v>
      </c>
      <c r="E157" s="4">
        <v>2.2999999999999998</v>
      </c>
      <c r="F157" s="4">
        <v>2.36</v>
      </c>
      <c r="G157" s="4">
        <v>2.2400000000000002</v>
      </c>
      <c r="H157" s="4">
        <v>2.2999999999999998</v>
      </c>
      <c r="I157" s="4">
        <v>2.5499999999999998</v>
      </c>
      <c r="J157" s="4">
        <v>2.73</v>
      </c>
      <c r="K157" s="4">
        <v>2.78</v>
      </c>
      <c r="L157" s="4">
        <v>2.78</v>
      </c>
      <c r="M157" s="4">
        <v>2.59</v>
      </c>
      <c r="N157" s="4">
        <v>2.59</v>
      </c>
      <c r="O157" s="4">
        <v>3.02</v>
      </c>
      <c r="P157" s="4">
        <v>3.01</v>
      </c>
      <c r="Q157" s="4">
        <v>3.39</v>
      </c>
      <c r="R157" s="4">
        <v>3.08</v>
      </c>
      <c r="S157" s="4">
        <v>3.1</v>
      </c>
      <c r="T157" s="4">
        <v>2.98</v>
      </c>
      <c r="U157" s="4">
        <v>2.67</v>
      </c>
      <c r="V157" s="4">
        <v>2.65</v>
      </c>
      <c r="W157" s="4">
        <v>2.74</v>
      </c>
      <c r="X157" s="4">
        <v>2.7</v>
      </c>
      <c r="Y157" s="4">
        <v>2.79</v>
      </c>
      <c r="Z157" s="4">
        <v>2.82</v>
      </c>
      <c r="AA157" s="4">
        <v>2.83</v>
      </c>
      <c r="AB157" s="4">
        <v>3.14</v>
      </c>
      <c r="AC157" s="4">
        <v>3.13</v>
      </c>
      <c r="AD157" s="4">
        <v>3.3</v>
      </c>
      <c r="AE157" s="4">
        <v>3.41</v>
      </c>
      <c r="AF157" s="4">
        <v>3.1</v>
      </c>
      <c r="AG157" s="4">
        <v>3.09</v>
      </c>
      <c r="AH157" s="4">
        <v>3.18</v>
      </c>
      <c r="AI157" s="4">
        <v>3.11</v>
      </c>
      <c r="AJ157" s="4">
        <v>3.03</v>
      </c>
      <c r="AK157" s="4">
        <v>3.26</v>
      </c>
      <c r="AL157" s="4">
        <v>3.37</v>
      </c>
      <c r="AM157" s="4">
        <v>3.06</v>
      </c>
      <c r="AN157" s="4">
        <v>3.15</v>
      </c>
      <c r="AO157" s="4">
        <v>3.09</v>
      </c>
      <c r="AP157" s="4">
        <v>3.33</v>
      </c>
      <c r="AQ157" s="4">
        <v>3.07</v>
      </c>
      <c r="AR157" s="4">
        <v>2.82</v>
      </c>
      <c r="AS157" s="4">
        <v>3.03</v>
      </c>
      <c r="AT157" s="4">
        <v>3.06</v>
      </c>
      <c r="AU157" s="4">
        <v>3.18</v>
      </c>
      <c r="AV157" s="4">
        <v>3.19</v>
      </c>
      <c r="AW157" s="4">
        <v>3.19</v>
      </c>
      <c r="AX157" s="4">
        <v>3.43</v>
      </c>
      <c r="AY157" s="12">
        <v>3.28</v>
      </c>
      <c r="AZ157" s="12">
        <v>3.38</v>
      </c>
      <c r="BA157" s="12">
        <v>3.3</v>
      </c>
      <c r="BB157" s="15">
        <v>3.47</v>
      </c>
      <c r="BC157" s="52">
        <v>3.33</v>
      </c>
      <c r="BD157" s="52">
        <v>3.32</v>
      </c>
      <c r="BE157" s="52">
        <v>3.48</v>
      </c>
      <c r="BF157" s="52">
        <v>3.43</v>
      </c>
      <c r="BG157" s="67">
        <v>3.34</v>
      </c>
      <c r="BH157" s="52">
        <v>3.43</v>
      </c>
      <c r="BI157" s="52">
        <v>3.43</v>
      </c>
      <c r="BJ157" s="52">
        <v>3.39</v>
      </c>
      <c r="BK157" s="52">
        <v>3.34</v>
      </c>
      <c r="BL157" s="52">
        <v>3.41</v>
      </c>
      <c r="BM157" s="52">
        <v>3.48</v>
      </c>
      <c r="BN157" s="52">
        <v>3.92</v>
      </c>
      <c r="BO157" s="52">
        <v>3.82</v>
      </c>
      <c r="BP157" s="52" cm="1">
        <f t="array" aca="1" ref="BP157" ca="1">_FV(ED157,"Preço")</f>
        <v>3.63</v>
      </c>
      <c r="BQ157" s="69" t="s">
        <v>153</v>
      </c>
      <c r="BR157" s="36" cm="1">
        <f t="array" aca="1" ref="BR157" ca="1">_FV(ED157,"Média de volume",TRUE)</f>
        <v>1192410</v>
      </c>
      <c r="BS157" s="36">
        <v>630200</v>
      </c>
      <c r="BT157" s="36" cm="1">
        <f t="array" aca="1" ref="BT157" ca="1">_FV(ED157,"Volume")</f>
        <v>779800</v>
      </c>
      <c r="BU157" s="24" cm="1">
        <f t="array" aca="1" ref="BU157" ca="1">_FV(ED157,"Beta")</f>
        <v>1.25</v>
      </c>
      <c r="BV157" s="71" cm="1">
        <f t="array" aca="1" ref="BV157" ca="1">_FV(ED157,"Variação (%)",TRUE)</f>
        <v>1.3966000000000001E-2</v>
      </c>
      <c r="BX157" s="17" cm="1">
        <f t="array" aca="1" ref="BX157" ca="1">_FV(ED157,"Baixo")</f>
        <v>3.53</v>
      </c>
      <c r="BY157" s="17" cm="1">
        <f t="array" aca="1" ref="BY157" ca="1">_FV(ED157,"Alto")</f>
        <v>3.65</v>
      </c>
      <c r="BZ157" s="24"/>
      <c r="CA157" s="63">
        <f ca="1">SQRT(22.5*(BP157/VLOOKUP(BQ157,Fundamentus!A:U,3,FALSE))*(BP157/VLOOKUP(BQ157,Fundamentus!A:U,4,FALSE)))</f>
        <v>4.899146797582441</v>
      </c>
      <c r="CC157" s="62">
        <f t="shared" ca="1" si="168"/>
        <v>-4.9738219895287948E-2</v>
      </c>
      <c r="CD157" s="8"/>
      <c r="CE157" s="61">
        <f t="shared" si="169"/>
        <v>2.2400000000000002</v>
      </c>
      <c r="CF157" s="61">
        <f t="shared" si="170"/>
        <v>3.92</v>
      </c>
      <c r="CG157" s="61">
        <f t="shared" si="171"/>
        <v>3.0510447761194026</v>
      </c>
      <c r="CH157" s="14"/>
      <c r="CI157" s="35">
        <f t="shared" si="154"/>
        <v>3.6113449558130983</v>
      </c>
      <c r="CJ157" s="15">
        <f t="shared" si="172"/>
        <v>4.0750000000000455</v>
      </c>
      <c r="CK157" s="35">
        <f t="shared" si="155"/>
        <v>4.5386550441869922</v>
      </c>
      <c r="CM157" s="14"/>
      <c r="CN157" s="17">
        <f t="shared" si="156"/>
        <v>1.0533333333333337</v>
      </c>
      <c r="CO157" s="17">
        <f t="shared" si="157"/>
        <v>1.6466666666666669</v>
      </c>
      <c r="CP157" s="17">
        <f t="shared" si="158"/>
        <v>2.7333333333333334</v>
      </c>
      <c r="CQ157" s="38">
        <f t="shared" si="173"/>
        <v>3.3266666666666667</v>
      </c>
      <c r="CR157" s="17">
        <f t="shared" si="159"/>
        <v>4.4133333333333331</v>
      </c>
      <c r="CS157" s="17">
        <f t="shared" si="160"/>
        <v>5.0066666666666659</v>
      </c>
      <c r="CT157" s="17">
        <f t="shared" si="161"/>
        <v>6.0933333333333328</v>
      </c>
      <c r="CU157" s="2" cm="1">
        <f t="array" aca="1" ref="CU157" ca="1">MAX(_xlfn._xlws.FILTER(CN157:CT157,CN157:CT157&lt;BP157))</f>
        <v>3.3266666666666667</v>
      </c>
      <c r="CV157" s="2" cm="1">
        <f t="array" aca="1" ref="CV157" ca="1">MIN(_xlfn._xlws.FILTER($CN157:$CT157,$CN157:$CT157&gt;BP157))</f>
        <v>4.4133333333333331</v>
      </c>
      <c r="CW157" s="16">
        <f t="shared" ca="1" si="175"/>
        <v>0.32665330661322645</v>
      </c>
      <c r="CX157" s="20">
        <f t="shared" ca="1" si="176"/>
        <v>-0.16332665330661322</v>
      </c>
      <c r="CY157" s="20">
        <f t="shared" ca="1" si="177"/>
        <v>-0.10888443553774214</v>
      </c>
      <c r="CZ157" s="20">
        <f t="shared" ca="1" si="178"/>
        <v>-6.5330661322645284E-2</v>
      </c>
      <c r="DA157" s="20">
        <f t="shared" ca="1" si="179"/>
        <v>-3.629481184591405E-2</v>
      </c>
      <c r="DB157" s="20">
        <f t="shared" ca="1" si="180"/>
        <v>-1.9214900389013322E-2</v>
      </c>
      <c r="DC157" s="20">
        <f t="shared" ca="1" si="181"/>
        <v>-9.8985850488856504E-3</v>
      </c>
      <c r="DD157" s="20">
        <f t="shared" ca="1" si="182"/>
        <v>-5.0254354863573302E-3</v>
      </c>
      <c r="DE157" s="21">
        <f t="shared" ca="1" si="183"/>
        <v>5.0254354863573302E-3</v>
      </c>
      <c r="DF157" s="21">
        <f t="shared" ca="1" si="184"/>
        <v>9.8985850488856504E-3</v>
      </c>
      <c r="DG157" s="21">
        <f t="shared" ca="1" si="185"/>
        <v>1.9214900389013322E-2</v>
      </c>
      <c r="DH157" s="21">
        <f t="shared" ca="1" si="186"/>
        <v>3.629481184591405E-2</v>
      </c>
      <c r="DI157" s="21">
        <f t="shared" ca="1" si="187"/>
        <v>6.5330661322645284E-2</v>
      </c>
      <c r="DJ157" s="21">
        <f t="shared" ca="1" si="188"/>
        <v>0.10888443553774214</v>
      </c>
      <c r="DK157" s="21">
        <f t="shared" ca="1" si="189"/>
        <v>0.16332665330661322</v>
      </c>
      <c r="DM157" s="16" cm="1">
        <f t="array" aca="1" ref="DM157" ca="1">MAX(_xlfn._xlws.FILTER(CX157:DK157,CX157:DK157&lt;BV157))</f>
        <v>9.8985850488856504E-3</v>
      </c>
      <c r="DN157" s="16" cm="1">
        <f t="array" aca="1" ref="DN157" ca="1">MIN(_xlfn._xlws.FILTER(CX157:DK157,CX157:DK157&gt;BV157))</f>
        <v>1.9214900389013322E-2</v>
      </c>
      <c r="DO157" s="2" cm="1">
        <f t="array" aca="1" ref="DO157" ca="1">_FV(ED157,"Fechamento anterior",TRUE)</f>
        <v>3.58</v>
      </c>
      <c r="DP157" s="28">
        <f t="shared" ca="1" si="162"/>
        <v>0.43664208965965812</v>
      </c>
      <c r="DQ157" s="15">
        <f t="shared" ca="1" si="190"/>
        <v>3.6154369344750106</v>
      </c>
      <c r="DR157" s="15">
        <f t="shared" ca="1" si="191"/>
        <v>3.6487893433926679</v>
      </c>
      <c r="DS157" s="9"/>
      <c r="DT157" s="9"/>
      <c r="DU157" s="9"/>
      <c r="DV157" s="89">
        <v>1.7079911456900729E-2</v>
      </c>
      <c r="DW157" s="89">
        <f t="shared" ca="1" si="163"/>
        <v>9.3163153401276712E-3</v>
      </c>
      <c r="DX157" s="72">
        <f t="shared" ca="1" si="164"/>
        <v>-0.95976525129880874</v>
      </c>
      <c r="DY157" s="37"/>
      <c r="DZ157" s="35">
        <f t="shared" si="174"/>
        <v>0.23182752209347357</v>
      </c>
      <c r="EA157" s="56"/>
      <c r="EB157" s="56"/>
      <c r="ED157" s="2" t="e" vm="159">
        <v>#VALUE!</v>
      </c>
      <c r="EF157" s="10" cm="1">
        <f t="array" aca="1" ref="EF157" ca="1">_FV(ED157,"Ações em circulação",TRUE)</f>
        <v>622672700</v>
      </c>
      <c r="EG157" s="18">
        <f>VLOOKUP(BQ157,Fundamentus!A:U,5,FALSE)</f>
        <v>0.16800000000000001</v>
      </c>
      <c r="EH157" s="2">
        <f t="shared" ca="1" si="165"/>
        <v>13454177982.142857</v>
      </c>
      <c r="EI157" s="17">
        <v>157158141.81785715</v>
      </c>
      <c r="EJ157" s="17">
        <f t="shared" ca="1" si="166"/>
        <v>149341375.60178572</v>
      </c>
      <c r="EL157" s="16">
        <f t="shared" ca="1" si="153"/>
        <v>-4.9738219895287927E-2</v>
      </c>
      <c r="EM157" s="32" t="str">
        <f>IF(VLOOKUP(BQ157,Fundamentus!A:U,3,FALSE)&lt;15,"Bom",IF(VLOOKUP(BQ157,Fundamentus!A:U,3,FALSE)&gt;15,"Ruim","n/a"))</f>
        <v>Ruim</v>
      </c>
      <c r="EN157" s="28" t="str">
        <f>IF(VLOOKUP(BQ157,Fundamentus!A:U,4,FALSE)&lt;1,"Baixo",IF(VLOOKUP(BQ157,Fundamentus!A:U,4,FALSE)&lt;1.5,"Moderado",IF(VLOOKUP(BQ157,Fundamentus!A:U,4,FALSE)&gt;1.5,"Alto","n/a")))</f>
        <v>Baixo</v>
      </c>
      <c r="EO157" s="17" t="str">
        <f>IF(VLOOKUP(BQ157,Fundamentus!A:U,8,FALSE)&lt;0,"Risco elevado",IF(VLOOKUP(BQ157,Fundamentus!A:U,8,FALSE)&lt;1,"Saudável",IF(VLOOKUP(BQ157,Fundamentus!A:U,8,FALSE)&lt;3,"Estável",IF(VLOOKUP(BQ157,Fundamentus!A:U,8,FALSE)&gt;3,"Alerta","n/a"))))</f>
        <v>Estável</v>
      </c>
      <c r="EP157" s="28" t="str">
        <f t="shared" si="167"/>
        <v>Ruim</v>
      </c>
      <c r="EQ157" s="17" t="str">
        <f>IF(VLOOKUP(BQ157,Fundamentus!A:U,12,FALSE)&lt;2,"Subvalorizada",IF(VLOOKUP(BQ157,Fundamentus!A:U,12,FALSE)&lt;6,"Muita barata",IF(VLOOKUP(BQ157,Fundamentus!A:U,12,FALSE)&lt;6,"Barata",IF(VLOOKUP(BQ157,Fundamentus!A:U,12,FALSE)&lt;8,"Atrativa",IF(VLOOKUP(BQ157,Fundamentus!A:U,12,FALSE)&gt;8,"Supervalorizada","n/a")))))</f>
        <v>Muita barata</v>
      </c>
      <c r="ES157" s="17" t="str">
        <f>IF(VLOOKUP(BQ157,Fundamentus!A:U,17,FALSE)&lt;0.1,"Fraco retorno",IF(VLOOKUP(BQ157,Fundamentus!A:U,17,FALSE)&gt;0.1,"Bom retorno","n/a"))</f>
        <v>Fraco retorno</v>
      </c>
      <c r="ET157" s="17" t="str">
        <f>IF(VLOOKUP(BQ157,Fundamentus!A:U,16,FALSE)&lt;0.1,"Ineficiente",IF(VLOOKUP(BQ157,Fundamentus!A:U,16,FALSE)&gt;0.1,"Eficiente","n/a"))</f>
        <v>Ineficiente</v>
      </c>
      <c r="EU157" s="33" t="str">
        <f>IF(VLOOKUP(BQ157,Fundamentus!A:U,16,FALSE)&lt;0.1,"Oper. Ineficiente",IF(VLOOKUP(BQ157,Fundamentus!A:U,16,FALSE)&gt;0.1,"Oper.Eficiente","n/a"))</f>
        <v>Oper. Ineficiente</v>
      </c>
      <c r="EV157" s="34">
        <f>VLOOKUP(BQ157,Fundamentus!A:U,14,FALSE)</f>
        <v>1.11E-2</v>
      </c>
      <c r="EW157" s="17" t="str">
        <f>IF(VLOOKUP(BQ157,Fundamentus!A:U,21,FALSE)&lt;0,"Negativo",IF(VLOOKUP(BQ157,Fundamentus!A:U,21,FALSE)&lt;0.05,"Fraco",IF(VLOOKUP(BQ157,Fundamentus!A:U,21,FALSE)&lt;0.1,"Bom",IF(VLOOKUP(BQ157,Fundamentus!A:U,21,FALSE)&gt;0.1,"Muito bom","n/a"))))</f>
        <v>Muito bom</v>
      </c>
      <c r="EY157" s="29" t="str">
        <f>IF(VLOOKUP(BQ157,Fundamentus!A:U,15,FALSE)&gt;1,"Bom",IF(VLOOKUP(BQ157,Fundamentus!A:U,15,FALSE)&lt;1,"Ruim","n/a"))</f>
        <v>Bom</v>
      </c>
      <c r="EZ157" s="17" t="str">
        <f>IF(VLOOKUP(BQ157,Fundamentus!A:U,20,FALSE)&lt;0.5,"Baixa",IF(VLOOKUP(BQ157,Fundamentus!A:U,20,FALSE)&lt;1,"Moderada",IF(VLOOKUP(BQ157,Fundamentus!A:U,20,FALSE)&lt;2,"Alerta",IF(VLOOKUP(BQ157,Fundamentus!A:U,20,FALSE)&gt;2,"Alta","n/a"))))</f>
        <v>Moderada</v>
      </c>
      <c r="FA157" s="10"/>
    </row>
    <row r="158" spans="1:157" s="2" customFormat="1" ht="11.25" hidden="1" x14ac:dyDescent="0.2">
      <c r="A158" s="4">
        <v>11.7</v>
      </c>
      <c r="B158" s="4">
        <v>11.61</v>
      </c>
      <c r="C158" s="4">
        <v>12.1</v>
      </c>
      <c r="D158" s="4">
        <v>11.75</v>
      </c>
      <c r="E158" s="4">
        <v>11.1</v>
      </c>
      <c r="F158" s="4">
        <v>11.63</v>
      </c>
      <c r="G158" s="4">
        <v>11.65</v>
      </c>
      <c r="H158" s="4">
        <v>10.3</v>
      </c>
      <c r="I158" s="4">
        <v>10.71</v>
      </c>
      <c r="J158" s="4">
        <v>11.4</v>
      </c>
      <c r="K158" s="4">
        <v>11.25</v>
      </c>
      <c r="L158" s="4">
        <v>11.22</v>
      </c>
      <c r="M158" s="4">
        <v>11.38</v>
      </c>
      <c r="N158" s="4">
        <v>11.45</v>
      </c>
      <c r="O158" s="4">
        <v>12.04</v>
      </c>
      <c r="P158" s="4">
        <v>12.39</v>
      </c>
      <c r="Q158" s="4">
        <v>12.3</v>
      </c>
      <c r="R158" s="4">
        <v>11.93</v>
      </c>
      <c r="S158" s="4">
        <v>11.5</v>
      </c>
      <c r="T158" s="4">
        <v>11.6</v>
      </c>
      <c r="U158" s="4">
        <v>11.4</v>
      </c>
      <c r="V158" s="4">
        <v>10.65</v>
      </c>
      <c r="W158" s="4">
        <v>10.56</v>
      </c>
      <c r="X158" s="4">
        <v>10.39</v>
      </c>
      <c r="Y158" s="4">
        <v>10.36</v>
      </c>
      <c r="Z158" s="4">
        <v>10.54</v>
      </c>
      <c r="AA158" s="4">
        <v>9.8000000000000007</v>
      </c>
      <c r="AB158" s="4">
        <v>9.94</v>
      </c>
      <c r="AC158" s="4">
        <v>9.3000000000000007</v>
      </c>
      <c r="AD158" s="4">
        <v>9.4499999999999993</v>
      </c>
      <c r="AE158" s="4">
        <v>9.06</v>
      </c>
      <c r="AF158" s="4">
        <v>9.1</v>
      </c>
      <c r="AG158" s="4">
        <v>9.16</v>
      </c>
      <c r="AH158" s="4">
        <v>8.98</v>
      </c>
      <c r="AI158" s="4">
        <v>8.83</v>
      </c>
      <c r="AJ158" s="4">
        <v>8.6999999999999993</v>
      </c>
      <c r="AK158" s="4">
        <v>8.59</v>
      </c>
      <c r="AL158" s="4">
        <v>8.8800000000000008</v>
      </c>
      <c r="AM158" s="4">
        <v>9</v>
      </c>
      <c r="AN158" s="4">
        <v>9.5</v>
      </c>
      <c r="AO158" s="4">
        <v>9.1999999999999993</v>
      </c>
      <c r="AP158" s="4">
        <v>9.9600000000000009</v>
      </c>
      <c r="AQ158" s="4">
        <v>9.9</v>
      </c>
      <c r="AR158" s="4">
        <v>9.82</v>
      </c>
      <c r="AS158" s="4">
        <v>9.9600000000000009</v>
      </c>
      <c r="AT158" s="4">
        <v>9.92</v>
      </c>
      <c r="AU158" s="4">
        <v>10.54</v>
      </c>
      <c r="AV158" s="4">
        <v>10.89</v>
      </c>
      <c r="AW158" s="4">
        <v>10.85</v>
      </c>
      <c r="AX158" s="4">
        <v>10.87</v>
      </c>
      <c r="AY158" s="12">
        <v>10.53</v>
      </c>
      <c r="AZ158" s="12">
        <v>11.25</v>
      </c>
      <c r="BA158" s="12">
        <v>11.55</v>
      </c>
      <c r="BB158" s="15">
        <v>11.55</v>
      </c>
      <c r="BC158" s="52">
        <v>13.15</v>
      </c>
      <c r="BD158" s="52">
        <v>13.92</v>
      </c>
      <c r="BE158" s="52">
        <v>14.49</v>
      </c>
      <c r="BF158" s="52">
        <v>14.64</v>
      </c>
      <c r="BG158" s="67">
        <v>14.98</v>
      </c>
      <c r="BH158" s="52">
        <v>14.36</v>
      </c>
      <c r="BI158" s="52">
        <v>14.55</v>
      </c>
      <c r="BJ158" s="52">
        <v>15.08</v>
      </c>
      <c r="BK158" s="52">
        <v>14.42</v>
      </c>
      <c r="BL158" s="52">
        <v>14.33</v>
      </c>
      <c r="BM158" s="52">
        <v>14.29</v>
      </c>
      <c r="BN158" s="52">
        <v>14.6</v>
      </c>
      <c r="BO158" s="52">
        <v>15.09</v>
      </c>
      <c r="BP158" s="52" cm="1">
        <f t="array" aca="1" ref="BP158" ca="1">_FV(ED158,"Preço")</f>
        <v>15.81</v>
      </c>
      <c r="BQ158" s="70" t="s">
        <v>154</v>
      </c>
      <c r="BR158" s="36" cm="1">
        <f t="array" aca="1" ref="BR158" ca="1">_FV(ED158,"Média de volume",TRUE)</f>
        <v>623690</v>
      </c>
      <c r="BS158" s="36">
        <v>951000</v>
      </c>
      <c r="BT158" s="36" cm="1">
        <f t="array" aca="1" ref="BT158" ca="1">_FV(ED158,"Volume")</f>
        <v>1246600</v>
      </c>
      <c r="BU158" s="24" cm="1">
        <f t="array" aca="1" ref="BU158" ca="1">_FV(ED158,"Beta")</f>
        <v>1.0867</v>
      </c>
      <c r="BV158" s="71" cm="1">
        <f t="array" aca="1" ref="BV158" ca="1">_FV(ED158,"Variação (%)",TRUE)</f>
        <v>3.2658E-2</v>
      </c>
      <c r="BX158" s="17" cm="1">
        <f t="array" aca="1" ref="BX158" ca="1">_FV(ED158,"Baixo")</f>
        <v>15.41</v>
      </c>
      <c r="BY158" s="17" cm="1">
        <f t="array" aca="1" ref="BY158" ca="1">_FV(ED158,"Alto")</f>
        <v>16.03</v>
      </c>
      <c r="BZ158" s="24"/>
      <c r="CA158" s="63">
        <f ca="1">SQRT(22.5*(BP158/VLOOKUP(BQ158,Fundamentus!A:U,3,FALSE))*(BP158/VLOOKUP(BQ158,Fundamentus!A:U,4,FALSE)))</f>
        <v>8.5118178715395967</v>
      </c>
      <c r="CC158" s="62">
        <f t="shared" ca="1" si="168"/>
        <v>4.7713717693837018E-2</v>
      </c>
      <c r="CD158" s="8"/>
      <c r="CE158" s="61">
        <f t="shared" si="169"/>
        <v>8.59</v>
      </c>
      <c r="CF158" s="61">
        <f t="shared" si="170"/>
        <v>15.09</v>
      </c>
      <c r="CG158" s="61">
        <f t="shared" si="171"/>
        <v>11.311791044776118</v>
      </c>
      <c r="CH158" s="14"/>
      <c r="CI158" s="35">
        <f t="shared" si="154"/>
        <v>14.640589185589588</v>
      </c>
      <c r="CJ158" s="15">
        <f t="shared" si="172"/>
        <v>15.225000000000136</v>
      </c>
      <c r="CK158" s="35">
        <f t="shared" si="155"/>
        <v>15.809410814410684</v>
      </c>
      <c r="CM158" s="14"/>
      <c r="CN158" s="17">
        <f t="shared" si="156"/>
        <v>4.2566666666666642</v>
      </c>
      <c r="CO158" s="17">
        <f t="shared" si="157"/>
        <v>6.423333333333332</v>
      </c>
      <c r="CP158" s="17">
        <f t="shared" si="158"/>
        <v>10.756666666666664</v>
      </c>
      <c r="CQ158" s="38">
        <f t="shared" si="173"/>
        <v>12.923333333333332</v>
      </c>
      <c r="CR158" s="17">
        <f t="shared" si="159"/>
        <v>17.256666666666664</v>
      </c>
      <c r="CS158" s="17">
        <f t="shared" si="160"/>
        <v>19.423333333333332</v>
      </c>
      <c r="CT158" s="17">
        <f t="shared" si="161"/>
        <v>23.756666666666664</v>
      </c>
      <c r="CU158" s="2" cm="1">
        <f t="array" aca="1" ref="CU158" ca="1">MAX(_xlfn._xlws.FILTER(CN158:CT158,CN158:CT158&lt;BP158))</f>
        <v>12.923333333333332</v>
      </c>
      <c r="CV158" s="2" cm="1">
        <f t="array" aca="1" ref="CV158" ca="1">MIN(_xlfn._xlws.FILTER($CN158:$CT158,$CN158:$CT158&gt;BP158))</f>
        <v>17.256666666666664</v>
      </c>
      <c r="CW158" s="16">
        <f t="shared" ca="1" si="175"/>
        <v>0.33531080732525154</v>
      </c>
      <c r="CX158" s="20">
        <f t="shared" ca="1" si="176"/>
        <v>-0.16765540366262577</v>
      </c>
      <c r="CY158" s="20">
        <f t="shared" ca="1" si="177"/>
        <v>-0.11177026910841718</v>
      </c>
      <c r="CZ158" s="20">
        <f t="shared" ca="1" si="178"/>
        <v>-6.7062161465050313E-2</v>
      </c>
      <c r="DA158" s="20">
        <f t="shared" ca="1" si="179"/>
        <v>-3.7256756369472392E-2</v>
      </c>
      <c r="DB158" s="20">
        <f t="shared" ca="1" si="180"/>
        <v>-1.9724165136779503E-2</v>
      </c>
      <c r="DC158" s="20">
        <f t="shared" ca="1" si="181"/>
        <v>-1.0160933555310652E-2</v>
      </c>
      <c r="DD158" s="20">
        <f t="shared" ca="1" si="182"/>
        <v>-5.1586278050038698E-3</v>
      </c>
      <c r="DE158" s="21">
        <f t="shared" ca="1" si="183"/>
        <v>5.1586278050038698E-3</v>
      </c>
      <c r="DF158" s="21">
        <f t="shared" ca="1" si="184"/>
        <v>1.0160933555310652E-2</v>
      </c>
      <c r="DG158" s="21">
        <f t="shared" ca="1" si="185"/>
        <v>1.9724165136779503E-2</v>
      </c>
      <c r="DH158" s="21">
        <f t="shared" ca="1" si="186"/>
        <v>3.7256756369472392E-2</v>
      </c>
      <c r="DI158" s="21">
        <f t="shared" ca="1" si="187"/>
        <v>6.7062161465050313E-2</v>
      </c>
      <c r="DJ158" s="21">
        <f t="shared" ca="1" si="188"/>
        <v>0.11177026910841718</v>
      </c>
      <c r="DK158" s="21">
        <f t="shared" ca="1" si="189"/>
        <v>0.16765540366262577</v>
      </c>
      <c r="DM158" s="16" cm="1">
        <f t="array" aca="1" ref="DM158" ca="1">MAX(_xlfn._xlws.FILTER(CX158:DK158,CX158:DK158&lt;BV158))</f>
        <v>1.9724165136779503E-2</v>
      </c>
      <c r="DN158" s="16" cm="1">
        <f t="array" aca="1" ref="DN158" ca="1">MIN(_xlfn._xlws.FILTER(CX158:DK158,CX158:DK158&gt;BV158))</f>
        <v>3.7256756369472392E-2</v>
      </c>
      <c r="DO158" s="2" cm="1">
        <f t="array" aca="1" ref="DO158" ca="1">_FV(ED158,"Fechamento anterior",TRUE)</f>
        <v>15.31</v>
      </c>
      <c r="DP158" s="28">
        <f t="shared" ca="1" si="162"/>
        <v>0.73772484047631015</v>
      </c>
      <c r="DQ158" s="15">
        <f t="shared" ca="1" si="190"/>
        <v>15.611976968244095</v>
      </c>
      <c r="DR158" s="15">
        <f t="shared" ca="1" si="191"/>
        <v>15.880400940016623</v>
      </c>
      <c r="DS158" s="9"/>
      <c r="DT158" s="9"/>
      <c r="DU158" s="9"/>
      <c r="DV158" s="89">
        <v>9.5632315814688507E-3</v>
      </c>
      <c r="DW158" s="89">
        <f t="shared" ca="1" si="163"/>
        <v>1.7532591232692889E-2</v>
      </c>
      <c r="DX158" s="72">
        <f t="shared" ca="1" si="164"/>
        <v>1.0010081702370794</v>
      </c>
      <c r="DY158" s="37"/>
      <c r="DZ158" s="35">
        <f t="shared" si="174"/>
        <v>0.2922054072052741</v>
      </c>
      <c r="EA158" s="56"/>
      <c r="EB158" s="56"/>
      <c r="ED158" s="2" t="e" vm="160">
        <v>#VALUE!</v>
      </c>
      <c r="EF158" s="10" cm="1">
        <f t="array" aca="1" ref="EF158" ca="1">_FV(ED158,"Ações em circulação",TRUE)</f>
        <v>65492860</v>
      </c>
      <c r="EG158" s="18">
        <f>VLOOKUP(BQ158,Fundamentus!A:U,5,FALSE)</f>
        <v>2.4660000000000002</v>
      </c>
      <c r="EH158" s="2">
        <f t="shared" ca="1" si="165"/>
        <v>419887314.11192214</v>
      </c>
      <c r="EI158" s="17">
        <v>57309439.500486605</v>
      </c>
      <c r="EJ158" s="17">
        <f t="shared" ca="1" si="166"/>
        <v>60043885.918004863</v>
      </c>
      <c r="EL158" s="16">
        <f t="shared" ca="1" si="153"/>
        <v>4.7713717693837143E-2</v>
      </c>
      <c r="EM158" s="32" t="str">
        <f>IF(VLOOKUP(BQ158,Fundamentus!A:U,3,FALSE)&lt;15,"Bom",IF(VLOOKUP(BQ158,Fundamentus!A:U,3,FALSE)&gt;15,"Ruim","n/a"))</f>
        <v>Ruim</v>
      </c>
      <c r="EN158" s="28" t="str">
        <f>IF(VLOOKUP(BQ158,Fundamentus!A:U,4,FALSE)&lt;1,"Baixo",IF(VLOOKUP(BQ158,Fundamentus!A:U,4,FALSE)&lt;1.5,"Moderado",IF(VLOOKUP(BQ158,Fundamentus!A:U,4,FALSE)&gt;1.5,"Alto","n/a")))</f>
        <v>Alto</v>
      </c>
      <c r="EO158" s="17" t="str">
        <f>IF(VLOOKUP(BQ158,Fundamentus!A:U,8,FALSE)&lt;0,"Risco elevado",IF(VLOOKUP(BQ158,Fundamentus!A:U,8,FALSE)&lt;1,"Saudável",IF(VLOOKUP(BQ158,Fundamentus!A:U,8,FALSE)&lt;3,"Estável",IF(VLOOKUP(BQ158,Fundamentus!A:U,8,FALSE)&gt;3,"Alerta","n/a"))))</f>
        <v>Alerta</v>
      </c>
      <c r="EP158" s="28" t="str">
        <f t="shared" si="167"/>
        <v>Bom</v>
      </c>
      <c r="EQ158" s="17" t="str">
        <f>IF(VLOOKUP(BQ158,Fundamentus!A:U,12,FALSE)&lt;2,"Subvalorizada",IF(VLOOKUP(BQ158,Fundamentus!A:U,12,FALSE)&lt;6,"Muita barata",IF(VLOOKUP(BQ158,Fundamentus!A:U,12,FALSE)&lt;6,"Barata",IF(VLOOKUP(BQ158,Fundamentus!A:U,12,FALSE)&lt;8,"Atrativa",IF(VLOOKUP(BQ158,Fundamentus!A:U,12,FALSE)&gt;8,"Supervalorizada","n/a")))))</f>
        <v>Supervalorizada</v>
      </c>
      <c r="ES158" s="17" t="str">
        <f>IF(VLOOKUP(BQ158,Fundamentus!A:U,17,FALSE)&lt;0.1,"Fraco retorno",IF(VLOOKUP(BQ158,Fundamentus!A:U,17,FALSE)&gt;0.1,"Bom retorno","n/a"))</f>
        <v>Bom retorno</v>
      </c>
      <c r="ET158" s="17" t="str">
        <f>IF(VLOOKUP(BQ158,Fundamentus!A:U,16,FALSE)&lt;0.1,"Ineficiente",IF(VLOOKUP(BQ158,Fundamentus!A:U,16,FALSE)&gt;0.1,"Eficiente","n/a"))</f>
        <v>Eficiente</v>
      </c>
      <c r="EU158" s="33" t="str">
        <f>IF(VLOOKUP(BQ158,Fundamentus!A:U,16,FALSE)&lt;0.1,"Oper. Ineficiente",IF(VLOOKUP(BQ158,Fundamentus!A:U,16,FALSE)&gt;0.1,"Oper.Eficiente","n/a"))</f>
        <v>Oper.Eficiente</v>
      </c>
      <c r="EV158" s="34">
        <f>VLOOKUP(BQ158,Fundamentus!A:U,14,FALSE)</f>
        <v>0.14299999999999999</v>
      </c>
      <c r="EW158" s="17" t="str">
        <f>IF(VLOOKUP(BQ158,Fundamentus!A:U,21,FALSE)&lt;0,"Negativo",IF(VLOOKUP(BQ158,Fundamentus!A:U,21,FALSE)&lt;0.05,"Fraco",IF(VLOOKUP(BQ158,Fundamentus!A:U,21,FALSE)&lt;0.1,"Bom",IF(VLOOKUP(BQ158,Fundamentus!A:U,21,FALSE)&gt;0.1,"Muito bom","n/a"))))</f>
        <v>Muito bom</v>
      </c>
      <c r="EY158" s="29" t="str">
        <f>IF(VLOOKUP(BQ158,Fundamentus!A:U,15,FALSE)&gt;1,"Bom",IF(VLOOKUP(BQ158,Fundamentus!A:U,15,FALSE)&lt;1,"Ruim","n/a"))</f>
        <v>Bom</v>
      </c>
      <c r="EZ158" s="17" t="str">
        <f>IF(VLOOKUP(BQ158,Fundamentus!A:U,20,FALSE)&lt;0.5,"Baixa",IF(VLOOKUP(BQ158,Fundamentus!A:U,20,FALSE)&lt;1,"Moderada",IF(VLOOKUP(BQ158,Fundamentus!A:U,20,FALSE)&lt;2,"Alerta",IF(VLOOKUP(BQ158,Fundamentus!A:U,20,FALSE)&gt;2,"Alta","n/a"))))</f>
        <v>Baixa</v>
      </c>
      <c r="FA158" s="10"/>
    </row>
    <row r="159" spans="1:157" s="2" customFormat="1" ht="11.25" hidden="1" x14ac:dyDescent="0.2">
      <c r="A159" s="4">
        <v>12.76</v>
      </c>
      <c r="B159" s="4">
        <v>12.58</v>
      </c>
      <c r="C159" s="4">
        <v>12.75</v>
      </c>
      <c r="D159" s="4">
        <v>12.73</v>
      </c>
      <c r="E159" s="4">
        <v>12.44</v>
      </c>
      <c r="F159" s="4">
        <v>12.7</v>
      </c>
      <c r="G159" s="4">
        <v>12.5</v>
      </c>
      <c r="H159" s="4">
        <v>12.43</v>
      </c>
      <c r="I159" s="4">
        <v>12.63</v>
      </c>
      <c r="J159" s="4">
        <v>13.14</v>
      </c>
      <c r="K159" s="4">
        <v>13.39</v>
      </c>
      <c r="L159" s="4">
        <v>12.56</v>
      </c>
      <c r="M159" s="4">
        <v>12.86</v>
      </c>
      <c r="N159" s="4">
        <v>12.56</v>
      </c>
      <c r="O159" s="4">
        <v>13.16</v>
      </c>
      <c r="P159" s="4">
        <v>13.61</v>
      </c>
      <c r="Q159" s="4">
        <v>13.72</v>
      </c>
      <c r="R159" s="4">
        <v>13.13</v>
      </c>
      <c r="S159" s="4">
        <v>13.86</v>
      </c>
      <c r="T159" s="4">
        <v>14.07</v>
      </c>
      <c r="U159" s="4">
        <v>14</v>
      </c>
      <c r="V159" s="4">
        <v>14.01</v>
      </c>
      <c r="W159" s="4">
        <v>14.1</v>
      </c>
      <c r="X159" s="4">
        <v>13.93</v>
      </c>
      <c r="Y159" s="4">
        <v>13.95</v>
      </c>
      <c r="Z159" s="4">
        <v>13.38</v>
      </c>
      <c r="AA159" s="4">
        <v>12.66</v>
      </c>
      <c r="AB159" s="4">
        <v>12.29</v>
      </c>
      <c r="AC159" s="4">
        <v>12</v>
      </c>
      <c r="AD159" s="4">
        <v>11.97</v>
      </c>
      <c r="AE159" s="4">
        <v>11.5</v>
      </c>
      <c r="AF159" s="4">
        <v>11.54</v>
      </c>
      <c r="AG159" s="4">
        <v>11.49</v>
      </c>
      <c r="AH159" s="4">
        <v>10.76</v>
      </c>
      <c r="AI159" s="4">
        <v>10.54</v>
      </c>
      <c r="AJ159" s="4">
        <v>10.07</v>
      </c>
      <c r="AK159" s="4">
        <v>10.69</v>
      </c>
      <c r="AL159" s="4">
        <v>10.83</v>
      </c>
      <c r="AM159" s="4">
        <v>10.81</v>
      </c>
      <c r="AN159" s="4">
        <v>11.8</v>
      </c>
      <c r="AO159" s="4">
        <v>11.65</v>
      </c>
      <c r="AP159" s="4">
        <v>12.24</v>
      </c>
      <c r="AQ159" s="4">
        <v>12.16</v>
      </c>
      <c r="AR159" s="4">
        <v>11.78</v>
      </c>
      <c r="AS159" s="4">
        <v>12.13</v>
      </c>
      <c r="AT159" s="4">
        <v>12.59</v>
      </c>
      <c r="AU159" s="4">
        <v>12.24</v>
      </c>
      <c r="AV159" s="4">
        <v>11.9</v>
      </c>
      <c r="AW159" s="4">
        <v>11.92</v>
      </c>
      <c r="AX159" s="4">
        <v>12.44</v>
      </c>
      <c r="AY159" s="12">
        <v>12.47</v>
      </c>
      <c r="AZ159" s="12">
        <v>13.27</v>
      </c>
      <c r="BA159" s="12">
        <v>13.51</v>
      </c>
      <c r="BB159" s="15">
        <v>14.08</v>
      </c>
      <c r="BC159" s="52">
        <v>14.5</v>
      </c>
      <c r="BD159" s="52">
        <v>14.17</v>
      </c>
      <c r="BE159" s="52">
        <v>13.97</v>
      </c>
      <c r="BF159" s="52">
        <v>13.85</v>
      </c>
      <c r="BG159" s="67">
        <v>13.57</v>
      </c>
      <c r="BH159" s="52">
        <v>13.75</v>
      </c>
      <c r="BI159" s="52">
        <v>13.51</v>
      </c>
      <c r="BJ159" s="52">
        <v>13.9</v>
      </c>
      <c r="BK159" s="52">
        <v>13.28</v>
      </c>
      <c r="BL159" s="52">
        <v>13.69</v>
      </c>
      <c r="BM159" s="52">
        <v>13.67</v>
      </c>
      <c r="BN159" s="52">
        <v>13.53</v>
      </c>
      <c r="BO159" s="52">
        <v>14.11</v>
      </c>
      <c r="BP159" s="52" cm="1">
        <f t="array" aca="1" ref="BP159" ca="1">_FV(ED159,"Preço")</f>
        <v>14.08</v>
      </c>
      <c r="BQ159" s="69" t="s">
        <v>155</v>
      </c>
      <c r="BR159" s="36" cm="1">
        <f t="array" aca="1" ref="BR159" ca="1">_FV(ED159,"Média de volume",TRUE)</f>
        <v>6131990</v>
      </c>
      <c r="BS159" s="36">
        <v>9679000</v>
      </c>
      <c r="BT159" s="36" cm="1">
        <f t="array" aca="1" ref="BT159" ca="1">_FV(ED159,"Volume")</f>
        <v>6330000</v>
      </c>
      <c r="BU159" s="24" cm="1">
        <f t="array" aca="1" ref="BU159" ca="1">_FV(ED159,"Beta")</f>
        <v>0.86539999999999995</v>
      </c>
      <c r="BV159" s="71" cm="1">
        <f t="array" aca="1" ref="BV159" ca="1">_FV(ED159,"Variação (%)",TRUE)</f>
        <v>-4.947E-3</v>
      </c>
      <c r="BX159" s="17" cm="1">
        <f t="array" aca="1" ref="BX159" ca="1">_FV(ED159,"Baixo")</f>
        <v>13.99</v>
      </c>
      <c r="BY159" s="17" cm="1">
        <f t="array" aca="1" ref="BY159" ca="1">_FV(ED159,"Alto")</f>
        <v>14.25</v>
      </c>
      <c r="BZ159" s="24"/>
      <c r="CA159" s="63">
        <f ca="1">SQRT(22.5*(BP159/VLOOKUP(BQ159,Fundamentus!A:U,3,FALSE))*(BP159/VLOOKUP(BQ159,Fundamentus!A:U,4,FALSE)))</f>
        <v>7.5157667624286244</v>
      </c>
      <c r="CC159" s="62">
        <f t="shared" ca="1" si="168"/>
        <v>-2.126151665485426E-3</v>
      </c>
      <c r="CD159" s="8"/>
      <c r="CE159" s="61">
        <f t="shared" si="169"/>
        <v>10.07</v>
      </c>
      <c r="CF159" s="61">
        <f t="shared" si="170"/>
        <v>14.5</v>
      </c>
      <c r="CG159" s="61">
        <f t="shared" si="171"/>
        <v>12.772835820895523</v>
      </c>
      <c r="CH159" s="14"/>
      <c r="CI159" s="35">
        <f t="shared" si="154"/>
        <v>13.489837061619339</v>
      </c>
      <c r="CJ159" s="15">
        <f t="shared" si="172"/>
        <v>14.029999999999973</v>
      </c>
      <c r="CK159" s="35">
        <f t="shared" si="155"/>
        <v>14.570162938380607</v>
      </c>
      <c r="CM159" s="14"/>
      <c r="CN159" s="17">
        <f t="shared" si="156"/>
        <v>6.8566666666666656</v>
      </c>
      <c r="CO159" s="17">
        <f t="shared" si="157"/>
        <v>8.4633333333333329</v>
      </c>
      <c r="CP159" s="17">
        <f t="shared" si="158"/>
        <v>11.286666666666665</v>
      </c>
      <c r="CQ159" s="38">
        <f t="shared" si="173"/>
        <v>12.893333333333333</v>
      </c>
      <c r="CR159" s="17">
        <f t="shared" si="159"/>
        <v>15.716666666666665</v>
      </c>
      <c r="CS159" s="17">
        <f t="shared" si="160"/>
        <v>17.323333333333331</v>
      </c>
      <c r="CT159" s="17">
        <f t="shared" si="161"/>
        <v>20.146666666666665</v>
      </c>
      <c r="CU159" s="2" cm="1">
        <f t="array" aca="1" ref="CU159" ca="1">MAX(_xlfn._xlws.FILTER(CN159:CT159,CN159:CT159&lt;BP159))</f>
        <v>12.893333333333333</v>
      </c>
      <c r="CV159" s="2" cm="1">
        <f t="array" aca="1" ref="CV159" ca="1">MIN(_xlfn._xlws.FILTER($CN159:$CT159,$CN159:$CT159&gt;BP159))</f>
        <v>15.716666666666665</v>
      </c>
      <c r="CW159" s="16">
        <f t="shared" ca="1" si="175"/>
        <v>0.21897621509824194</v>
      </c>
      <c r="CX159" s="20">
        <f t="shared" ca="1" si="176"/>
        <v>-0.10948810754912097</v>
      </c>
      <c r="CY159" s="20">
        <f t="shared" ca="1" si="177"/>
        <v>-7.2992071699413977E-2</v>
      </c>
      <c r="CZ159" s="20">
        <f t="shared" ca="1" si="178"/>
        <v>-4.3795243019648392E-2</v>
      </c>
      <c r="DA159" s="20">
        <f t="shared" ca="1" si="179"/>
        <v>-2.4330690566471327E-2</v>
      </c>
      <c r="DB159" s="20">
        <f t="shared" ca="1" si="180"/>
        <v>-1.288095382930835E-2</v>
      </c>
      <c r="DC159" s="20">
        <f t="shared" ca="1" si="181"/>
        <v>-6.6356428817649074E-3</v>
      </c>
      <c r="DD159" s="20">
        <f t="shared" ca="1" si="182"/>
        <v>-3.3688648476652605E-3</v>
      </c>
      <c r="DE159" s="21">
        <f t="shared" ca="1" si="183"/>
        <v>3.3688648476652605E-3</v>
      </c>
      <c r="DF159" s="21">
        <f t="shared" ca="1" si="184"/>
        <v>6.6356428817649074E-3</v>
      </c>
      <c r="DG159" s="21">
        <f t="shared" ca="1" si="185"/>
        <v>1.288095382930835E-2</v>
      </c>
      <c r="DH159" s="21">
        <f t="shared" ca="1" si="186"/>
        <v>2.4330690566471327E-2</v>
      </c>
      <c r="DI159" s="21">
        <f t="shared" ca="1" si="187"/>
        <v>4.3795243019648392E-2</v>
      </c>
      <c r="DJ159" s="21">
        <f t="shared" ca="1" si="188"/>
        <v>7.2992071699413977E-2</v>
      </c>
      <c r="DK159" s="21">
        <f t="shared" ca="1" si="189"/>
        <v>0.10948810754912097</v>
      </c>
      <c r="DM159" s="16" cm="1">
        <f t="array" aca="1" ref="DM159" ca="1">MAX(_xlfn._xlws.FILTER(CX159:DK159,CX159:DK159&lt;BV159))</f>
        <v>-6.6356428817649074E-3</v>
      </c>
      <c r="DN159" s="16" cm="1">
        <f t="array" aca="1" ref="DN159" ca="1">MIN(_xlfn._xlws.FILTER(CX159:DK159,CX159:DK159&gt;BV159))</f>
        <v>-3.3688648476652605E-3</v>
      </c>
      <c r="DO159" s="2" cm="1">
        <f t="array" aca="1" ref="DO159" ca="1">_FV(ED159,"Fechamento anterior",TRUE)</f>
        <v>14.15</v>
      </c>
      <c r="DP159" s="28">
        <f t="shared" ca="1" si="162"/>
        <v>0.51691495342112947</v>
      </c>
      <c r="DQ159" s="15">
        <f t="shared" ca="1" si="190"/>
        <v>14.056105653223026</v>
      </c>
      <c r="DR159" s="15">
        <f t="shared" ca="1" si="191"/>
        <v>14.102330562405538</v>
      </c>
      <c r="DS159" s="9"/>
      <c r="DT159" s="9"/>
      <c r="DU159" s="9"/>
      <c r="DV159" s="89">
        <v>1.1449736737162977E-2</v>
      </c>
      <c r="DW159" s="89">
        <f t="shared" ca="1" si="163"/>
        <v>3.2667780340996468E-3</v>
      </c>
      <c r="DX159" s="72">
        <f t="shared" ca="1" si="164"/>
        <v>9.2564662340447523E-2</v>
      </c>
      <c r="DY159" s="37"/>
      <c r="DZ159" s="35">
        <f t="shared" si="174"/>
        <v>0.27008146919031678</v>
      </c>
      <c r="EA159" s="56"/>
      <c r="EB159" s="56"/>
      <c r="ED159" s="2" t="e" vm="161">
        <v>#VALUE!</v>
      </c>
      <c r="EF159" s="10" cm="1">
        <f t="array" aca="1" ref="EF159" ca="1">_FV(ED159,"Ações em circulação",TRUE)</f>
        <v>1932592000</v>
      </c>
      <c r="EG159" s="18">
        <f>VLOOKUP(BQ159,Fundamentus!A:U,5,FALSE)</f>
        <v>1.9630000000000001</v>
      </c>
      <c r="EH159" s="2">
        <f t="shared" ca="1" si="165"/>
        <v>13861892694.854813</v>
      </c>
      <c r="EI159" s="17">
        <v>957119387.65562904</v>
      </c>
      <c r="EJ159" s="17">
        <f t="shared" ca="1" si="166"/>
        <v>955084406.67549658</v>
      </c>
      <c r="EL159" s="16">
        <f t="shared" ca="1" si="153"/>
        <v>-2.1261516654854651E-3</v>
      </c>
      <c r="EM159" s="32" t="str">
        <f>IF(VLOOKUP(BQ159,Fundamentus!A:U,3,FALSE)&lt;15,"Bom",IF(VLOOKUP(BQ159,Fundamentus!A:U,3,FALSE)&gt;15,"Ruim","n/a"))</f>
        <v>Ruim</v>
      </c>
      <c r="EN159" s="28" t="str">
        <f>IF(VLOOKUP(BQ159,Fundamentus!A:U,4,FALSE)&lt;1,"Baixo",IF(VLOOKUP(BQ159,Fundamentus!A:U,4,FALSE)&lt;1.5,"Moderado",IF(VLOOKUP(BQ159,Fundamentus!A:U,4,FALSE)&gt;1.5,"Alto","n/a")))</f>
        <v>Moderado</v>
      </c>
      <c r="EO159" s="17" t="str">
        <f>IF(VLOOKUP(BQ159,Fundamentus!A:U,8,FALSE)&lt;0,"Risco elevado",IF(VLOOKUP(BQ159,Fundamentus!A:U,8,FALSE)&lt;1,"Saudável",IF(VLOOKUP(BQ159,Fundamentus!A:U,8,FALSE)&lt;3,"Estável",IF(VLOOKUP(BQ159,Fundamentus!A:U,8,FALSE)&gt;3,"Alerta","n/a"))))</f>
        <v>Alerta</v>
      </c>
      <c r="EP159" s="28" t="str">
        <f t="shared" si="167"/>
        <v>Bom</v>
      </c>
      <c r="EQ159" s="17" t="str">
        <f>IF(VLOOKUP(BQ159,Fundamentus!A:U,12,FALSE)&lt;2,"Subvalorizada",IF(VLOOKUP(BQ159,Fundamentus!A:U,12,FALSE)&lt;6,"Muita barata",IF(VLOOKUP(BQ159,Fundamentus!A:U,12,FALSE)&lt;6,"Barata",IF(VLOOKUP(BQ159,Fundamentus!A:U,12,FALSE)&lt;8,"Atrativa",IF(VLOOKUP(BQ159,Fundamentus!A:U,12,FALSE)&gt;8,"Supervalorizada","n/a")))))</f>
        <v>Supervalorizada</v>
      </c>
      <c r="ES159" s="17" t="str">
        <f>IF(VLOOKUP(BQ159,Fundamentus!A:U,17,FALSE)&lt;0.1,"Fraco retorno",IF(VLOOKUP(BQ159,Fundamentus!A:U,17,FALSE)&gt;0.1,"Bom retorno","n/a"))</f>
        <v>Fraco retorno</v>
      </c>
      <c r="ET159" s="17" t="str">
        <f>IF(VLOOKUP(BQ159,Fundamentus!A:U,16,FALSE)&lt;0.1,"Ineficiente",IF(VLOOKUP(BQ159,Fundamentus!A:U,16,FALSE)&gt;0.1,"Eficiente","n/a"))</f>
        <v>Ineficiente</v>
      </c>
      <c r="EU159" s="33" t="str">
        <f>IF(VLOOKUP(BQ159,Fundamentus!A:U,16,FALSE)&lt;0.1,"Oper. Ineficiente",IF(VLOOKUP(BQ159,Fundamentus!A:U,16,FALSE)&gt;0.1,"Oper.Eficiente","n/a"))</f>
        <v>Oper. Ineficiente</v>
      </c>
      <c r="EV159" s="34">
        <f>VLOOKUP(BQ159,Fundamentus!A:U,14,FALSE)</f>
        <v>6.8900000000000003E-2</v>
      </c>
      <c r="EW159" s="17" t="str">
        <f>IF(VLOOKUP(BQ159,Fundamentus!A:U,21,FALSE)&lt;0,"Negativo",IF(VLOOKUP(BQ159,Fundamentus!A:U,21,FALSE)&lt;0.05,"Fraco",IF(VLOOKUP(BQ159,Fundamentus!A:U,21,FALSE)&lt;0.1,"Bom",IF(VLOOKUP(BQ159,Fundamentus!A:U,21,FALSE)&gt;0.1,"Muito bom","n/a"))))</f>
        <v>Muito bom</v>
      </c>
      <c r="EY159" s="29" t="str">
        <f>IF(VLOOKUP(BQ159,Fundamentus!A:U,15,FALSE)&gt;1,"Bom",IF(VLOOKUP(BQ159,Fundamentus!A:U,15,FALSE)&lt;1,"Ruim","n/a"))</f>
        <v>Bom</v>
      </c>
      <c r="EZ159" s="17" t="str">
        <f>IF(VLOOKUP(BQ159,Fundamentus!A:U,20,FALSE)&lt;0.5,"Baixa",IF(VLOOKUP(BQ159,Fundamentus!A:U,20,FALSE)&lt;1,"Moderada",IF(VLOOKUP(BQ159,Fundamentus!A:U,20,FALSE)&lt;2,"Alerta",IF(VLOOKUP(BQ159,Fundamentus!A:U,20,FALSE)&gt;2,"Alta","n/a"))))</f>
        <v>Alerta</v>
      </c>
      <c r="FA159" s="10"/>
    </row>
    <row r="160" spans="1:157" s="2" customFormat="1" ht="11.25" hidden="1" x14ac:dyDescent="0.2">
      <c r="A160" s="4">
        <v>4.95</v>
      </c>
      <c r="B160" s="4">
        <v>5.0599999999999996</v>
      </c>
      <c r="C160" s="4">
        <v>4.92</v>
      </c>
      <c r="D160" s="4">
        <v>5.09</v>
      </c>
      <c r="E160" s="4">
        <v>5.01</v>
      </c>
      <c r="F160" s="4">
        <v>5.71</v>
      </c>
      <c r="G160" s="4">
        <v>5.29</v>
      </c>
      <c r="H160" s="4">
        <v>5.07</v>
      </c>
      <c r="I160" s="4">
        <v>4.9800000000000004</v>
      </c>
      <c r="J160" s="4">
        <v>5.0199999999999996</v>
      </c>
      <c r="K160" s="4">
        <v>5.08</v>
      </c>
      <c r="L160" s="4">
        <v>4.54</v>
      </c>
      <c r="M160" s="4">
        <v>4.4000000000000004</v>
      </c>
      <c r="N160" s="4">
        <v>4.2</v>
      </c>
      <c r="O160" s="4">
        <v>4.25</v>
      </c>
      <c r="P160" s="4">
        <v>5.08</v>
      </c>
      <c r="Q160" s="4">
        <v>6</v>
      </c>
      <c r="R160" s="4">
        <v>6.4</v>
      </c>
      <c r="S160" s="4">
        <v>8.0500000000000007</v>
      </c>
      <c r="T160" s="4">
        <v>8.0399999999999991</v>
      </c>
      <c r="U160" s="4">
        <v>7.71</v>
      </c>
      <c r="V160" s="4">
        <v>7.01</v>
      </c>
      <c r="W160" s="4">
        <v>6.61</v>
      </c>
      <c r="X160" s="4">
        <v>6.35</v>
      </c>
      <c r="Y160" s="4">
        <v>6.29</v>
      </c>
      <c r="Z160" s="4">
        <v>6</v>
      </c>
      <c r="AA160" s="4">
        <v>5.01</v>
      </c>
      <c r="AB160" s="4">
        <v>4.92</v>
      </c>
      <c r="AC160" s="4">
        <v>4.33</v>
      </c>
      <c r="AD160" s="4">
        <v>4.3499999999999996</v>
      </c>
      <c r="AE160" s="4">
        <v>4.34</v>
      </c>
      <c r="AF160" s="4">
        <v>4.3600000000000003</v>
      </c>
      <c r="AG160" s="4">
        <v>4.25</v>
      </c>
      <c r="AH160" s="4">
        <v>4.25</v>
      </c>
      <c r="AI160" s="4">
        <v>3.97</v>
      </c>
      <c r="AJ160" s="4">
        <v>4</v>
      </c>
      <c r="AK160" s="4">
        <v>4.05</v>
      </c>
      <c r="AL160" s="4">
        <v>3.95</v>
      </c>
      <c r="AM160" s="4">
        <v>3.94</v>
      </c>
      <c r="AN160" s="4">
        <v>4.13</v>
      </c>
      <c r="AO160" s="4">
        <v>4.0199999999999996</v>
      </c>
      <c r="AP160" s="4">
        <v>4.07</v>
      </c>
      <c r="AQ160" s="4">
        <v>3.79</v>
      </c>
      <c r="AR160" s="4">
        <v>4.03</v>
      </c>
      <c r="AS160" s="4">
        <v>4.12</v>
      </c>
      <c r="AT160" s="4">
        <v>4.07</v>
      </c>
      <c r="AU160" s="4">
        <v>4.5199999999999996</v>
      </c>
      <c r="AV160" s="4">
        <v>4.55</v>
      </c>
      <c r="AW160" s="4">
        <v>4.83</v>
      </c>
      <c r="AX160" s="4">
        <v>4.58</v>
      </c>
      <c r="AY160" s="12">
        <v>4.67</v>
      </c>
      <c r="AZ160" s="12">
        <v>5.15</v>
      </c>
      <c r="BA160" s="12">
        <v>5</v>
      </c>
      <c r="BB160" s="15">
        <v>5</v>
      </c>
      <c r="BC160" s="52">
        <v>5.55</v>
      </c>
      <c r="BD160" s="52">
        <v>6.26</v>
      </c>
      <c r="BE160" s="52">
        <v>6.2</v>
      </c>
      <c r="BF160" s="52">
        <v>6.78</v>
      </c>
      <c r="BG160" s="67">
        <v>7.02</v>
      </c>
      <c r="BH160" s="52">
        <v>7.19</v>
      </c>
      <c r="BI160" s="52">
        <v>6.83</v>
      </c>
      <c r="BJ160" s="52">
        <v>6.58</v>
      </c>
      <c r="BK160" s="52">
        <v>5.63</v>
      </c>
      <c r="BL160" s="52">
        <v>5.87</v>
      </c>
      <c r="BM160" s="52">
        <v>6.05</v>
      </c>
      <c r="BN160" s="52">
        <v>5.91</v>
      </c>
      <c r="BO160" s="52">
        <v>6.64</v>
      </c>
      <c r="BP160" s="52" cm="1">
        <f t="array" aca="1" ref="BP160" ca="1">_FV(ED160,"Preço")</f>
        <v>6.1</v>
      </c>
      <c r="BQ160" s="69" t="s">
        <v>156</v>
      </c>
      <c r="BR160" s="36" cm="1">
        <f t="array" aca="1" ref="BR160" ca="1">_FV(ED160,"Média de volume",TRUE)</f>
        <v>1848900</v>
      </c>
      <c r="BS160" s="36">
        <v>1118100</v>
      </c>
      <c r="BT160" s="36" cm="1">
        <f t="array" aca="1" ref="BT160" ca="1">_FV(ED160,"Volume")</f>
        <v>3004000</v>
      </c>
      <c r="BU160" s="24" cm="1">
        <f t="array" aca="1" ref="BU160" ca="1">_FV(ED160,"Beta")</f>
        <v>2.1855000000000002</v>
      </c>
      <c r="BV160" s="71" cm="1">
        <f t="array" aca="1" ref="BV160" ca="1">_FV(ED160,"Variação (%)",TRUE)</f>
        <v>-0.12857100000000002</v>
      </c>
      <c r="BX160" s="17" cm="1">
        <f t="array" aca="1" ref="BX160" ca="1">_FV(ED160,"Baixo")</f>
        <v>5.99</v>
      </c>
      <c r="BY160" s="17" cm="1">
        <f t="array" aca="1" ref="BY160" ca="1">_FV(ED160,"Alto")</f>
        <v>7.08</v>
      </c>
      <c r="BZ160" s="24"/>
      <c r="CA160" s="63">
        <f ca="1">SQRT(22.5*(BP160/VLOOKUP(BQ160,Fundamentus!A:U,3,FALSE))*(BP160/VLOOKUP(BQ160,Fundamentus!A:U,4,FALSE)))</f>
        <v>46.362555162339802</v>
      </c>
      <c r="CC160" s="62">
        <f t="shared" ca="1" si="168"/>
        <v>-8.1325301204819289E-2</v>
      </c>
      <c r="CD160" s="8"/>
      <c r="CE160" s="61">
        <f t="shared" si="169"/>
        <v>3.79</v>
      </c>
      <c r="CF160" s="61">
        <f t="shared" si="170"/>
        <v>8.0500000000000007</v>
      </c>
      <c r="CG160" s="61">
        <f t="shared" si="171"/>
        <v>5.2517910447761187</v>
      </c>
      <c r="CH160" s="14"/>
      <c r="CI160" s="35">
        <f t="shared" si="154"/>
        <v>5.9835386189885718</v>
      </c>
      <c r="CJ160" s="15">
        <f t="shared" si="172"/>
        <v>6.6600000000000819</v>
      </c>
      <c r="CK160" s="35">
        <f t="shared" si="155"/>
        <v>7.336461381011592</v>
      </c>
      <c r="CM160" s="14"/>
      <c r="CN160" s="17">
        <f t="shared" si="156"/>
        <v>9.9999999999988987E-3</v>
      </c>
      <c r="CO160" s="17">
        <f t="shared" si="157"/>
        <v>1.8999999999999995</v>
      </c>
      <c r="CP160" s="17">
        <f t="shared" si="158"/>
        <v>4.2699999999999996</v>
      </c>
      <c r="CQ160" s="38">
        <f t="shared" si="173"/>
        <v>6.16</v>
      </c>
      <c r="CR160" s="17">
        <f t="shared" si="159"/>
        <v>8.5300000000000011</v>
      </c>
      <c r="CS160" s="17">
        <f t="shared" si="160"/>
        <v>10.420000000000002</v>
      </c>
      <c r="CT160" s="17">
        <f t="shared" si="161"/>
        <v>12.790000000000001</v>
      </c>
      <c r="CU160" s="2" cm="1">
        <f t="array" aca="1" ref="CU160" ca="1">MAX(_xlfn._xlws.FILTER(CN160:CT160,CN160:CT160&lt;BP160))</f>
        <v>4.2699999999999996</v>
      </c>
      <c r="CV160" s="2" cm="1">
        <f t="array" aca="1" ref="CV160" ca="1">MIN(_xlfn._xlws.FILTER($CN160:$CT160,$CN160:$CT160&gt;BP160))</f>
        <v>6.16</v>
      </c>
      <c r="CW160" s="16">
        <f t="shared" ca="1" si="175"/>
        <v>0.4426229508196724</v>
      </c>
      <c r="CX160" s="20">
        <f t="shared" ca="1" si="176"/>
        <v>-0.2213114754098362</v>
      </c>
      <c r="CY160" s="20">
        <f t="shared" ca="1" si="177"/>
        <v>-0.14754098360655746</v>
      </c>
      <c r="CZ160" s="20">
        <f t="shared" ca="1" si="178"/>
        <v>-8.8524590163934477E-2</v>
      </c>
      <c r="DA160" s="20">
        <f t="shared" ca="1" si="179"/>
        <v>-4.9180327868852486E-2</v>
      </c>
      <c r="DB160" s="20">
        <f t="shared" ca="1" si="180"/>
        <v>-2.6036644165863081E-2</v>
      </c>
      <c r="DC160" s="20">
        <f t="shared" ca="1" si="181"/>
        <v>-1.3412816691505224E-2</v>
      </c>
      <c r="DD160" s="20">
        <f t="shared" ca="1" si="182"/>
        <v>-6.809583858764191E-3</v>
      </c>
      <c r="DE160" s="21">
        <f t="shared" ca="1" si="183"/>
        <v>6.809583858764191E-3</v>
      </c>
      <c r="DF160" s="21">
        <f t="shared" ca="1" si="184"/>
        <v>1.3412816691505224E-2</v>
      </c>
      <c r="DG160" s="21">
        <f t="shared" ca="1" si="185"/>
        <v>2.6036644165863081E-2</v>
      </c>
      <c r="DH160" s="21">
        <f t="shared" ca="1" si="186"/>
        <v>4.9180327868852486E-2</v>
      </c>
      <c r="DI160" s="21">
        <f t="shared" ca="1" si="187"/>
        <v>8.8524590163934477E-2</v>
      </c>
      <c r="DJ160" s="21">
        <f t="shared" ca="1" si="188"/>
        <v>0.14754098360655746</v>
      </c>
      <c r="DK160" s="21">
        <f t="shared" ca="1" si="189"/>
        <v>0.2213114754098362</v>
      </c>
      <c r="DM160" s="16" cm="1">
        <f t="array" aca="1" ref="DM160" ca="1">MAX(_xlfn._xlws.FILTER(CX160:DK160,CX160:DK160&lt;BV160))</f>
        <v>-0.14754098360655746</v>
      </c>
      <c r="DN160" s="16" cm="1">
        <f t="array" aca="1" ref="DN160" ca="1">MIN(_xlfn._xlws.FILTER(CX160:DK160,CX160:DK160&gt;BV160))</f>
        <v>-8.8524590163934477E-2</v>
      </c>
      <c r="DO160" s="2" cm="1">
        <f t="array" aca="1" ref="DO160" ca="1">_FV(ED160,"Fechamento anterior",TRUE)</f>
        <v>7</v>
      </c>
      <c r="DP160" s="28">
        <f t="shared" ca="1" si="162"/>
        <v>0.32142857142857156</v>
      </c>
      <c r="DQ160" s="15">
        <f t="shared" ca="1" si="190"/>
        <v>5.9672131147540979</v>
      </c>
      <c r="DR160" s="15">
        <f t="shared" ca="1" si="191"/>
        <v>6.3803278688524587</v>
      </c>
      <c r="DS160" s="9"/>
      <c r="DT160" s="9"/>
      <c r="DU160" s="9"/>
      <c r="DV160" s="89">
        <v>2.0117137764196592E-2</v>
      </c>
      <c r="DW160" s="89">
        <f t="shared" ca="1" si="163"/>
        <v>5.901639344262298E-2</v>
      </c>
      <c r="DX160" s="72">
        <f t="shared" ca="1" si="164"/>
        <v>-0.82783735438483774</v>
      </c>
      <c r="DY160" s="37"/>
      <c r="DZ160" s="35">
        <f t="shared" si="174"/>
        <v>0.33823069050575516</v>
      </c>
      <c r="EA160" s="56"/>
      <c r="EB160" s="56"/>
      <c r="ED160" s="2" t="e" vm="162">
        <v>#VALUE!</v>
      </c>
      <c r="EF160" s="10" cm="1">
        <f t="array" aca="1" ref="EF160" ca="1">_FV(ED160,"Ações em circulação",TRUE)</f>
        <v>372555300</v>
      </c>
      <c r="EG160" s="18">
        <f>VLOOKUP(BQ160,Fundamentus!A:U,5,FALSE)</f>
        <v>0.151</v>
      </c>
      <c r="EH160" s="2">
        <f t="shared" ca="1" si="165"/>
        <v>15050247218.543047</v>
      </c>
      <c r="EI160" s="17">
        <v>2591721654.1350994</v>
      </c>
      <c r="EJ160" s="17">
        <f t="shared" ca="1" si="166"/>
        <v>2380949109.9735103</v>
      </c>
      <c r="EL160" s="16">
        <f t="shared" ca="1" si="153"/>
        <v>-8.1325301204819178E-2</v>
      </c>
      <c r="EM160" s="32" t="str">
        <f>IF(VLOOKUP(BQ160,Fundamentus!A:U,3,FALSE)&lt;15,"Bom",IF(VLOOKUP(BQ160,Fundamentus!A:U,3,FALSE)&gt;15,"Ruim","n/a"))</f>
        <v>Bom</v>
      </c>
      <c r="EN160" s="28" t="str">
        <f>IF(VLOOKUP(BQ160,Fundamentus!A:U,4,FALSE)&lt;1,"Baixo",IF(VLOOKUP(BQ160,Fundamentus!A:U,4,FALSE)&lt;1.5,"Moderado",IF(VLOOKUP(BQ160,Fundamentus!A:U,4,FALSE)&gt;1.5,"Alto","n/a")))</f>
        <v>Baixo</v>
      </c>
      <c r="EO160" s="17" t="str">
        <f>IF(VLOOKUP(BQ160,Fundamentus!A:U,8,FALSE)&lt;0,"Risco elevado",IF(VLOOKUP(BQ160,Fundamentus!A:U,8,FALSE)&lt;1,"Saudável",IF(VLOOKUP(BQ160,Fundamentus!A:U,8,FALSE)&lt;3,"Estável",IF(VLOOKUP(BQ160,Fundamentus!A:U,8,FALSE)&gt;3,"Alerta","n/a"))))</f>
        <v>Saudável</v>
      </c>
      <c r="EP160" s="28" t="str">
        <f t="shared" si="167"/>
        <v>Ruim</v>
      </c>
      <c r="EQ160" s="17" t="str">
        <f>IF(VLOOKUP(BQ160,Fundamentus!A:U,12,FALSE)&lt;2,"Subvalorizada",IF(VLOOKUP(BQ160,Fundamentus!A:U,12,FALSE)&lt;6,"Muita barata",IF(VLOOKUP(BQ160,Fundamentus!A:U,12,FALSE)&lt;6,"Barata",IF(VLOOKUP(BQ160,Fundamentus!A:U,12,FALSE)&lt;8,"Atrativa",IF(VLOOKUP(BQ160,Fundamentus!A:U,12,FALSE)&gt;8,"Supervalorizada","n/a")))))</f>
        <v>Muita barata</v>
      </c>
      <c r="ES160" s="17" t="str">
        <f>IF(VLOOKUP(BQ160,Fundamentus!A:U,17,FALSE)&lt;0.1,"Fraco retorno",IF(VLOOKUP(BQ160,Fundamentus!A:U,17,FALSE)&gt;0.1,"Bom retorno","n/a"))</f>
        <v>Bom retorno</v>
      </c>
      <c r="ET160" s="17" t="str">
        <f>IF(VLOOKUP(BQ160,Fundamentus!A:U,16,FALSE)&lt;0.1,"Ineficiente",IF(VLOOKUP(BQ160,Fundamentus!A:U,16,FALSE)&gt;0.1,"Eficiente","n/a"))</f>
        <v>Ineficiente</v>
      </c>
      <c r="EU160" s="33" t="str">
        <f>IF(VLOOKUP(BQ160,Fundamentus!A:U,16,FALSE)&lt;0.1,"Oper. Ineficiente",IF(VLOOKUP(BQ160,Fundamentus!A:U,16,FALSE)&gt;0.1,"Oper.Eficiente","n/a"))</f>
        <v>Oper. Ineficiente</v>
      </c>
      <c r="EV160" s="34">
        <f>VLOOKUP(BQ160,Fundamentus!A:U,14,FALSE)</f>
        <v>0.15820000000000001</v>
      </c>
      <c r="EW160" s="17" t="str">
        <f>IF(VLOOKUP(BQ160,Fundamentus!A:U,21,FALSE)&lt;0,"Negativo",IF(VLOOKUP(BQ160,Fundamentus!A:U,21,FALSE)&lt;0.05,"Fraco",IF(VLOOKUP(BQ160,Fundamentus!A:U,21,FALSE)&lt;0.1,"Bom",IF(VLOOKUP(BQ160,Fundamentus!A:U,21,FALSE)&gt;0.1,"Muito bom","n/a"))))</f>
        <v>Fraco</v>
      </c>
      <c r="EY160" s="29" t="str">
        <f>IF(VLOOKUP(BQ160,Fundamentus!A:U,15,FALSE)&gt;1,"Bom",IF(VLOOKUP(BQ160,Fundamentus!A:U,15,FALSE)&lt;1,"Ruim","n/a"))</f>
        <v>Bom</v>
      </c>
      <c r="EZ160" s="17" t="str">
        <f>IF(VLOOKUP(BQ160,Fundamentus!A:U,20,FALSE)&lt;0.5,"Baixa",IF(VLOOKUP(BQ160,Fundamentus!A:U,20,FALSE)&lt;1,"Moderada",IF(VLOOKUP(BQ160,Fundamentus!A:U,20,FALSE)&lt;2,"Alerta",IF(VLOOKUP(BQ160,Fundamentus!A:U,20,FALSE)&gt;2,"Alta","n/a"))))</f>
        <v>Alerta</v>
      </c>
      <c r="FA160" s="10"/>
    </row>
    <row r="161" spans="1:157" s="2" customFormat="1" ht="11.25" hidden="1" x14ac:dyDescent="0.2">
      <c r="A161" s="4">
        <v>4.54</v>
      </c>
      <c r="B161" s="4">
        <v>4.49</v>
      </c>
      <c r="C161" s="4">
        <v>4.41</v>
      </c>
      <c r="D161" s="4">
        <v>4.38</v>
      </c>
      <c r="E161" s="4">
        <v>4.01</v>
      </c>
      <c r="F161" s="4">
        <v>4.0999999999999996</v>
      </c>
      <c r="G161" s="4">
        <v>3.85</v>
      </c>
      <c r="H161" s="4">
        <v>3.75</v>
      </c>
      <c r="I161" s="4">
        <v>3.72</v>
      </c>
      <c r="J161" s="4">
        <v>4.13</v>
      </c>
      <c r="K161" s="4">
        <v>4.16</v>
      </c>
      <c r="L161" s="4">
        <v>3.86</v>
      </c>
      <c r="M161" s="4">
        <v>4.04</v>
      </c>
      <c r="N161" s="4">
        <v>3.92</v>
      </c>
      <c r="O161" s="4">
        <v>4.32</v>
      </c>
      <c r="P161" s="4">
        <v>3.92</v>
      </c>
      <c r="Q161" s="4">
        <v>4.0199999999999996</v>
      </c>
      <c r="R161" s="4">
        <v>3.65</v>
      </c>
      <c r="S161" s="4">
        <v>3.56</v>
      </c>
      <c r="T161" s="4">
        <v>3.63</v>
      </c>
      <c r="U161" s="4">
        <v>3.49</v>
      </c>
      <c r="V161" s="4">
        <v>3.44</v>
      </c>
      <c r="W161" s="4">
        <v>3.3</v>
      </c>
      <c r="X161" s="4">
        <v>3.18</v>
      </c>
      <c r="Y161" s="4">
        <v>3.2</v>
      </c>
      <c r="Z161" s="4">
        <v>3.43</v>
      </c>
      <c r="AA161" s="4">
        <v>3.1</v>
      </c>
      <c r="AB161" s="4">
        <v>3.18</v>
      </c>
      <c r="AC161" s="4">
        <v>3.3</v>
      </c>
      <c r="AD161" s="4">
        <v>3.58</v>
      </c>
      <c r="AE161" s="4">
        <v>3.39</v>
      </c>
      <c r="AF161" s="4">
        <v>3.17</v>
      </c>
      <c r="AG161" s="4">
        <v>2.99</v>
      </c>
      <c r="AH161" s="4">
        <v>3.06</v>
      </c>
      <c r="AI161" s="4">
        <v>3.11</v>
      </c>
      <c r="AJ161" s="4">
        <v>3</v>
      </c>
      <c r="AK161" s="4">
        <v>3.08</v>
      </c>
      <c r="AL161" s="4">
        <v>3.15</v>
      </c>
      <c r="AM161" s="4">
        <v>3.22</v>
      </c>
      <c r="AN161" s="4">
        <v>3.44</v>
      </c>
      <c r="AO161" s="4">
        <v>3.48</v>
      </c>
      <c r="AP161" s="4">
        <v>3.66</v>
      </c>
      <c r="AQ161" s="4">
        <v>3.68</v>
      </c>
      <c r="AR161" s="4">
        <v>3.38</v>
      </c>
      <c r="AS161" s="4">
        <v>3.59</v>
      </c>
      <c r="AT161" s="4">
        <v>3.68</v>
      </c>
      <c r="AU161" s="4">
        <v>3.56</v>
      </c>
      <c r="AV161" s="4">
        <v>3.88</v>
      </c>
      <c r="AW161" s="4">
        <v>3.42</v>
      </c>
      <c r="AX161" s="4">
        <v>3.69</v>
      </c>
      <c r="AY161" s="12">
        <v>3.86</v>
      </c>
      <c r="AZ161" s="12">
        <v>3.98</v>
      </c>
      <c r="BA161" s="12">
        <v>4.09</v>
      </c>
      <c r="BB161" s="15">
        <v>4.08</v>
      </c>
      <c r="BC161" s="52">
        <v>4.3099999999999996</v>
      </c>
      <c r="BD161" s="52">
        <v>5.12</v>
      </c>
      <c r="BE161" s="52">
        <v>5.28</v>
      </c>
      <c r="BF161" s="52">
        <v>4.97</v>
      </c>
      <c r="BG161" s="67">
        <v>5.2</v>
      </c>
      <c r="BH161" s="52">
        <v>5.17</v>
      </c>
      <c r="BI161" s="52">
        <v>5.0999999999999996</v>
      </c>
      <c r="BJ161" s="52">
        <v>5.0999999999999996</v>
      </c>
      <c r="BK161" s="52">
        <v>4.8</v>
      </c>
      <c r="BL161" s="52">
        <v>4.8499999999999996</v>
      </c>
      <c r="BM161" s="52">
        <v>4.88</v>
      </c>
      <c r="BN161" s="52">
        <v>5.07</v>
      </c>
      <c r="BO161" s="52">
        <v>5.05</v>
      </c>
      <c r="BP161" s="52" cm="1">
        <f t="array" aca="1" ref="BP161" ca="1">_FV(ED161,"Preço")</f>
        <v>4.63</v>
      </c>
      <c r="BQ161" s="69" t="s">
        <v>157</v>
      </c>
      <c r="BR161" s="36" cm="1">
        <f t="array" aca="1" ref="BR161" ca="1">_FV(ED161,"Média de volume",TRUE)</f>
        <v>259550</v>
      </c>
      <c r="BS161" s="36">
        <v>231600</v>
      </c>
      <c r="BT161" s="36" cm="1">
        <f t="array" aca="1" ref="BT161" ca="1">_FV(ED161,"Volume")</f>
        <v>925300</v>
      </c>
      <c r="BU161" s="24" cm="1">
        <f t="array" aca="1" ref="BU161" ca="1">_FV(ED161,"Beta")</f>
        <v>2.3094999999999999</v>
      </c>
      <c r="BV161" s="71" cm="1">
        <f t="array" aca="1" ref="BV161" ca="1">_FV(ED161,"Variação (%)",TRUE)</f>
        <v>-0.10097099999999999</v>
      </c>
      <c r="BX161" s="17" cm="1">
        <f t="array" aca="1" ref="BX161" ca="1">_FV(ED161,"Baixo")</f>
        <v>4.57</v>
      </c>
      <c r="BY161" s="17" cm="1">
        <f t="array" aca="1" ref="BY161" ca="1">_FV(ED161,"Alto")</f>
        <v>5.15</v>
      </c>
      <c r="BZ161" s="24"/>
      <c r="CA161" s="63">
        <f ca="1">SQRT(22.5*(BP161/VLOOKUP(BQ161,Fundamentus!A:U,3,FALSE))*(BP161/VLOOKUP(BQ161,Fundamentus!A:U,4,FALSE)))</f>
        <v>6.7011585234405313</v>
      </c>
      <c r="CC161" s="62">
        <f t="shared" ca="1" si="168"/>
        <v>-8.3168316831683159E-2</v>
      </c>
      <c r="CD161" s="8"/>
      <c r="CE161" s="61">
        <f t="shared" si="169"/>
        <v>2.99</v>
      </c>
      <c r="CF161" s="61">
        <f t="shared" si="170"/>
        <v>5.28</v>
      </c>
      <c r="CG161" s="61">
        <f t="shared" si="171"/>
        <v>3.9134328358208963</v>
      </c>
      <c r="CH161" s="14"/>
      <c r="CI161" s="35">
        <f t="shared" si="154"/>
        <v>4.9412764301680907</v>
      </c>
      <c r="CJ161" s="15">
        <f t="shared" si="172"/>
        <v>5.1599999999999682</v>
      </c>
      <c r="CK161" s="35">
        <f t="shared" si="155"/>
        <v>5.3787235698318456</v>
      </c>
      <c r="CM161" s="14"/>
      <c r="CN161" s="17">
        <f t="shared" si="156"/>
        <v>1.3100000000000005</v>
      </c>
      <c r="CO161" s="17">
        <f t="shared" si="157"/>
        <v>2.1500000000000004</v>
      </c>
      <c r="CP161" s="17">
        <f t="shared" si="158"/>
        <v>3.6000000000000005</v>
      </c>
      <c r="CQ161" s="38">
        <f t="shared" si="173"/>
        <v>4.4400000000000004</v>
      </c>
      <c r="CR161" s="17">
        <f t="shared" si="159"/>
        <v>5.8900000000000006</v>
      </c>
      <c r="CS161" s="17">
        <f t="shared" si="160"/>
        <v>6.73</v>
      </c>
      <c r="CT161" s="17">
        <f t="shared" si="161"/>
        <v>8.18</v>
      </c>
      <c r="CU161" s="2" cm="1">
        <f t="array" aca="1" ref="CU161" ca="1">MAX(_xlfn._xlws.FILTER(CN161:CT161,CN161:CT161&lt;BP161))</f>
        <v>4.4400000000000004</v>
      </c>
      <c r="CV161" s="2" cm="1">
        <f t="array" aca="1" ref="CV161" ca="1">MIN(_xlfn._xlws.FILTER($CN161:$CT161,$CN161:$CT161&gt;BP161))</f>
        <v>5.8900000000000006</v>
      </c>
      <c r="CW161" s="16">
        <f t="shared" ca="1" si="175"/>
        <v>0.32657657657657668</v>
      </c>
      <c r="CX161" s="20">
        <f t="shared" ca="1" si="176"/>
        <v>-0.16328828828828834</v>
      </c>
      <c r="CY161" s="20">
        <f t="shared" ca="1" si="177"/>
        <v>-0.10885885885885889</v>
      </c>
      <c r="CZ161" s="20">
        <f t="shared" ca="1" si="178"/>
        <v>-6.5315315315315342E-2</v>
      </c>
      <c r="DA161" s="20">
        <f t="shared" ca="1" si="179"/>
        <v>-3.6286286286286301E-2</v>
      </c>
      <c r="DB161" s="20">
        <f t="shared" ca="1" si="180"/>
        <v>-1.9210386857445687E-2</v>
      </c>
      <c r="DC161" s="20">
        <f t="shared" ca="1" si="181"/>
        <v>-9.8962598962598989E-3</v>
      </c>
      <c r="DD161" s="20">
        <f t="shared" ca="1" si="182"/>
        <v>-5.024255024255026E-3</v>
      </c>
      <c r="DE161" s="21">
        <f t="shared" ca="1" si="183"/>
        <v>5.024255024255026E-3</v>
      </c>
      <c r="DF161" s="21">
        <f t="shared" ca="1" si="184"/>
        <v>9.8962598962598989E-3</v>
      </c>
      <c r="DG161" s="21">
        <f t="shared" ca="1" si="185"/>
        <v>1.9210386857445687E-2</v>
      </c>
      <c r="DH161" s="21">
        <f t="shared" ca="1" si="186"/>
        <v>3.6286286286286301E-2</v>
      </c>
      <c r="DI161" s="21">
        <f t="shared" ca="1" si="187"/>
        <v>6.5315315315315342E-2</v>
      </c>
      <c r="DJ161" s="21">
        <f t="shared" ca="1" si="188"/>
        <v>0.10885885885885889</v>
      </c>
      <c r="DK161" s="21">
        <f t="shared" ca="1" si="189"/>
        <v>0.16328828828828834</v>
      </c>
      <c r="DM161" s="16" cm="1">
        <f t="array" aca="1" ref="DM161" ca="1">MAX(_xlfn._xlws.FILTER(CX161:DK161,CX161:DK161&lt;BV161))</f>
        <v>-0.10885885885885889</v>
      </c>
      <c r="DN161" s="16" cm="1">
        <f t="array" aca="1" ref="DN161" ca="1">MIN(_xlfn._xlws.FILTER(CX161:DK161,CX161:DK161&gt;BV161))</f>
        <v>-6.5315315315315342E-2</v>
      </c>
      <c r="DO161" s="2" cm="1">
        <f t="array" aca="1" ref="DO161" ca="1">_FV(ED161,"Fechamento anterior",TRUE)</f>
        <v>5.15</v>
      </c>
      <c r="DP161" s="28">
        <f t="shared" ca="1" si="162"/>
        <v>0.18115165718111845</v>
      </c>
      <c r="DQ161" s="15">
        <f t="shared" ca="1" si="190"/>
        <v>4.5893768768768766</v>
      </c>
      <c r="DR161" s="15">
        <f t="shared" ca="1" si="191"/>
        <v>4.8136261261261266</v>
      </c>
      <c r="DS161" s="9"/>
      <c r="DT161" s="9"/>
      <c r="DU161" s="9"/>
      <c r="DV161" s="89">
        <v>4.8720048720048729E-3</v>
      </c>
      <c r="DW161" s="89">
        <f t="shared" ca="1" si="163"/>
        <v>4.3543543543543548E-2</v>
      </c>
      <c r="DX161" s="72">
        <f t="shared" ca="1" si="164"/>
        <v>-2.4231499166155452</v>
      </c>
      <c r="DY161" s="37"/>
      <c r="DZ161" s="35">
        <f t="shared" si="174"/>
        <v>0.10936178491593866</v>
      </c>
      <c r="EA161" s="56"/>
      <c r="EB161" s="56"/>
      <c r="ED161" s="2" t="e" vm="163">
        <v>#VALUE!</v>
      </c>
      <c r="EF161" s="10" cm="1">
        <f t="array" aca="1" ref="EF161" ca="1">_FV(ED161,"Ações em circulação",TRUE)</f>
        <v>364542500</v>
      </c>
      <c r="EG161" s="18">
        <f>VLOOKUP(BQ161,Fundamentus!A:U,5,FALSE)</f>
        <v>0.68200000000000005</v>
      </c>
      <c r="EH161" s="2">
        <f t="shared" ca="1" si="165"/>
        <v>2474826649.5601172</v>
      </c>
      <c r="EI161" s="17">
        <v>197050722.32404688</v>
      </c>
      <c r="EJ161" s="17">
        <f t="shared" ca="1" si="166"/>
        <v>180662345.41788855</v>
      </c>
      <c r="EL161" s="16">
        <f t="shared" ca="1" si="153"/>
        <v>-8.316831683168302E-2</v>
      </c>
      <c r="EM161" s="32" t="str">
        <f>IF(VLOOKUP(BQ161,Fundamentus!A:U,3,FALSE)&lt;15,"Bom",IF(VLOOKUP(BQ161,Fundamentus!A:U,3,FALSE)&gt;15,"Ruim","n/a"))</f>
        <v>Bom</v>
      </c>
      <c r="EN161" s="28" t="str">
        <f>IF(VLOOKUP(BQ161,Fundamentus!A:U,4,FALSE)&lt;1,"Baixo",IF(VLOOKUP(BQ161,Fundamentus!A:U,4,FALSE)&lt;1.5,"Moderado",IF(VLOOKUP(BQ161,Fundamentus!A:U,4,FALSE)&gt;1.5,"Alto","n/a")))</f>
        <v>Moderado</v>
      </c>
      <c r="EO161" s="17" t="str">
        <f>IF(VLOOKUP(BQ161,Fundamentus!A:U,8,FALSE)&lt;0,"Risco elevado",IF(VLOOKUP(BQ161,Fundamentus!A:U,8,FALSE)&lt;1,"Saudável",IF(VLOOKUP(BQ161,Fundamentus!A:U,8,FALSE)&lt;3,"Estável",IF(VLOOKUP(BQ161,Fundamentus!A:U,8,FALSE)&gt;3,"Alerta","n/a"))))</f>
        <v>Alerta</v>
      </c>
      <c r="EP161" s="28" t="str">
        <f t="shared" si="167"/>
        <v>Ruim</v>
      </c>
      <c r="EQ161" s="17" t="str">
        <f>IF(VLOOKUP(BQ161,Fundamentus!A:U,12,FALSE)&lt;2,"Subvalorizada",IF(VLOOKUP(BQ161,Fundamentus!A:U,12,FALSE)&lt;6,"Muita barata",IF(VLOOKUP(BQ161,Fundamentus!A:U,12,FALSE)&lt;6,"Barata",IF(VLOOKUP(BQ161,Fundamentus!A:U,12,FALSE)&lt;8,"Atrativa",IF(VLOOKUP(BQ161,Fundamentus!A:U,12,FALSE)&gt;8,"Supervalorizada","n/a")))))</f>
        <v>Muita barata</v>
      </c>
      <c r="ES161" s="17" t="str">
        <f>IF(VLOOKUP(BQ161,Fundamentus!A:U,17,FALSE)&lt;0.1,"Fraco retorno",IF(VLOOKUP(BQ161,Fundamentus!A:U,17,FALSE)&gt;0.1,"Bom retorno","n/a"))</f>
        <v>Bom retorno</v>
      </c>
      <c r="ET161" s="17" t="str">
        <f>IF(VLOOKUP(BQ161,Fundamentus!A:U,16,FALSE)&lt;0.1,"Ineficiente",IF(VLOOKUP(BQ161,Fundamentus!A:U,16,FALSE)&gt;0.1,"Eficiente","n/a"))</f>
        <v>Eficiente</v>
      </c>
      <c r="EU161" s="33" t="str">
        <f>IF(VLOOKUP(BQ161,Fundamentus!A:U,16,FALSE)&lt;0.1,"Oper. Ineficiente",IF(VLOOKUP(BQ161,Fundamentus!A:U,16,FALSE)&gt;0.1,"Oper.Eficiente","n/a"))</f>
        <v>Oper.Eficiente</v>
      </c>
      <c r="EV161" s="34">
        <f>VLOOKUP(BQ161,Fundamentus!A:U,14,FALSE)</f>
        <v>7.2999999999999995E-2</v>
      </c>
      <c r="EW161" s="17" t="str">
        <f>IF(VLOOKUP(BQ161,Fundamentus!A:U,21,FALSE)&lt;0,"Negativo",IF(VLOOKUP(BQ161,Fundamentus!A:U,21,FALSE)&lt;0.05,"Fraco",IF(VLOOKUP(BQ161,Fundamentus!A:U,21,FALSE)&lt;0.1,"Bom",IF(VLOOKUP(BQ161,Fundamentus!A:U,21,FALSE)&gt;0.1,"Muito bom","n/a"))))</f>
        <v>Muito bom</v>
      </c>
      <c r="EY161" s="29" t="str">
        <f>IF(VLOOKUP(BQ161,Fundamentus!A:U,15,FALSE)&gt;1,"Bom",IF(VLOOKUP(BQ161,Fundamentus!A:U,15,FALSE)&lt;1,"Ruim","n/a"))</f>
        <v>Bom</v>
      </c>
      <c r="EZ161" s="17" t="str">
        <f>IF(VLOOKUP(BQ161,Fundamentus!A:U,20,FALSE)&lt;0.5,"Baixa",IF(VLOOKUP(BQ161,Fundamentus!A:U,20,FALSE)&lt;1,"Moderada",IF(VLOOKUP(BQ161,Fundamentus!A:U,20,FALSE)&lt;2,"Alerta",IF(VLOOKUP(BQ161,Fundamentus!A:U,20,FALSE)&gt;2,"Alta","n/a"))))</f>
        <v>Moderada</v>
      </c>
      <c r="FA161" s="10"/>
    </row>
    <row r="162" spans="1:157" s="2" customFormat="1" ht="11.25" hidden="1" x14ac:dyDescent="0.2">
      <c r="A162" s="4">
        <v>24.6</v>
      </c>
      <c r="B162" s="4">
        <v>23.44</v>
      </c>
      <c r="C162" s="4">
        <v>24.08</v>
      </c>
      <c r="D162" s="4">
        <v>22.76</v>
      </c>
      <c r="E162" s="4">
        <v>22.68</v>
      </c>
      <c r="F162" s="4">
        <v>22.88</v>
      </c>
      <c r="G162" s="4">
        <v>22.46</v>
      </c>
      <c r="H162" s="4">
        <v>22.2</v>
      </c>
      <c r="I162" s="4">
        <v>22.54</v>
      </c>
      <c r="J162" s="4">
        <v>24.17</v>
      </c>
      <c r="K162" s="4">
        <v>24.69</v>
      </c>
      <c r="L162" s="4">
        <v>24.63</v>
      </c>
      <c r="M162" s="4">
        <v>24.17</v>
      </c>
      <c r="N162" s="4">
        <v>24.8</v>
      </c>
      <c r="O162" s="4">
        <v>26.3</v>
      </c>
      <c r="P162" s="4">
        <v>26.72</v>
      </c>
      <c r="Q162" s="4">
        <v>26.69</v>
      </c>
      <c r="R162" s="4">
        <v>25.64</v>
      </c>
      <c r="S162" s="4">
        <v>25.95</v>
      </c>
      <c r="T162" s="4">
        <v>27.52</v>
      </c>
      <c r="U162" s="4">
        <v>26.34</v>
      </c>
      <c r="V162" s="4">
        <v>25.54</v>
      </c>
      <c r="W162" s="4">
        <v>25.79</v>
      </c>
      <c r="X162" s="4">
        <v>25.6</v>
      </c>
      <c r="Y162" s="4">
        <v>25.34</v>
      </c>
      <c r="Z162" s="4">
        <v>25.1</v>
      </c>
      <c r="AA162" s="4">
        <v>25.04</v>
      </c>
      <c r="AB162" s="4">
        <v>24.68</v>
      </c>
      <c r="AC162" s="4">
        <v>25.65</v>
      </c>
      <c r="AD162" s="4">
        <v>25.72</v>
      </c>
      <c r="AE162" s="4">
        <v>23.88</v>
      </c>
      <c r="AF162" s="4">
        <v>23.22</v>
      </c>
      <c r="AG162" s="4">
        <v>22.5</v>
      </c>
      <c r="AH162" s="4">
        <v>21.37</v>
      </c>
      <c r="AI162" s="4">
        <v>21.19</v>
      </c>
      <c r="AJ162" s="4">
        <v>20.28</v>
      </c>
      <c r="AK162" s="4">
        <v>20.239999999999998</v>
      </c>
      <c r="AL162" s="4">
        <v>20.53</v>
      </c>
      <c r="AM162" s="4">
        <v>20.81</v>
      </c>
      <c r="AN162" s="4">
        <v>22.4</v>
      </c>
      <c r="AO162" s="4">
        <v>22.07</v>
      </c>
      <c r="AP162" s="4">
        <v>22.85</v>
      </c>
      <c r="AQ162" s="4">
        <v>22.19</v>
      </c>
      <c r="AR162" s="4">
        <v>20.95</v>
      </c>
      <c r="AS162" s="4">
        <v>21.59</v>
      </c>
      <c r="AT162" s="4">
        <v>22.91</v>
      </c>
      <c r="AU162" s="4">
        <v>23.14</v>
      </c>
      <c r="AV162" s="4">
        <v>22.76</v>
      </c>
      <c r="AW162" s="4">
        <v>22.78</v>
      </c>
      <c r="AX162" s="4">
        <v>23.8</v>
      </c>
      <c r="AY162" s="12">
        <v>24.14</v>
      </c>
      <c r="AZ162" s="12">
        <v>25.5</v>
      </c>
      <c r="BA162" s="12">
        <v>25.74</v>
      </c>
      <c r="BB162" s="15">
        <v>26.02</v>
      </c>
      <c r="BC162" s="52">
        <v>25.84</v>
      </c>
      <c r="BD162" s="52">
        <v>25.9</v>
      </c>
      <c r="BE162" s="52">
        <v>26.88</v>
      </c>
      <c r="BF162" s="52">
        <v>26.26</v>
      </c>
      <c r="BG162" s="67">
        <v>25.7</v>
      </c>
      <c r="BH162" s="52">
        <v>25.85</v>
      </c>
      <c r="BI162" s="52">
        <v>27.04</v>
      </c>
      <c r="BJ162" s="52">
        <v>27.17</v>
      </c>
      <c r="BK162" s="52">
        <v>25.9</v>
      </c>
      <c r="BL162" s="52">
        <v>25.24</v>
      </c>
      <c r="BM162" s="52">
        <v>25.25</v>
      </c>
      <c r="BN162" s="52">
        <v>25.65</v>
      </c>
      <c r="BO162" s="52">
        <v>26.01</v>
      </c>
      <c r="BP162" s="52" cm="1">
        <f t="array" aca="1" ref="BP162" ca="1">_FV(ED162,"Preço")</f>
        <v>26.61</v>
      </c>
      <c r="BQ162" s="69" t="s">
        <v>158</v>
      </c>
      <c r="BR162" s="36" cm="1">
        <f t="array" aca="1" ref="BR162" ca="1">_FV(ED162,"Média de volume",TRUE)</f>
        <v>3375190</v>
      </c>
      <c r="BS162" s="36">
        <v>4274300</v>
      </c>
      <c r="BT162" s="36" cm="1">
        <f t="array" aca="1" ref="BT162" ca="1">_FV(ED162,"Volume")</f>
        <v>2872600</v>
      </c>
      <c r="BU162" s="24" cm="1">
        <f t="array" aca="1" ref="BU162" ca="1">_FV(ED162,"Beta")</f>
        <v>1.0425</v>
      </c>
      <c r="BV162" s="71" cm="1">
        <f t="array" aca="1" ref="BV162" ca="1">_FV(ED162,"Variação (%)",TRUE)</f>
        <v>3.7719999999999997E-3</v>
      </c>
      <c r="BX162" s="17" cm="1">
        <f t="array" aca="1" ref="BX162" ca="1">_FV(ED162,"Baixo")</f>
        <v>26.3</v>
      </c>
      <c r="BY162" s="17" cm="1">
        <f t="array" aca="1" ref="BY162" ca="1">_FV(ED162,"Alto")</f>
        <v>26.65</v>
      </c>
      <c r="BZ162" s="24"/>
      <c r="CA162" s="63">
        <f ca="1">SQRT(22.5*(BP162/VLOOKUP(BQ162,Fundamentus!A:U,3,FALSE))*(BP162/VLOOKUP(BQ162,Fundamentus!A:U,4,FALSE)))</f>
        <v>26.188554553133255</v>
      </c>
      <c r="CC162" s="62">
        <f t="shared" ca="1" si="168"/>
        <v>2.3068050749711567E-2</v>
      </c>
      <c r="CD162" s="8"/>
      <c r="CE162" s="61">
        <f t="shared" si="169"/>
        <v>20.239999999999998</v>
      </c>
      <c r="CF162" s="61">
        <f t="shared" si="170"/>
        <v>27.52</v>
      </c>
      <c r="CG162" s="61">
        <f t="shared" si="171"/>
        <v>24.257761194029857</v>
      </c>
      <c r="CH162" s="14"/>
      <c r="CI162" s="35">
        <f t="shared" si="154"/>
        <v>25.574875012204565</v>
      </c>
      <c r="CJ162" s="15">
        <f t="shared" si="172"/>
        <v>26.214999999999918</v>
      </c>
      <c r="CK162" s="35">
        <f t="shared" si="155"/>
        <v>26.855124987795271</v>
      </c>
      <c r="CM162" s="14"/>
      <c r="CN162" s="17">
        <f t="shared" si="156"/>
        <v>14.379999999999999</v>
      </c>
      <c r="CO162" s="17">
        <f t="shared" si="157"/>
        <v>17.309999999999999</v>
      </c>
      <c r="CP162" s="17">
        <f t="shared" si="158"/>
        <v>21.66</v>
      </c>
      <c r="CQ162" s="38">
        <f t="shared" si="173"/>
        <v>24.59</v>
      </c>
      <c r="CR162" s="17">
        <f t="shared" si="159"/>
        <v>28.94</v>
      </c>
      <c r="CS162" s="17">
        <f t="shared" si="160"/>
        <v>31.87</v>
      </c>
      <c r="CT162" s="17">
        <f t="shared" si="161"/>
        <v>36.22</v>
      </c>
      <c r="CU162" s="2" cm="1">
        <f t="array" aca="1" ref="CU162" ca="1">MAX(_xlfn._xlws.FILTER(CN162:CT162,CN162:CT162&lt;BP162))</f>
        <v>24.59</v>
      </c>
      <c r="CV162" s="2" cm="1">
        <f t="array" aca="1" ref="CV162" ca="1">MIN(_xlfn._xlws.FILTER($CN162:$CT162,$CN162:$CT162&gt;BP162))</f>
        <v>28.94</v>
      </c>
      <c r="CW162" s="16">
        <f t="shared" ca="1" si="175"/>
        <v>0.17690117934119565</v>
      </c>
      <c r="CX162" s="20">
        <f t="shared" ca="1" si="176"/>
        <v>-8.8450589670597823E-2</v>
      </c>
      <c r="CY162" s="20">
        <f t="shared" ca="1" si="177"/>
        <v>-5.8967059780398547E-2</v>
      </c>
      <c r="CZ162" s="20">
        <f t="shared" ca="1" si="178"/>
        <v>-3.5380235868239129E-2</v>
      </c>
      <c r="DA162" s="20">
        <f t="shared" ca="1" si="179"/>
        <v>-1.9655686593466185E-2</v>
      </c>
      <c r="DB162" s="20">
        <f t="shared" ca="1" si="180"/>
        <v>-1.0405951725952685E-2</v>
      </c>
      <c r="DC162" s="20">
        <f t="shared" ca="1" si="181"/>
        <v>-5.36064179821805E-3</v>
      </c>
      <c r="DD162" s="20">
        <f t="shared" ca="1" si="182"/>
        <v>-2.7215566052491637E-3</v>
      </c>
      <c r="DE162" s="21">
        <f t="shared" ca="1" si="183"/>
        <v>2.7215566052491637E-3</v>
      </c>
      <c r="DF162" s="21">
        <f t="shared" ca="1" si="184"/>
        <v>5.36064179821805E-3</v>
      </c>
      <c r="DG162" s="21">
        <f t="shared" ca="1" si="185"/>
        <v>1.0405951725952685E-2</v>
      </c>
      <c r="DH162" s="21">
        <f t="shared" ca="1" si="186"/>
        <v>1.9655686593466185E-2</v>
      </c>
      <c r="DI162" s="21">
        <f t="shared" ca="1" si="187"/>
        <v>3.5380235868239129E-2</v>
      </c>
      <c r="DJ162" s="21">
        <f t="shared" ca="1" si="188"/>
        <v>5.8967059780398547E-2</v>
      </c>
      <c r="DK162" s="21">
        <f t="shared" ca="1" si="189"/>
        <v>8.8450589670597823E-2</v>
      </c>
      <c r="DM162" s="16" cm="1">
        <f t="array" aca="1" ref="DM162" ca="1">MAX(_xlfn._xlws.FILTER(CX162:DK162,CX162:DK162&lt;BV162))</f>
        <v>2.7215566052491637E-3</v>
      </c>
      <c r="DN162" s="16" cm="1">
        <f t="array" aca="1" ref="DN162" ca="1">MIN(_xlfn._xlws.FILTER(CX162:DK162,CX162:DK162&gt;BV162))</f>
        <v>5.36064179821805E-3</v>
      </c>
      <c r="DO162" s="2" cm="1">
        <f t="array" aca="1" ref="DO162" ca="1">_FV(ED162,"Fechamento anterior",TRUE)</f>
        <v>26.51</v>
      </c>
      <c r="DP162" s="28">
        <f t="shared" ca="1" si="162"/>
        <v>0.39809432679922169</v>
      </c>
      <c r="DQ162" s="15">
        <f t="shared" ca="1" si="190"/>
        <v>26.582148465605158</v>
      </c>
      <c r="DR162" s="15">
        <f t="shared" ca="1" si="191"/>
        <v>26.652110614070761</v>
      </c>
      <c r="DS162" s="9"/>
      <c r="DT162" s="9"/>
      <c r="DU162" s="9"/>
      <c r="DV162" s="89">
        <v>2.6390851929688863E-3</v>
      </c>
      <c r="DW162" s="89">
        <f t="shared" ca="1" si="163"/>
        <v>2.6390851929688863E-3</v>
      </c>
      <c r="DX162" s="72">
        <f t="shared" ca="1" si="164"/>
        <v>0.61706699087079231</v>
      </c>
      <c r="DY162" s="37"/>
      <c r="DZ162" s="35">
        <f t="shared" si="174"/>
        <v>0.3200624938976766</v>
      </c>
      <c r="EA162" s="56"/>
      <c r="EB162" s="56"/>
      <c r="ED162" s="2" t="e" vm="164">
        <v>#VALUE!</v>
      </c>
      <c r="EF162" s="10" cm="1">
        <f t="array" aca="1" ref="EF162" ca="1">_FV(ED162,"Ações em circulação",TRUE)</f>
        <v>513163700</v>
      </c>
      <c r="EG162" s="18">
        <f>VLOOKUP(BQ162,Fundamentus!A:U,5,FALSE)</f>
        <v>5.1879999999999997</v>
      </c>
      <c r="EH162" s="2">
        <f t="shared" ca="1" si="165"/>
        <v>2632090604.6646109</v>
      </c>
      <c r="EI162" s="17">
        <v>1321360522.9535851</v>
      </c>
      <c r="EJ162" s="17">
        <f t="shared" ca="1" si="166"/>
        <v>1351841734.5557439</v>
      </c>
      <c r="EL162" s="16">
        <f t="shared" ca="1" si="153"/>
        <v>2.3068050749711633E-2</v>
      </c>
      <c r="EM162" s="32" t="str">
        <f>IF(VLOOKUP(BQ162,Fundamentus!A:U,3,FALSE)&lt;15,"Bom",IF(VLOOKUP(BQ162,Fundamentus!A:U,3,FALSE)&gt;15,"Ruim","n/a"))</f>
        <v>Bom</v>
      </c>
      <c r="EN162" s="28" t="str">
        <f>IF(VLOOKUP(BQ162,Fundamentus!A:U,4,FALSE)&lt;1,"Baixo",IF(VLOOKUP(BQ162,Fundamentus!A:U,4,FALSE)&lt;1.5,"Moderado",IF(VLOOKUP(BQ162,Fundamentus!A:U,4,FALSE)&gt;1.5,"Alto","n/a")))</f>
        <v>Alto</v>
      </c>
      <c r="EO162" s="17" t="str">
        <f>IF(VLOOKUP(BQ162,Fundamentus!A:U,8,FALSE)&lt;0,"Risco elevado",IF(VLOOKUP(BQ162,Fundamentus!A:U,8,FALSE)&lt;1,"Saudável",IF(VLOOKUP(BQ162,Fundamentus!A:U,8,FALSE)&lt;3,"Estável",IF(VLOOKUP(BQ162,Fundamentus!A:U,8,FALSE)&gt;3,"Alerta","n/a"))))</f>
        <v>Alerta</v>
      </c>
      <c r="EP162" s="28" t="str">
        <f t="shared" si="167"/>
        <v>Bom</v>
      </c>
      <c r="EQ162" s="17" t="str">
        <f>IF(VLOOKUP(BQ162,Fundamentus!A:U,12,FALSE)&lt;2,"Subvalorizada",IF(VLOOKUP(BQ162,Fundamentus!A:U,12,FALSE)&lt;6,"Muita barata",IF(VLOOKUP(BQ162,Fundamentus!A:U,12,FALSE)&lt;6,"Barata",IF(VLOOKUP(BQ162,Fundamentus!A:U,12,FALSE)&lt;8,"Atrativa",IF(VLOOKUP(BQ162,Fundamentus!A:U,12,FALSE)&gt;8,"Supervalorizada","n/a")))))</f>
        <v>Supervalorizada</v>
      </c>
      <c r="ES162" s="17" t="str">
        <f>IF(VLOOKUP(BQ162,Fundamentus!A:U,17,FALSE)&lt;0.1,"Fraco retorno",IF(VLOOKUP(BQ162,Fundamentus!A:U,17,FALSE)&gt;0.1,"Bom retorno","n/a"))</f>
        <v>Bom retorno</v>
      </c>
      <c r="ET162" s="17" t="str">
        <f>IF(VLOOKUP(BQ162,Fundamentus!A:U,16,FALSE)&lt;0.1,"Ineficiente",IF(VLOOKUP(BQ162,Fundamentus!A:U,16,FALSE)&gt;0.1,"Eficiente","n/a"))</f>
        <v>Eficiente</v>
      </c>
      <c r="EU162" s="33" t="str">
        <f>IF(VLOOKUP(BQ162,Fundamentus!A:U,16,FALSE)&lt;0.1,"Oper. Ineficiente",IF(VLOOKUP(BQ162,Fundamentus!A:U,16,FALSE)&gt;0.1,"Oper.Eficiente","n/a"))</f>
        <v>Oper.Eficiente</v>
      </c>
      <c r="EV162" s="34">
        <f>VLOOKUP(BQ162,Fundamentus!A:U,14,FALSE)</f>
        <v>0.51359999999999995</v>
      </c>
      <c r="EW162" s="17" t="str">
        <f>IF(VLOOKUP(BQ162,Fundamentus!A:U,21,FALSE)&lt;0,"Negativo",IF(VLOOKUP(BQ162,Fundamentus!A:U,21,FALSE)&lt;0.05,"Fraco",IF(VLOOKUP(BQ162,Fundamentus!A:U,21,FALSE)&lt;0.1,"Bom",IF(VLOOKUP(BQ162,Fundamentus!A:U,21,FALSE)&gt;0.1,"Muito bom","n/a"))))</f>
        <v>Muito bom</v>
      </c>
      <c r="EY162" s="29" t="str">
        <f>IF(VLOOKUP(BQ162,Fundamentus!A:U,15,FALSE)&gt;1,"Bom",IF(VLOOKUP(BQ162,Fundamentus!A:U,15,FALSE)&lt;1,"Ruim","n/a"))</f>
        <v>Bom</v>
      </c>
      <c r="EZ162" s="17" t="str">
        <f>IF(VLOOKUP(BQ162,Fundamentus!A:U,20,FALSE)&lt;0.5,"Baixa",IF(VLOOKUP(BQ162,Fundamentus!A:U,20,FALSE)&lt;1,"Moderada",IF(VLOOKUP(BQ162,Fundamentus!A:U,20,FALSE)&lt;2,"Alerta",IF(VLOOKUP(BQ162,Fundamentus!A:U,20,FALSE)&gt;2,"Alta","n/a"))))</f>
        <v>Moderada</v>
      </c>
      <c r="FA162" s="10"/>
    </row>
    <row r="163" spans="1:157" s="2" customFormat="1" ht="11.25" hidden="1" x14ac:dyDescent="0.2">
      <c r="A163" s="4">
        <v>11.68</v>
      </c>
      <c r="B163" s="4">
        <v>11.81</v>
      </c>
      <c r="C163" s="4">
        <v>11.75</v>
      </c>
      <c r="D163" s="4">
        <v>12.13</v>
      </c>
      <c r="E163" s="4">
        <v>11.94</v>
      </c>
      <c r="F163" s="4">
        <v>12.1</v>
      </c>
      <c r="G163" s="4">
        <v>12.18</v>
      </c>
      <c r="H163" s="4">
        <v>12.27</v>
      </c>
      <c r="I163" s="4">
        <v>12.37</v>
      </c>
      <c r="J163" s="4">
        <v>12.35</v>
      </c>
      <c r="K163" s="4">
        <v>12.48</v>
      </c>
      <c r="L163" s="4">
        <v>12.35</v>
      </c>
      <c r="M163" s="4">
        <v>12.05</v>
      </c>
      <c r="N163" s="4">
        <v>11.79</v>
      </c>
      <c r="O163" s="4">
        <v>11.54</v>
      </c>
      <c r="P163" s="4">
        <v>11.53</v>
      </c>
      <c r="Q163" s="4">
        <v>11.59</v>
      </c>
      <c r="R163" s="4">
        <v>11.39</v>
      </c>
      <c r="S163" s="4">
        <v>11.35</v>
      </c>
      <c r="T163" s="4">
        <v>11.11</v>
      </c>
      <c r="U163" s="4">
        <v>10.6</v>
      </c>
      <c r="V163" s="4">
        <v>10.44</v>
      </c>
      <c r="W163" s="4">
        <v>10.34</v>
      </c>
      <c r="X163" s="4">
        <v>10.06</v>
      </c>
      <c r="Y163" s="4">
        <v>10.1</v>
      </c>
      <c r="Z163" s="4">
        <v>10.38</v>
      </c>
      <c r="AA163" s="4">
        <v>10.220000000000001</v>
      </c>
      <c r="AB163" s="4">
        <v>10.16</v>
      </c>
      <c r="AC163" s="4">
        <v>9.98</v>
      </c>
      <c r="AD163" s="4">
        <v>9.94</v>
      </c>
      <c r="AE163" s="4">
        <v>9.86</v>
      </c>
      <c r="AF163" s="4">
        <v>9.4600000000000009</v>
      </c>
      <c r="AG163" s="4">
        <v>9.11</v>
      </c>
      <c r="AH163" s="4">
        <v>8.77</v>
      </c>
      <c r="AI163" s="4">
        <v>8.6999999999999993</v>
      </c>
      <c r="AJ163" s="4">
        <v>8.42</v>
      </c>
      <c r="AK163" s="4">
        <v>7.88</v>
      </c>
      <c r="AL163" s="4">
        <v>7.78</v>
      </c>
      <c r="AM163" s="4">
        <v>7.6</v>
      </c>
      <c r="AN163" s="4">
        <v>8.11</v>
      </c>
      <c r="AO163" s="4">
        <v>8.14</v>
      </c>
      <c r="AP163" s="4">
        <v>8.4700000000000006</v>
      </c>
      <c r="AQ163" s="4">
        <v>8.82</v>
      </c>
      <c r="AR163" s="4">
        <v>7.79</v>
      </c>
      <c r="AS163" s="4">
        <v>8.0500000000000007</v>
      </c>
      <c r="AT163" s="4">
        <v>7.59</v>
      </c>
      <c r="AU163" s="4">
        <v>7.8849999999999998</v>
      </c>
      <c r="AV163" s="4">
        <v>7.78</v>
      </c>
      <c r="AW163" s="4">
        <v>7.65</v>
      </c>
      <c r="AX163" s="4">
        <v>7.87</v>
      </c>
      <c r="AY163" s="12">
        <v>7.9</v>
      </c>
      <c r="AZ163" s="12">
        <v>8.8699999999999992</v>
      </c>
      <c r="BA163" s="12">
        <v>8.93</v>
      </c>
      <c r="BB163" s="15">
        <v>9.31</v>
      </c>
      <c r="BC163" s="52">
        <v>9.4499999999999993</v>
      </c>
      <c r="BD163" s="52">
        <v>9.48</v>
      </c>
      <c r="BE163" s="52">
        <v>9.8800000000000008</v>
      </c>
      <c r="BF163" s="52">
        <v>9.9</v>
      </c>
      <c r="BG163" s="67">
        <v>10.02</v>
      </c>
      <c r="BH163" s="52">
        <v>9.8000000000000007</v>
      </c>
      <c r="BI163" s="52">
        <v>9.98</v>
      </c>
      <c r="BJ163" s="52">
        <v>9.8000000000000007</v>
      </c>
      <c r="BK163" s="52">
        <v>9.11</v>
      </c>
      <c r="BL163" s="52">
        <v>8.94</v>
      </c>
      <c r="BM163" s="52">
        <v>9.6</v>
      </c>
      <c r="BN163" s="52">
        <v>9.65</v>
      </c>
      <c r="BO163" s="52">
        <v>9.74</v>
      </c>
      <c r="BP163" s="52" cm="1">
        <f t="array" aca="1" ref="BP163" ca="1">_FV(ED163,"Preço")</f>
        <v>9.9499999999999993</v>
      </c>
      <c r="BQ163" s="69" t="s">
        <v>87</v>
      </c>
      <c r="BR163" s="36" cm="1">
        <f t="array" aca="1" ref="BR163" ca="1">_FV(ED163,"Média de volume",TRUE)</f>
        <v>3792940</v>
      </c>
      <c r="BS163" s="36">
        <v>6188300</v>
      </c>
      <c r="BT163" s="36" cm="1">
        <f t="array" aca="1" ref="BT163" ca="1">_FV(ED163,"Volume")</f>
        <v>7304300</v>
      </c>
      <c r="BU163" s="24" cm="1">
        <f t="array" aca="1" ref="BU163" ca="1">_FV(ED163,"Beta")</f>
        <v>0.60060000000000002</v>
      </c>
      <c r="BV163" s="71" cm="1">
        <f t="array" aca="1" ref="BV163" ca="1">_FV(ED163,"Variação (%)",TRUE)</f>
        <v>1.3238000000000002E-2</v>
      </c>
      <c r="BX163" s="17" cm="1">
        <f t="array" aca="1" ref="BX163" ca="1">_FV(ED163,"Baixo")</f>
        <v>9.76</v>
      </c>
      <c r="BY163" s="17" cm="1">
        <f t="array" aca="1" ref="BY163" ca="1">_FV(ED163,"Alto")</f>
        <v>10.02</v>
      </c>
      <c r="BZ163" s="24"/>
      <c r="CA163" s="63">
        <f ca="1">SQRT(22.5*(BP163/VLOOKUP(BQ163,Fundamentus!A:U,3,FALSE))*(BP163/VLOOKUP(BQ163,Fundamentus!A:U,4,FALSE)))</f>
        <v>1.2837331174349371</v>
      </c>
      <c r="CC163" s="62">
        <f t="shared" ca="1" si="168"/>
        <v>2.1560574948665201E-2</v>
      </c>
      <c r="CD163" s="8"/>
      <c r="CE163" s="61">
        <f t="shared" si="169"/>
        <v>7.59</v>
      </c>
      <c r="CF163" s="61">
        <f t="shared" si="170"/>
        <v>12.48</v>
      </c>
      <c r="CG163" s="61">
        <f t="shared" si="171"/>
        <v>9.9414179104477594</v>
      </c>
      <c r="CH163" s="14"/>
      <c r="CI163" s="35">
        <f t="shared" si="154"/>
        <v>9.4540756674926705</v>
      </c>
      <c r="CJ163" s="15">
        <f t="shared" si="172"/>
        <v>10.095000000000027</v>
      </c>
      <c r="CK163" s="35">
        <f t="shared" si="155"/>
        <v>10.735924332507384</v>
      </c>
      <c r="CM163" s="14"/>
      <c r="CN163" s="17">
        <f t="shared" si="156"/>
        <v>2.5033333333333339</v>
      </c>
      <c r="CO163" s="17">
        <f t="shared" si="157"/>
        <v>5.0466666666666669</v>
      </c>
      <c r="CP163" s="17">
        <f t="shared" si="158"/>
        <v>7.3933333333333344</v>
      </c>
      <c r="CQ163" s="38">
        <f t="shared" si="173"/>
        <v>9.9366666666666674</v>
      </c>
      <c r="CR163" s="17">
        <f t="shared" si="159"/>
        <v>12.283333333333335</v>
      </c>
      <c r="CS163" s="17">
        <f t="shared" si="160"/>
        <v>14.826666666666668</v>
      </c>
      <c r="CT163" s="17">
        <f t="shared" si="161"/>
        <v>17.173333333333336</v>
      </c>
      <c r="CU163" s="2" cm="1">
        <f t="array" aca="1" ref="CU163" ca="1">MAX(_xlfn._xlws.FILTER(CN163:CT163,CN163:CT163&lt;BP163))</f>
        <v>9.9366666666666674</v>
      </c>
      <c r="CV163" s="2" cm="1">
        <f t="array" aca="1" ref="CV163" ca="1">MIN(_xlfn._xlws.FILTER($CN163:$CT163,$CN163:$CT163&gt;BP163))</f>
        <v>12.283333333333335</v>
      </c>
      <c r="CW163" s="16">
        <f t="shared" ca="1" si="175"/>
        <v>0.23616236162361637</v>
      </c>
      <c r="CX163" s="20">
        <f t="shared" ca="1" si="176"/>
        <v>-0.11808118081180818</v>
      </c>
      <c r="CY163" s="20">
        <f t="shared" ca="1" si="177"/>
        <v>-7.8720787207872123E-2</v>
      </c>
      <c r="CZ163" s="20">
        <f t="shared" ca="1" si="178"/>
        <v>-4.7232472324723274E-2</v>
      </c>
      <c r="DA163" s="20">
        <f t="shared" ca="1" si="179"/>
        <v>-2.6240262402624042E-2</v>
      </c>
      <c r="DB163" s="20">
        <f t="shared" ca="1" si="180"/>
        <v>-1.389190362491861E-2</v>
      </c>
      <c r="DC163" s="20">
        <f t="shared" ca="1" si="181"/>
        <v>-7.1564352007156473E-3</v>
      </c>
      <c r="DD163" s="20">
        <f t="shared" ca="1" si="182"/>
        <v>-3.6332671019017903E-3</v>
      </c>
      <c r="DE163" s="21">
        <f t="shared" ca="1" si="183"/>
        <v>3.6332671019017903E-3</v>
      </c>
      <c r="DF163" s="21">
        <f t="shared" ca="1" si="184"/>
        <v>7.1564352007156473E-3</v>
      </c>
      <c r="DG163" s="21">
        <f t="shared" ca="1" si="185"/>
        <v>1.389190362491861E-2</v>
      </c>
      <c r="DH163" s="21">
        <f t="shared" ca="1" si="186"/>
        <v>2.6240262402624042E-2</v>
      </c>
      <c r="DI163" s="21">
        <f t="shared" ca="1" si="187"/>
        <v>4.7232472324723274E-2</v>
      </c>
      <c r="DJ163" s="21">
        <f t="shared" ca="1" si="188"/>
        <v>7.8720787207872123E-2</v>
      </c>
      <c r="DK163" s="21">
        <f t="shared" ca="1" si="189"/>
        <v>0.11808118081180818</v>
      </c>
      <c r="DM163" s="16" cm="1">
        <f t="array" aca="1" ref="DM163" ca="1">MAX(_xlfn._xlws.FILTER(CX163:DK163,CX163:DK163&lt;BV163))</f>
        <v>7.1564352007156473E-3</v>
      </c>
      <c r="DN163" s="16" cm="1">
        <f t="array" aca="1" ref="DN163" ca="1">MIN(_xlfn._xlws.FILTER(CX163:DK163,CX163:DK163&gt;BV163))</f>
        <v>1.389190362491861E-2</v>
      </c>
      <c r="DO163" s="2" cm="1">
        <f t="array" aca="1" ref="DO163" ca="1">_FV(ED163,"Fechamento anterior",TRUE)</f>
        <v>9.82</v>
      </c>
      <c r="DP163" s="28">
        <f t="shared" ca="1" si="162"/>
        <v>0.90295932249235245</v>
      </c>
      <c r="DQ163" s="15">
        <f t="shared" ca="1" si="190"/>
        <v>9.8902761936710277</v>
      </c>
      <c r="DR163" s="15">
        <f t="shared" ca="1" si="191"/>
        <v>9.9564184935967006</v>
      </c>
      <c r="DS163" s="9"/>
      <c r="DT163" s="9"/>
      <c r="DU163" s="9"/>
      <c r="DV163" s="89">
        <v>9.8111545626529944E-3</v>
      </c>
      <c r="DW163" s="89">
        <f t="shared" ca="1" si="163"/>
        <v>6.7354684242029632E-3</v>
      </c>
      <c r="DX163" s="72">
        <f t="shared" ca="1" si="164"/>
        <v>-0.22623575459020917</v>
      </c>
      <c r="DY163" s="37"/>
      <c r="DZ163" s="35">
        <f t="shared" si="174"/>
        <v>0.3204621662536784</v>
      </c>
      <c r="EA163" s="56"/>
      <c r="EB163" s="56"/>
      <c r="ED163" s="2" t="e" vm="165">
        <v>#VALUE!</v>
      </c>
      <c r="EF163" s="10" cm="1">
        <f t="array" aca="1" ref="EF163" ca="1">_FV(ED163,"Ações em circulação",TRUE)</f>
        <v>1050378000</v>
      </c>
      <c r="EG163" s="18">
        <f>VLOOKUP(BQ163,Fundamentus!A:U,5,FALSE)</f>
        <v>1.0620000000000001</v>
      </c>
      <c r="EH163" s="2">
        <f t="shared" ca="1" si="165"/>
        <v>9841112146.8926544</v>
      </c>
      <c r="EI163" s="17">
        <v>72250577.118644074</v>
      </c>
      <c r="EJ163" s="17">
        <f t="shared" ca="1" si="166"/>
        <v>73808341.101694912</v>
      </c>
      <c r="EL163" s="16">
        <f t="shared" ca="1" si="153"/>
        <v>2.1560574948665145E-2</v>
      </c>
      <c r="EM163" s="32" t="str">
        <f>IF(VLOOKUP(BQ163,Fundamentus!A:U,3,FALSE)&lt;15,"Bom",IF(VLOOKUP(BQ163,Fundamentus!A:U,3,FALSE)&gt;15,"Ruim","n/a"))</f>
        <v>Ruim</v>
      </c>
      <c r="EN163" s="28" t="str">
        <f>IF(VLOOKUP(BQ163,Fundamentus!A:U,4,FALSE)&lt;1,"Baixo",IF(VLOOKUP(BQ163,Fundamentus!A:U,4,FALSE)&lt;1.5,"Moderado",IF(VLOOKUP(BQ163,Fundamentus!A:U,4,FALSE)&gt;1.5,"Alto","n/a")))</f>
        <v>Baixo</v>
      </c>
      <c r="EO163" s="17" t="str">
        <f>IF(VLOOKUP(BQ163,Fundamentus!A:U,8,FALSE)&lt;0,"Risco elevado",IF(VLOOKUP(BQ163,Fundamentus!A:U,8,FALSE)&lt;1,"Saudável",IF(VLOOKUP(BQ163,Fundamentus!A:U,8,FALSE)&lt;3,"Estável",IF(VLOOKUP(BQ163,Fundamentus!A:U,8,FALSE)&gt;3,"Alerta","n/a"))))</f>
        <v>Estável</v>
      </c>
      <c r="EP163" s="28" t="str">
        <f t="shared" si="167"/>
        <v>Bom</v>
      </c>
      <c r="EQ163" s="17" t="str">
        <f>IF(VLOOKUP(BQ163,Fundamentus!A:U,12,FALSE)&lt;2,"Subvalorizada",IF(VLOOKUP(BQ163,Fundamentus!A:U,12,FALSE)&lt;6,"Muita barata",IF(VLOOKUP(BQ163,Fundamentus!A:U,12,FALSE)&lt;6,"Barata",IF(VLOOKUP(BQ163,Fundamentus!A:U,12,FALSE)&lt;8,"Atrativa",IF(VLOOKUP(BQ163,Fundamentus!A:U,12,FALSE)&gt;8,"Supervalorizada","n/a")))))</f>
        <v>Supervalorizada</v>
      </c>
      <c r="ES163" s="17" t="str">
        <f>IF(VLOOKUP(BQ163,Fundamentus!A:U,17,FALSE)&lt;0.1,"Fraco retorno",IF(VLOOKUP(BQ163,Fundamentus!A:U,17,FALSE)&gt;0.1,"Bom retorno","n/a"))</f>
        <v>Fraco retorno</v>
      </c>
      <c r="ET163" s="17" t="str">
        <f>IF(VLOOKUP(BQ163,Fundamentus!A:U,16,FALSE)&lt;0.1,"Ineficiente",IF(VLOOKUP(BQ163,Fundamentus!A:U,16,FALSE)&gt;0.1,"Eficiente","n/a"))</f>
        <v>Ineficiente</v>
      </c>
      <c r="EU163" s="33" t="str">
        <f>IF(VLOOKUP(BQ163,Fundamentus!A:U,16,FALSE)&lt;0.1,"Oper. Ineficiente",IF(VLOOKUP(BQ163,Fundamentus!A:U,16,FALSE)&gt;0.1,"Oper.Eficiente","n/a"))</f>
        <v>Oper. Ineficiente</v>
      </c>
      <c r="EV163" s="34">
        <f>VLOOKUP(BQ163,Fundamentus!A:U,14,FALSE)</f>
        <v>7.4999999999999997E-3</v>
      </c>
      <c r="EW163" s="17" t="str">
        <f>IF(VLOOKUP(BQ163,Fundamentus!A:U,21,FALSE)&lt;0,"Negativo",IF(VLOOKUP(BQ163,Fundamentus!A:U,21,FALSE)&lt;0.05,"Fraco",IF(VLOOKUP(BQ163,Fundamentus!A:U,21,FALSE)&lt;0.1,"Bom",IF(VLOOKUP(BQ163,Fundamentus!A:U,21,FALSE)&gt;0.1,"Muito bom","n/a"))))</f>
        <v>Muito bom</v>
      </c>
      <c r="EY163" s="29" t="str">
        <f>IF(VLOOKUP(BQ163,Fundamentus!A:U,15,FALSE)&gt;1,"Bom",IF(VLOOKUP(BQ163,Fundamentus!A:U,15,FALSE)&lt;1,"Ruim","n/a"))</f>
        <v>Bom</v>
      </c>
      <c r="EZ163" s="17" t="str">
        <f>IF(VLOOKUP(BQ163,Fundamentus!A:U,20,FALSE)&lt;0.5,"Baixa",IF(VLOOKUP(BQ163,Fundamentus!A:U,20,FALSE)&lt;1,"Moderada",IF(VLOOKUP(BQ163,Fundamentus!A:U,20,FALSE)&lt;2,"Alerta",IF(VLOOKUP(BQ163,Fundamentus!A:U,20,FALSE)&gt;2,"Alta","n/a"))))</f>
        <v>Alerta</v>
      </c>
      <c r="FA163" s="10"/>
    </row>
    <row r="164" spans="1:157" s="2" customFormat="1" ht="11.25" hidden="1" x14ac:dyDescent="0.2">
      <c r="A164" s="4">
        <v>26.61</v>
      </c>
      <c r="B164" s="4">
        <v>25.21</v>
      </c>
      <c r="C164" s="4">
        <v>24.31</v>
      </c>
      <c r="D164" s="4">
        <v>23.48</v>
      </c>
      <c r="E164" s="4">
        <v>23.15</v>
      </c>
      <c r="F164" s="4">
        <v>22.62</v>
      </c>
      <c r="G164" s="4">
        <v>21.47</v>
      </c>
      <c r="H164" s="4">
        <v>22.02</v>
      </c>
      <c r="I164" s="4">
        <v>23.68</v>
      </c>
      <c r="J164" s="4">
        <v>24.92</v>
      </c>
      <c r="K164" s="4">
        <v>25.57</v>
      </c>
      <c r="L164" s="4">
        <v>25.64</v>
      </c>
      <c r="M164" s="4">
        <v>25.13</v>
      </c>
      <c r="N164" s="4">
        <v>24.79</v>
      </c>
      <c r="O164" s="4">
        <v>25.38</v>
      </c>
      <c r="P164" s="4">
        <v>27.05</v>
      </c>
      <c r="Q164" s="4">
        <v>27.58</v>
      </c>
      <c r="R164" s="4">
        <v>27.36</v>
      </c>
      <c r="S164" s="4">
        <v>27.03</v>
      </c>
      <c r="T164" s="4">
        <v>27.24</v>
      </c>
      <c r="U164" s="4">
        <v>26.34</v>
      </c>
      <c r="V164" s="4">
        <v>25.38</v>
      </c>
      <c r="W164" s="4">
        <v>25.3</v>
      </c>
      <c r="X164" s="4">
        <v>24.3</v>
      </c>
      <c r="Y164" s="4">
        <v>23.13</v>
      </c>
      <c r="Z164" s="4">
        <v>23.25</v>
      </c>
      <c r="AA164" s="4">
        <v>23.11</v>
      </c>
      <c r="AB164" s="4">
        <v>23.67</v>
      </c>
      <c r="AC164" s="4">
        <v>22.31</v>
      </c>
      <c r="AD164" s="4">
        <v>21.71</v>
      </c>
      <c r="AE164" s="4">
        <v>20.84</v>
      </c>
      <c r="AF164" s="4">
        <v>22.4</v>
      </c>
      <c r="AG164" s="4">
        <v>23.07</v>
      </c>
      <c r="AH164" s="4">
        <v>22.69</v>
      </c>
      <c r="AI164" s="4">
        <v>23.2</v>
      </c>
      <c r="AJ164" s="4">
        <v>21.36</v>
      </c>
      <c r="AK164" s="4">
        <v>21.28</v>
      </c>
      <c r="AL164" s="4">
        <v>21.74</v>
      </c>
      <c r="AM164" s="4">
        <v>21.69</v>
      </c>
      <c r="AN164" s="4">
        <v>21.38</v>
      </c>
      <c r="AO164" s="4">
        <v>20.65</v>
      </c>
      <c r="AP164" s="4">
        <v>21.32</v>
      </c>
      <c r="AQ164" s="4">
        <v>20.88</v>
      </c>
      <c r="AR164" s="4">
        <v>20.6</v>
      </c>
      <c r="AS164" s="4">
        <v>21.31</v>
      </c>
      <c r="AT164" s="4">
        <v>21.33</v>
      </c>
      <c r="AU164" s="4">
        <v>19.094999999999999</v>
      </c>
      <c r="AV164" s="4">
        <v>18</v>
      </c>
      <c r="AW164" s="4">
        <v>17.5</v>
      </c>
      <c r="AX164" s="4">
        <v>18.940000000000001</v>
      </c>
      <c r="AY164" s="12">
        <v>23.53</v>
      </c>
      <c r="AZ164" s="12">
        <v>22.75</v>
      </c>
      <c r="BA164" s="12">
        <v>21.45</v>
      </c>
      <c r="BB164" s="15">
        <v>19.82</v>
      </c>
      <c r="BC164" s="52">
        <v>18.7</v>
      </c>
      <c r="BD164" s="52">
        <v>18.93</v>
      </c>
      <c r="BE164" s="52">
        <v>19.25</v>
      </c>
      <c r="BF164" s="52">
        <v>18.48</v>
      </c>
      <c r="BG164" s="67">
        <v>19.079999999999998</v>
      </c>
      <c r="BH164" s="52">
        <v>18.190000000000001</v>
      </c>
      <c r="BI164" s="52">
        <v>18.2</v>
      </c>
      <c r="BJ164" s="52">
        <v>18.07</v>
      </c>
      <c r="BK164" s="52">
        <v>17.7</v>
      </c>
      <c r="BL164" s="52">
        <v>16.98</v>
      </c>
      <c r="BM164" s="52">
        <v>16.760000000000002</v>
      </c>
      <c r="BN164" s="52">
        <v>16.04</v>
      </c>
      <c r="BO164" s="52">
        <v>15.72</v>
      </c>
      <c r="BP164" s="52" cm="1">
        <f t="array" aca="1" ref="BP164" ca="1">_FV(ED164,"Preço")</f>
        <v>15.88</v>
      </c>
      <c r="BQ164" s="69" t="s">
        <v>160</v>
      </c>
      <c r="BR164" s="36" cm="1">
        <f t="array" aca="1" ref="BR164" ca="1">_FV(ED164,"Média de volume",TRUE)</f>
        <v>571800</v>
      </c>
      <c r="BS164" s="36">
        <v>376800</v>
      </c>
      <c r="BT164" s="36" cm="1">
        <f t="array" aca="1" ref="BT164" ca="1">_FV(ED164,"Volume")</f>
        <v>741400</v>
      </c>
      <c r="BU164" s="24" cm="1">
        <f t="array" aca="1" ref="BU164" ca="1">_FV(ED164,"Beta")</f>
        <v>0.55689999999999995</v>
      </c>
      <c r="BV164" s="71" cm="1">
        <f t="array" aca="1" ref="BV164" ca="1">_FV(ED164,"Variação (%)",TRUE)</f>
        <v>-4.3890000000000005E-3</v>
      </c>
      <c r="BX164" s="17" cm="1">
        <f t="array" aca="1" ref="BX164" ca="1">_FV(ED164,"Baixo")</f>
        <v>15.52</v>
      </c>
      <c r="BY164" s="17" cm="1">
        <f t="array" aca="1" ref="BY164" ca="1">_FV(ED164,"Alto")</f>
        <v>16.12</v>
      </c>
      <c r="BZ164" s="24"/>
      <c r="CA164" s="63" t="e">
        <f ca="1">SQRT(22.5*(BP164/VLOOKUP(BQ164,Fundamentus!A:U,3,FALSE))*(BP164/VLOOKUP(BQ164,Fundamentus!A:U,4,FALSE)))</f>
        <v>#NUM!</v>
      </c>
      <c r="CC164" s="62">
        <f t="shared" ca="1" si="168"/>
        <v>1.0178117048346065E-2</v>
      </c>
      <c r="CD164" s="8"/>
      <c r="CE164" s="61">
        <f t="shared" si="169"/>
        <v>15.72</v>
      </c>
      <c r="CF164" s="61">
        <f t="shared" si="170"/>
        <v>27.58</v>
      </c>
      <c r="CG164" s="61">
        <f t="shared" si="171"/>
        <v>22.054701492537315</v>
      </c>
      <c r="CH164" s="14"/>
      <c r="CI164" s="35">
        <f t="shared" si="154"/>
        <v>13.847145766659986</v>
      </c>
      <c r="CJ164" s="15">
        <f t="shared" si="172"/>
        <v>15.25</v>
      </c>
      <c r="CK164" s="35">
        <f t="shared" si="155"/>
        <v>16.652854233340015</v>
      </c>
      <c r="CM164" s="14"/>
      <c r="CN164" s="17">
        <f t="shared" si="156"/>
        <v>-9.3333333333331936E-2</v>
      </c>
      <c r="CO164" s="17">
        <f t="shared" si="157"/>
        <v>7.8133333333333344</v>
      </c>
      <c r="CP164" s="17">
        <f t="shared" si="158"/>
        <v>11.766666666666666</v>
      </c>
      <c r="CQ164" s="38">
        <f t="shared" si="173"/>
        <v>19.673333333333332</v>
      </c>
      <c r="CR164" s="17">
        <f t="shared" si="159"/>
        <v>23.626666666666665</v>
      </c>
      <c r="CS164" s="17">
        <f t="shared" si="160"/>
        <v>31.533333333333331</v>
      </c>
      <c r="CT164" s="17">
        <f t="shared" si="161"/>
        <v>35.486666666666665</v>
      </c>
      <c r="CU164" s="2" cm="1">
        <f t="array" aca="1" ref="CU164" ca="1">MAX(_xlfn._xlws.FILTER(CN164:CT164,CN164:CT164&lt;BP164))</f>
        <v>11.766666666666666</v>
      </c>
      <c r="CV164" s="2" cm="1">
        <f t="array" aca="1" ref="CV164" ca="1">MIN(_xlfn._xlws.FILTER($CN164:$CT164,$CN164:$CT164&gt;BP164))</f>
        <v>19.673333333333332</v>
      </c>
      <c r="CW164" s="16">
        <f t="shared" ca="1" si="175"/>
        <v>0.67195467422096322</v>
      </c>
      <c r="CX164" s="20">
        <f t="shared" ca="1" si="176"/>
        <v>-0.33597733711048161</v>
      </c>
      <c r="CY164" s="20">
        <f t="shared" ca="1" si="177"/>
        <v>-0.22398489140698774</v>
      </c>
      <c r="CZ164" s="20">
        <f t="shared" ca="1" si="178"/>
        <v>-0.13439093484419265</v>
      </c>
      <c r="DA164" s="20">
        <f t="shared" ca="1" si="179"/>
        <v>-7.4661630468995918E-2</v>
      </c>
      <c r="DB164" s="20">
        <f t="shared" ca="1" si="180"/>
        <v>-3.9526745542409598E-2</v>
      </c>
      <c r="DC164" s="20">
        <f t="shared" ca="1" si="181"/>
        <v>-2.0362262855180703E-2</v>
      </c>
      <c r="DD164" s="20">
        <f t="shared" ca="1" si="182"/>
        <v>-1.0337764218784049E-2</v>
      </c>
      <c r="DE164" s="21">
        <f t="shared" ca="1" si="183"/>
        <v>1.0337764218784049E-2</v>
      </c>
      <c r="DF164" s="21">
        <f t="shared" ca="1" si="184"/>
        <v>2.0362262855180703E-2</v>
      </c>
      <c r="DG164" s="21">
        <f t="shared" ca="1" si="185"/>
        <v>3.9526745542409598E-2</v>
      </c>
      <c r="DH164" s="21">
        <f t="shared" ca="1" si="186"/>
        <v>7.4661630468995918E-2</v>
      </c>
      <c r="DI164" s="21">
        <f t="shared" ca="1" si="187"/>
        <v>0.13439093484419265</v>
      </c>
      <c r="DJ164" s="21">
        <f t="shared" ca="1" si="188"/>
        <v>0.22398489140698774</v>
      </c>
      <c r="DK164" s="21">
        <f t="shared" ca="1" si="189"/>
        <v>0.33597733711048161</v>
      </c>
      <c r="DM164" s="16" cm="1">
        <f t="array" aca="1" ref="DM164" ca="1">MAX(_xlfn._xlws.FILTER(CX164:DK164,CX164:DK164&lt;BV164))</f>
        <v>-1.0337764218784049E-2</v>
      </c>
      <c r="DN164" s="16" cm="1">
        <f t="array" aca="1" ref="DN164" ca="1">MIN(_xlfn._xlws.FILTER(CX164:DK164,CX164:DK164&gt;BV164))</f>
        <v>1.0337764218784049E-2</v>
      </c>
      <c r="DO164" s="2" cm="1">
        <f t="array" aca="1" ref="DO164" ca="1">_FV(ED164,"Fechamento anterior",TRUE)</f>
        <v>15.95</v>
      </c>
      <c r="DP164" s="28">
        <f t="shared" ca="1" si="162"/>
        <v>0.28773385421347836</v>
      </c>
      <c r="DQ164" s="15">
        <f t="shared" ca="1" si="190"/>
        <v>15.785112660710393</v>
      </c>
      <c r="DR164" s="15">
        <f t="shared" ca="1" si="191"/>
        <v>16.114887339289606</v>
      </c>
      <c r="DS164" s="9"/>
      <c r="DT164" s="9"/>
      <c r="DU164" s="9"/>
      <c r="DV164" s="89">
        <v>1.9164482687228895E-2</v>
      </c>
      <c r="DW164" s="89">
        <f t="shared" ca="1" si="163"/>
        <v>2.0675528437568098E-2</v>
      </c>
      <c r="DX164" s="72">
        <f t="shared" ca="1" si="164"/>
        <v>0.44908443445335916</v>
      </c>
      <c r="DY164" s="37"/>
      <c r="DZ164" s="35">
        <f t="shared" si="174"/>
        <v>0.70142711667000712</v>
      </c>
      <c r="EA164" s="56"/>
      <c r="EB164" s="56"/>
      <c r="ED164" s="2" t="e" vm="166">
        <v>#VALUE!</v>
      </c>
      <c r="EF164" s="10" cm="1">
        <f t="array" aca="1" ref="EF164" ca="1">_FV(ED164,"Ações em circulação",TRUE)</f>
        <v>144177500</v>
      </c>
      <c r="EG164" s="18">
        <f>VLOOKUP(BQ164,Fundamentus!A:U,5,FALSE)</f>
        <v>0.216</v>
      </c>
      <c r="EH164" s="2">
        <f t="shared" ca="1" si="165"/>
        <v>10599716203.703703</v>
      </c>
      <c r="EI164" s="17">
        <v>-44070255.833333328</v>
      </c>
      <c r="EJ164" s="17">
        <f t="shared" ca="1" si="166"/>
        <v>-44518808.055555552</v>
      </c>
      <c r="EL164" s="16">
        <f t="shared" ca="1" si="153"/>
        <v>1.0178117048346147E-2</v>
      </c>
      <c r="EM164" s="32" t="str">
        <f>IF(VLOOKUP(BQ164,Fundamentus!A:U,3,FALSE)&lt;15,"Bom",IF(VLOOKUP(BQ164,Fundamentus!A:U,3,FALSE)&gt;15,"Ruim","n/a"))</f>
        <v>Bom</v>
      </c>
      <c r="EN164" s="28" t="str">
        <f>IF(VLOOKUP(BQ164,Fundamentus!A:U,4,FALSE)&lt;1,"Baixo",IF(VLOOKUP(BQ164,Fundamentus!A:U,4,FALSE)&lt;1.5,"Moderado",IF(VLOOKUP(BQ164,Fundamentus!A:U,4,FALSE)&gt;1.5,"Alto","n/a")))</f>
        <v>Baixo</v>
      </c>
      <c r="EO164" s="17" t="str">
        <f>IF(VLOOKUP(BQ164,Fundamentus!A:U,8,FALSE)&lt;0,"Risco elevado",IF(VLOOKUP(BQ164,Fundamentus!A:U,8,FALSE)&lt;1,"Saudável",IF(VLOOKUP(BQ164,Fundamentus!A:U,8,FALSE)&lt;3,"Estável",IF(VLOOKUP(BQ164,Fundamentus!A:U,8,FALSE)&gt;3,"Alerta","n/a"))))</f>
        <v>Saudável</v>
      </c>
      <c r="EP164" s="28" t="str">
        <f t="shared" si="167"/>
        <v>Ruim</v>
      </c>
      <c r="EQ164" s="17" t="str">
        <f>IF(VLOOKUP(BQ164,Fundamentus!A:U,12,FALSE)&lt;2,"Subvalorizada",IF(VLOOKUP(BQ164,Fundamentus!A:U,12,FALSE)&lt;6,"Muita barata",IF(VLOOKUP(BQ164,Fundamentus!A:U,12,FALSE)&lt;6,"Barata",IF(VLOOKUP(BQ164,Fundamentus!A:U,12,FALSE)&lt;8,"Atrativa",IF(VLOOKUP(BQ164,Fundamentus!A:U,12,FALSE)&gt;8,"Supervalorizada","n/a")))))</f>
        <v>Muita barata</v>
      </c>
      <c r="ES164" s="17" t="str">
        <f>IF(VLOOKUP(BQ164,Fundamentus!A:U,17,FALSE)&lt;0.1,"Fraco retorno",IF(VLOOKUP(BQ164,Fundamentus!A:U,17,FALSE)&gt;0.1,"Bom retorno","n/a"))</f>
        <v>Fraco retorno</v>
      </c>
      <c r="ET164" s="17" t="str">
        <f>IF(VLOOKUP(BQ164,Fundamentus!A:U,16,FALSE)&lt;0.1,"Ineficiente",IF(VLOOKUP(BQ164,Fundamentus!A:U,16,FALSE)&gt;0.1,"Eficiente","n/a"))</f>
        <v>Eficiente</v>
      </c>
      <c r="EU164" s="33" t="str">
        <f>IF(VLOOKUP(BQ164,Fundamentus!A:U,16,FALSE)&lt;0.1,"Oper. Ineficiente",IF(VLOOKUP(BQ164,Fundamentus!A:U,16,FALSE)&gt;0.1,"Oper.Eficiente","n/a"))</f>
        <v>Oper.Eficiente</v>
      </c>
      <c r="EV164" s="34">
        <f>VLOOKUP(BQ164,Fundamentus!A:U,14,FALSE)</f>
        <v>-4.1999999999999997E-3</v>
      </c>
      <c r="EW164" s="17" t="str">
        <f>IF(VLOOKUP(BQ164,Fundamentus!A:U,21,FALSE)&lt;0,"Negativo",IF(VLOOKUP(BQ164,Fundamentus!A:U,21,FALSE)&lt;0.05,"Fraco",IF(VLOOKUP(BQ164,Fundamentus!A:U,21,FALSE)&lt;0.1,"Bom",IF(VLOOKUP(BQ164,Fundamentus!A:U,21,FALSE)&gt;0.1,"Muito bom","n/a"))))</f>
        <v>Muito bom</v>
      </c>
      <c r="EY164" s="29" t="str">
        <f>IF(VLOOKUP(BQ164,Fundamentus!A:U,15,FALSE)&gt;1,"Bom",IF(VLOOKUP(BQ164,Fundamentus!A:U,15,FALSE)&lt;1,"Ruim","n/a"))</f>
        <v>Bom</v>
      </c>
      <c r="EZ164" s="17" t="str">
        <f>IF(VLOOKUP(BQ164,Fundamentus!A:U,20,FALSE)&lt;0.5,"Baixa",IF(VLOOKUP(BQ164,Fundamentus!A:U,20,FALSE)&lt;1,"Moderada",IF(VLOOKUP(BQ164,Fundamentus!A:U,20,FALSE)&lt;2,"Alerta",IF(VLOOKUP(BQ164,Fundamentus!A:U,20,FALSE)&gt;2,"Alta","n/a"))))</f>
        <v>Alerta</v>
      </c>
      <c r="FA164" s="10"/>
    </row>
    <row r="165" spans="1:157" s="2" customFormat="1" ht="11.25" hidden="1" x14ac:dyDescent="0.2">
      <c r="A165" s="4">
        <v>25.7</v>
      </c>
      <c r="B165" s="4">
        <v>24.99</v>
      </c>
      <c r="C165" s="4">
        <v>23.99</v>
      </c>
      <c r="D165" s="4">
        <v>24.02</v>
      </c>
      <c r="E165" s="4">
        <v>25.9</v>
      </c>
      <c r="F165" s="4">
        <v>23.39</v>
      </c>
      <c r="G165" s="4">
        <v>22.54</v>
      </c>
      <c r="H165" s="4">
        <v>22.44</v>
      </c>
      <c r="I165" s="4">
        <v>23.83</v>
      </c>
      <c r="J165" s="4">
        <v>23.2</v>
      </c>
      <c r="K165" s="4">
        <v>22.72</v>
      </c>
      <c r="L165" s="4">
        <v>22.12</v>
      </c>
      <c r="M165" s="4">
        <v>23.5</v>
      </c>
      <c r="N165" s="4">
        <v>24.08</v>
      </c>
      <c r="O165" s="4">
        <v>23.39</v>
      </c>
      <c r="P165" s="4">
        <v>23.89</v>
      </c>
      <c r="Q165" s="4">
        <v>23</v>
      </c>
      <c r="R165" s="4">
        <v>24.8</v>
      </c>
      <c r="S165" s="4">
        <v>23.11</v>
      </c>
      <c r="T165" s="4">
        <v>23.2</v>
      </c>
      <c r="U165" s="4">
        <v>22.5</v>
      </c>
      <c r="V165" s="4">
        <v>22.58</v>
      </c>
      <c r="W165" s="4">
        <v>23.49</v>
      </c>
      <c r="X165" s="4">
        <v>21.95</v>
      </c>
      <c r="Y165" s="4">
        <v>21.2</v>
      </c>
      <c r="Z165" s="4">
        <v>20.98</v>
      </c>
      <c r="AA165" s="4">
        <v>22.02</v>
      </c>
      <c r="AB165" s="4">
        <v>20.8</v>
      </c>
      <c r="AC165" s="4">
        <v>20.21</v>
      </c>
      <c r="AD165" s="4">
        <v>20.6</v>
      </c>
      <c r="AE165" s="4">
        <v>20.59</v>
      </c>
      <c r="AF165" s="4">
        <v>19.27</v>
      </c>
      <c r="AG165" s="4">
        <v>19.11</v>
      </c>
      <c r="AH165" s="4">
        <v>19.59</v>
      </c>
      <c r="AI165" s="4">
        <v>20.84</v>
      </c>
      <c r="AJ165" s="4">
        <v>16.989999999999998</v>
      </c>
      <c r="AK165" s="4">
        <v>16.170000000000002</v>
      </c>
      <c r="AL165" s="4">
        <v>15.83</v>
      </c>
      <c r="AM165" s="4">
        <v>16.579999999999998</v>
      </c>
      <c r="AN165" s="4">
        <v>18.86</v>
      </c>
      <c r="AO165" s="4">
        <v>17.77</v>
      </c>
      <c r="AP165" s="4">
        <v>17.059999999999999</v>
      </c>
      <c r="AQ165" s="4">
        <v>17.45</v>
      </c>
      <c r="AR165" s="4">
        <v>18.77</v>
      </c>
      <c r="AS165" s="4">
        <v>17.7</v>
      </c>
      <c r="AT165" s="4">
        <v>18.010000000000002</v>
      </c>
      <c r="AU165" s="4">
        <v>17.89</v>
      </c>
      <c r="AV165" s="4">
        <v>18.399999999999999</v>
      </c>
      <c r="AW165" s="4">
        <v>16.760000000000002</v>
      </c>
      <c r="AX165" s="4">
        <v>16.41</v>
      </c>
      <c r="AY165" s="12">
        <v>16.7</v>
      </c>
      <c r="AZ165" s="12">
        <v>17.73</v>
      </c>
      <c r="BA165" s="12">
        <v>18.47</v>
      </c>
      <c r="BB165" s="15">
        <v>17.899999999999999</v>
      </c>
      <c r="BC165" s="52">
        <v>17.600000000000001</v>
      </c>
      <c r="BD165" s="52">
        <v>17.2</v>
      </c>
      <c r="BE165" s="52">
        <v>17</v>
      </c>
      <c r="BF165" s="52">
        <v>16.739999999999998</v>
      </c>
      <c r="BG165" s="67">
        <v>16.989999999999998</v>
      </c>
      <c r="BH165" s="52">
        <v>16.93</v>
      </c>
      <c r="BI165" s="52">
        <v>17.04</v>
      </c>
      <c r="BJ165" s="52">
        <v>17.14</v>
      </c>
      <c r="BK165" s="52">
        <v>16.61</v>
      </c>
      <c r="BL165" s="52">
        <v>16.809999999999999</v>
      </c>
      <c r="BM165" s="52">
        <v>16.68</v>
      </c>
      <c r="BN165" s="52">
        <v>18</v>
      </c>
      <c r="BO165" s="52">
        <v>18.149999999999999</v>
      </c>
      <c r="BP165" s="52" cm="1">
        <f t="array" aca="1" ref="BP165" ca="1">_FV(ED165,"Preço")</f>
        <v>19.760000000000002</v>
      </c>
      <c r="BQ165" s="69" t="s">
        <v>161</v>
      </c>
      <c r="BR165" s="36" cm="1">
        <f t="array" aca="1" ref="BR165" ca="1">_FV(ED165,"Média de volume",TRUE)</f>
        <v>48160</v>
      </c>
      <c r="BS165" s="36">
        <v>6900</v>
      </c>
      <c r="BT165" s="36" cm="1">
        <f t="array" aca="1" ref="BT165" ca="1">_FV(ED165,"Volume")</f>
        <v>2300</v>
      </c>
      <c r="BU165" s="24" cm="1">
        <f t="array" aca="1" ref="BU165" ca="1">_FV(ED165,"Beta")</f>
        <v>0.95530000000000004</v>
      </c>
      <c r="BV165" s="71" cm="1">
        <f t="array" aca="1" ref="BV165" ca="1">_FV(ED165,"Variação (%)",TRUE)</f>
        <v>-1.5160000000000002E-3</v>
      </c>
      <c r="BX165" s="17" cm="1">
        <f t="array" aca="1" ref="BX165" ca="1">_FV(ED165,"Baixo")</f>
        <v>19.54</v>
      </c>
      <c r="BY165" s="17" cm="1">
        <f t="array" aca="1" ref="BY165" ca="1">_FV(ED165,"Alto")</f>
        <v>19.850000000000001</v>
      </c>
      <c r="BZ165" s="24"/>
      <c r="CA165" s="63" t="e">
        <f ca="1">SQRT(22.5*(BP165/VLOOKUP(BQ165,Fundamentus!A:U,3,FALSE))*(BP165/VLOOKUP(BQ165,Fundamentus!A:U,4,FALSE)))</f>
        <v>#NUM!</v>
      </c>
      <c r="CC165" s="62">
        <f t="shared" ca="1" si="168"/>
        <v>8.8705234159779781E-2</v>
      </c>
      <c r="CD165" s="8"/>
      <c r="CE165" s="61">
        <f t="shared" si="169"/>
        <v>15.83</v>
      </c>
      <c r="CF165" s="61">
        <f t="shared" si="170"/>
        <v>25.9</v>
      </c>
      <c r="CG165" s="61">
        <f t="shared" si="171"/>
        <v>20.057910447761202</v>
      </c>
      <c r="CH165" s="14"/>
      <c r="CI165" s="35">
        <f t="shared" si="154"/>
        <v>17.388357084564884</v>
      </c>
      <c r="CJ165" s="15">
        <f t="shared" si="172"/>
        <v>18.744999999999891</v>
      </c>
      <c r="CK165" s="35">
        <f t="shared" si="155"/>
        <v>20.101642915434898</v>
      </c>
      <c r="CM165" s="14"/>
      <c r="CN165" s="17">
        <f t="shared" si="156"/>
        <v>3.9499999999999975</v>
      </c>
      <c r="CO165" s="17">
        <f t="shared" si="157"/>
        <v>9.8899999999999988</v>
      </c>
      <c r="CP165" s="17">
        <f t="shared" si="158"/>
        <v>14.019999999999996</v>
      </c>
      <c r="CQ165" s="38">
        <f t="shared" si="173"/>
        <v>19.959999999999997</v>
      </c>
      <c r="CR165" s="17">
        <f t="shared" si="159"/>
        <v>24.089999999999996</v>
      </c>
      <c r="CS165" s="17">
        <f t="shared" si="160"/>
        <v>30.029999999999994</v>
      </c>
      <c r="CT165" s="17">
        <f t="shared" si="161"/>
        <v>34.159999999999997</v>
      </c>
      <c r="CU165" s="2" cm="1">
        <f t="array" aca="1" ref="CU165" ca="1">MAX(_xlfn._xlws.FILTER(CN165:CT165,CN165:CT165&lt;BP165))</f>
        <v>14.019999999999996</v>
      </c>
      <c r="CV165" s="2" cm="1">
        <f t="array" aca="1" ref="CV165" ca="1">MIN(_xlfn._xlws.FILTER($CN165:$CT165,$CN165:$CT165&gt;BP165))</f>
        <v>19.959999999999997</v>
      </c>
      <c r="CW165" s="16">
        <f t="shared" ca="1" si="175"/>
        <v>0.42368045649072772</v>
      </c>
      <c r="CX165" s="20">
        <f t="shared" ca="1" si="176"/>
        <v>-0.21184022824536386</v>
      </c>
      <c r="CY165" s="20">
        <f t="shared" ca="1" si="177"/>
        <v>-0.14122681883024257</v>
      </c>
      <c r="CZ165" s="20">
        <f t="shared" ca="1" si="178"/>
        <v>-8.4736091298145549E-2</v>
      </c>
      <c r="DA165" s="20">
        <f t="shared" ca="1" si="179"/>
        <v>-4.7075606276747527E-2</v>
      </c>
      <c r="DB165" s="20">
        <f t="shared" ca="1" si="180"/>
        <v>-2.492237979357222E-2</v>
      </c>
      <c r="DC165" s="20">
        <f t="shared" ca="1" si="181"/>
        <v>-1.2838801711840235E-2</v>
      </c>
      <c r="DD165" s="20">
        <f t="shared" ca="1" si="182"/>
        <v>-6.5181608690881186E-3</v>
      </c>
      <c r="DE165" s="21">
        <f t="shared" ca="1" si="183"/>
        <v>6.5181608690881186E-3</v>
      </c>
      <c r="DF165" s="21">
        <f t="shared" ca="1" si="184"/>
        <v>1.2838801711840235E-2</v>
      </c>
      <c r="DG165" s="21">
        <f t="shared" ca="1" si="185"/>
        <v>2.492237979357222E-2</v>
      </c>
      <c r="DH165" s="21">
        <f t="shared" ca="1" si="186"/>
        <v>4.7075606276747527E-2</v>
      </c>
      <c r="DI165" s="21">
        <f t="shared" ca="1" si="187"/>
        <v>8.4736091298145549E-2</v>
      </c>
      <c r="DJ165" s="21">
        <f t="shared" ca="1" si="188"/>
        <v>0.14122681883024257</v>
      </c>
      <c r="DK165" s="21">
        <f t="shared" ca="1" si="189"/>
        <v>0.21184022824536386</v>
      </c>
      <c r="DM165" s="16" cm="1">
        <f t="array" aca="1" ref="DM165" ca="1">MAX(_xlfn._xlws.FILTER(CX165:DK165,CX165:DK165&lt;BV165))</f>
        <v>-6.5181608690881186E-3</v>
      </c>
      <c r="DN165" s="16" cm="1">
        <f t="array" aca="1" ref="DN165" ca="1">MIN(_xlfn._xlws.FILTER(CX165:DK165,CX165:DK165&gt;BV165))</f>
        <v>6.5181608690881186E-3</v>
      </c>
      <c r="DO165" s="2" cm="1">
        <f t="array" aca="1" ref="DO165" ca="1">_FV(ED165,"Fechamento anterior",TRUE)</f>
        <v>19.79</v>
      </c>
      <c r="DP165" s="28">
        <f t="shared" ca="1" si="162"/>
        <v>0.38371588548446506</v>
      </c>
      <c r="DQ165" s="15">
        <f t="shared" ca="1" si="190"/>
        <v>19.661005596400745</v>
      </c>
      <c r="DR165" s="15">
        <f t="shared" ca="1" si="191"/>
        <v>19.918994403599253</v>
      </c>
      <c r="DS165" s="9"/>
      <c r="DT165" s="9"/>
      <c r="DU165" s="9"/>
      <c r="DV165" s="89">
        <v>1.3036321738176237E-2</v>
      </c>
      <c r="DW165" s="89">
        <f t="shared" ca="1" si="163"/>
        <v>1.3036321738176237E-2</v>
      </c>
      <c r="DX165" s="72">
        <f t="shared" ca="1" si="164"/>
        <v>0.74817034641326496</v>
      </c>
      <c r="DY165" s="37"/>
      <c r="DZ165" s="35">
        <f t="shared" si="174"/>
        <v>0.67832145771750418</v>
      </c>
      <c r="EA165" s="56"/>
      <c r="EB165" s="56"/>
      <c r="ED165" s="2" t="e" vm="167">
        <v>#VALUE!</v>
      </c>
      <c r="EF165" s="10" cm="1">
        <f t="array" aca="1" ref="EF165" ca="1">_FV(ED165,"Ações em circulação",TRUE)</f>
        <v>57737320</v>
      </c>
      <c r="EG165" s="18">
        <f>VLOOKUP(BQ165,Fundamentus!A:U,5,FALSE)</f>
        <v>2.121</v>
      </c>
      <c r="EH165" s="2">
        <f t="shared" ca="1" si="165"/>
        <v>537901670.53276753</v>
      </c>
      <c r="EI165" s="17">
        <v>-30484406.642432809</v>
      </c>
      <c r="EJ165" s="17">
        <f t="shared" ca="1" si="166"/>
        <v>-33188533.071871758</v>
      </c>
      <c r="EL165" s="16">
        <f t="shared" ca="1" si="153"/>
        <v>8.8705234159779822E-2</v>
      </c>
      <c r="EM165" s="32" t="str">
        <f>IF(VLOOKUP(BQ165,Fundamentus!A:U,3,FALSE)&lt;15,"Bom",IF(VLOOKUP(BQ165,Fundamentus!A:U,3,FALSE)&gt;15,"Ruim","n/a"))</f>
        <v>Bom</v>
      </c>
      <c r="EN165" s="28" t="str">
        <f>IF(VLOOKUP(BQ165,Fundamentus!A:U,4,FALSE)&lt;1,"Baixo",IF(VLOOKUP(BQ165,Fundamentus!A:U,4,FALSE)&lt;1.5,"Moderado",IF(VLOOKUP(BQ165,Fundamentus!A:U,4,FALSE)&gt;1.5,"Alto","n/a")))</f>
        <v>Baixo</v>
      </c>
      <c r="EO165" s="17" t="str">
        <f>IF(VLOOKUP(BQ165,Fundamentus!A:U,8,FALSE)&lt;0,"Risco elevado",IF(VLOOKUP(BQ165,Fundamentus!A:U,8,FALSE)&lt;1,"Saudável",IF(VLOOKUP(BQ165,Fundamentus!A:U,8,FALSE)&lt;3,"Estável",IF(VLOOKUP(BQ165,Fundamentus!A:U,8,FALSE)&gt;3,"Alerta","n/a"))))</f>
        <v>Estável</v>
      </c>
      <c r="EP165" s="28" t="str">
        <f t="shared" si="167"/>
        <v>Bom</v>
      </c>
      <c r="EQ165" s="17" t="str">
        <f>IF(VLOOKUP(BQ165,Fundamentus!A:U,12,FALSE)&lt;2,"Subvalorizada",IF(VLOOKUP(BQ165,Fundamentus!A:U,12,FALSE)&lt;6,"Muita barata",IF(VLOOKUP(BQ165,Fundamentus!A:U,12,FALSE)&lt;6,"Barata",IF(VLOOKUP(BQ165,Fundamentus!A:U,12,FALSE)&lt;8,"Atrativa",IF(VLOOKUP(BQ165,Fundamentus!A:U,12,FALSE)&gt;8,"Supervalorizada","n/a")))))</f>
        <v>Supervalorizada</v>
      </c>
      <c r="ES165" s="17" t="str">
        <f>IF(VLOOKUP(BQ165,Fundamentus!A:U,17,FALSE)&lt;0.1,"Fraco retorno",IF(VLOOKUP(BQ165,Fundamentus!A:U,17,FALSE)&gt;0.1,"Bom retorno","n/a"))</f>
        <v>Fraco retorno</v>
      </c>
      <c r="ET165" s="17" t="str">
        <f>IF(VLOOKUP(BQ165,Fundamentus!A:U,16,FALSE)&lt;0.1,"Ineficiente",IF(VLOOKUP(BQ165,Fundamentus!A:U,16,FALSE)&gt;0.1,"Eficiente","n/a"))</f>
        <v>Ineficiente</v>
      </c>
      <c r="EU165" s="33" t="str">
        <f>IF(VLOOKUP(BQ165,Fundamentus!A:U,16,FALSE)&lt;0.1,"Oper. Ineficiente",IF(VLOOKUP(BQ165,Fundamentus!A:U,16,FALSE)&gt;0.1,"Oper.Eficiente","n/a"))</f>
        <v>Oper. Ineficiente</v>
      </c>
      <c r="EV165" s="34">
        <f>VLOOKUP(BQ165,Fundamentus!A:U,14,FALSE)</f>
        <v>-6.1699999999999998E-2</v>
      </c>
      <c r="EW165" s="17" t="str">
        <f>IF(VLOOKUP(BQ165,Fundamentus!A:U,21,FALSE)&lt;0,"Negativo",IF(VLOOKUP(BQ165,Fundamentus!A:U,21,FALSE)&lt;0.05,"Fraco",IF(VLOOKUP(BQ165,Fundamentus!A:U,21,FALSE)&lt;0.1,"Bom",IF(VLOOKUP(BQ165,Fundamentus!A:U,21,FALSE)&gt;0.1,"Muito bom","n/a"))))</f>
        <v>Muito bom</v>
      </c>
      <c r="EY165" s="29" t="str">
        <f>IF(VLOOKUP(BQ165,Fundamentus!A:U,15,FALSE)&gt;1,"Bom",IF(VLOOKUP(BQ165,Fundamentus!A:U,15,FALSE)&lt;1,"Ruim","n/a"))</f>
        <v>Bom</v>
      </c>
      <c r="EZ165" s="17" t="str">
        <f>IF(VLOOKUP(BQ165,Fundamentus!A:U,20,FALSE)&lt;0.5,"Baixa",IF(VLOOKUP(BQ165,Fundamentus!A:U,20,FALSE)&lt;1,"Moderada",IF(VLOOKUP(BQ165,Fundamentus!A:U,20,FALSE)&lt;2,"Alerta",IF(VLOOKUP(BQ165,Fundamentus!A:U,20,FALSE)&gt;2,"Alta","n/a"))))</f>
        <v>Moderada</v>
      </c>
      <c r="FA165" s="10"/>
    </row>
    <row r="166" spans="1:157" s="2" customFormat="1" ht="11.25" hidden="1" x14ac:dyDescent="0.2">
      <c r="A166" s="4">
        <v>5</v>
      </c>
      <c r="B166" s="4">
        <v>5.13</v>
      </c>
      <c r="C166" s="4">
        <v>4.63</v>
      </c>
      <c r="D166" s="4">
        <v>4.13</v>
      </c>
      <c r="E166" s="4">
        <v>4.28</v>
      </c>
      <c r="F166" s="4">
        <v>4.22</v>
      </c>
      <c r="G166" s="4">
        <v>4.2</v>
      </c>
      <c r="H166" s="4">
        <v>3.99</v>
      </c>
      <c r="I166" s="4">
        <v>4.04</v>
      </c>
      <c r="J166" s="4">
        <v>4.47</v>
      </c>
      <c r="K166" s="4">
        <v>4.59</v>
      </c>
      <c r="L166" s="4">
        <v>4.33</v>
      </c>
      <c r="M166" s="4">
        <v>4.45</v>
      </c>
      <c r="N166" s="4">
        <v>4.38</v>
      </c>
      <c r="O166" s="4">
        <v>4.7</v>
      </c>
      <c r="P166" s="4">
        <v>4.63</v>
      </c>
      <c r="Q166" s="4">
        <v>4.8</v>
      </c>
      <c r="R166" s="4">
        <v>4.55</v>
      </c>
      <c r="S166" s="4">
        <v>4.45</v>
      </c>
      <c r="T166" s="4">
        <v>4.54</v>
      </c>
      <c r="U166" s="4">
        <v>4.1500000000000004</v>
      </c>
      <c r="V166" s="4">
        <v>4.3</v>
      </c>
      <c r="W166" s="4">
        <v>4.0999999999999996</v>
      </c>
      <c r="X166" s="4">
        <v>4.0599999999999996</v>
      </c>
      <c r="Y166" s="4">
        <v>4.46</v>
      </c>
      <c r="Z166" s="4">
        <v>4.33</v>
      </c>
      <c r="AA166" s="4">
        <v>4.09</v>
      </c>
      <c r="AB166" s="4">
        <v>4.28</v>
      </c>
      <c r="AC166" s="4">
        <v>4.2</v>
      </c>
      <c r="AD166" s="4">
        <v>4.17</v>
      </c>
      <c r="AE166" s="4">
        <v>3.76</v>
      </c>
      <c r="AF166" s="4">
        <v>3.59</v>
      </c>
      <c r="AG166" s="4">
        <v>3.53</v>
      </c>
      <c r="AH166" s="4">
        <v>3.41</v>
      </c>
      <c r="AI166" s="4">
        <v>3.22</v>
      </c>
      <c r="AJ166" s="4">
        <v>3.23</v>
      </c>
      <c r="AK166" s="4">
        <v>3.36</v>
      </c>
      <c r="AL166" s="4">
        <v>3.03</v>
      </c>
      <c r="AM166" s="4">
        <v>3.21</v>
      </c>
      <c r="AN166" s="4">
        <v>3.36</v>
      </c>
      <c r="AO166" s="4">
        <v>3.12</v>
      </c>
      <c r="AP166" s="4">
        <v>3.4</v>
      </c>
      <c r="AQ166" s="4">
        <v>2.94</v>
      </c>
      <c r="AR166" s="4">
        <v>2.74</v>
      </c>
      <c r="AS166" s="4">
        <v>2.69</v>
      </c>
      <c r="AT166" s="4">
        <v>2.65</v>
      </c>
      <c r="AU166" s="4">
        <v>2.6349999999999998</v>
      </c>
      <c r="AV166" s="4">
        <v>2.71</v>
      </c>
      <c r="AW166" s="4">
        <v>2.58</v>
      </c>
      <c r="AX166" s="4">
        <v>2.94</v>
      </c>
      <c r="AY166" s="12">
        <v>3.5</v>
      </c>
      <c r="AZ166" s="12">
        <v>3.89</v>
      </c>
      <c r="BA166" s="12">
        <v>3.61</v>
      </c>
      <c r="BB166" s="15">
        <v>3.57</v>
      </c>
      <c r="BC166" s="52">
        <v>3.66</v>
      </c>
      <c r="BD166" s="52">
        <v>3.82</v>
      </c>
      <c r="BE166" s="52">
        <v>3.76</v>
      </c>
      <c r="BF166" s="52">
        <v>3.93</v>
      </c>
      <c r="BG166" s="67">
        <v>4.08</v>
      </c>
      <c r="BH166" s="52">
        <v>4.13</v>
      </c>
      <c r="BI166" s="52">
        <v>4.0599999999999996</v>
      </c>
      <c r="BJ166" s="52">
        <v>3.67</v>
      </c>
      <c r="BK166" s="52">
        <v>3.75</v>
      </c>
      <c r="BL166" s="52">
        <v>3.9</v>
      </c>
      <c r="BM166" s="52">
        <v>3.77</v>
      </c>
      <c r="BN166" s="52">
        <v>3.95</v>
      </c>
      <c r="BO166" s="52">
        <v>4.0199999999999996</v>
      </c>
      <c r="BP166" s="52" cm="1">
        <f t="array" aca="1" ref="BP166" ca="1">_FV(ED166,"Preço")</f>
        <v>4.12</v>
      </c>
      <c r="BQ166" s="69" t="s">
        <v>162</v>
      </c>
      <c r="BR166" s="36" cm="1">
        <f t="array" aca="1" ref="BR166" ca="1">_FV(ED166,"Média de volume",TRUE)</f>
        <v>5981400</v>
      </c>
      <c r="BS166" s="36">
        <v>4062800</v>
      </c>
      <c r="BT166" s="36" cm="1">
        <f t="array" aca="1" ref="BT166" ca="1">_FV(ED166,"Volume")</f>
        <v>7203700</v>
      </c>
      <c r="BU166" s="24" cm="1">
        <f t="array" aca="1" ref="BU166" ca="1">_FV(ED166,"Beta")</f>
        <v>1.2441</v>
      </c>
      <c r="BV166" s="71" cm="1">
        <f t="array" aca="1" ref="BV166" ca="1">_FV(ED166,"Variação (%)",TRUE)</f>
        <v>2.2332999999999999E-2</v>
      </c>
      <c r="BX166" s="17" cm="1">
        <f t="array" aca="1" ref="BX166" ca="1">_FV(ED166,"Baixo")</f>
        <v>4.07</v>
      </c>
      <c r="BY166" s="17" cm="1">
        <f t="array" aca="1" ref="BY166" ca="1">_FV(ED166,"Alto")</f>
        <v>4.25</v>
      </c>
      <c r="BZ166" s="24"/>
      <c r="CA166" s="63">
        <f ca="1">SQRT(22.5*(BP166/VLOOKUP(BQ166,Fundamentus!A:U,3,FALSE))*(BP166/VLOOKUP(BQ166,Fundamentus!A:U,4,FALSE)))</f>
        <v>2.6361555914438788</v>
      </c>
      <c r="CC166" s="62">
        <f t="shared" ca="1" si="168"/>
        <v>2.48756218905474E-2</v>
      </c>
      <c r="CD166" s="8"/>
      <c r="CE166" s="61">
        <f t="shared" si="169"/>
        <v>2.58</v>
      </c>
      <c r="CF166" s="61">
        <f t="shared" si="170"/>
        <v>5.13</v>
      </c>
      <c r="CG166" s="61">
        <f t="shared" si="171"/>
        <v>3.8630597014925372</v>
      </c>
      <c r="CH166" s="14"/>
      <c r="CI166" s="35">
        <f t="shared" si="154"/>
        <v>3.8373849716422406</v>
      </c>
      <c r="CJ166" s="15">
        <f t="shared" si="172"/>
        <v>4.0450000000000159</v>
      </c>
      <c r="CK166" s="35">
        <f t="shared" si="155"/>
        <v>4.2526150283577913</v>
      </c>
      <c r="CM166" s="14"/>
      <c r="CN166" s="17">
        <f t="shared" si="156"/>
        <v>0.14000000000000057</v>
      </c>
      <c r="CO166" s="17">
        <f t="shared" si="157"/>
        <v>1.3600000000000003</v>
      </c>
      <c r="CP166" s="17">
        <f t="shared" si="158"/>
        <v>2.6900000000000004</v>
      </c>
      <c r="CQ166" s="38">
        <f t="shared" si="173"/>
        <v>3.91</v>
      </c>
      <c r="CR166" s="17">
        <f t="shared" si="159"/>
        <v>5.24</v>
      </c>
      <c r="CS166" s="17">
        <f t="shared" si="160"/>
        <v>6.46</v>
      </c>
      <c r="CT166" s="17">
        <f t="shared" si="161"/>
        <v>7.79</v>
      </c>
      <c r="CU166" s="2" cm="1">
        <f t="array" aca="1" ref="CU166" ca="1">MAX(_xlfn._xlws.FILTER(CN166:CT166,CN166:CT166&lt;BP166))</f>
        <v>3.91</v>
      </c>
      <c r="CV166" s="2" cm="1">
        <f t="array" aca="1" ref="CV166" ca="1">MIN(_xlfn._xlws.FILTER($CN166:$CT166,$CN166:$CT166&gt;BP166))</f>
        <v>5.24</v>
      </c>
      <c r="CW166" s="16">
        <f t="shared" ca="1" si="175"/>
        <v>0.34015345268542196</v>
      </c>
      <c r="CX166" s="20">
        <f t="shared" ca="1" si="176"/>
        <v>-0.17007672634271098</v>
      </c>
      <c r="CY166" s="20">
        <f t="shared" ca="1" si="177"/>
        <v>-0.11338448422847398</v>
      </c>
      <c r="CZ166" s="20">
        <f t="shared" ca="1" si="178"/>
        <v>-6.8030690537084396E-2</v>
      </c>
      <c r="DA166" s="20">
        <f t="shared" ca="1" si="179"/>
        <v>-3.7794828076157999E-2</v>
      </c>
      <c r="DB166" s="20">
        <f t="shared" ca="1" si="180"/>
        <v>-2.0009026628554232E-2</v>
      </c>
      <c r="DC166" s="20">
        <f t="shared" ca="1" si="181"/>
        <v>-1.0307680384406727E-2</v>
      </c>
      <c r="DD166" s="20">
        <f t="shared" ca="1" si="182"/>
        <v>-5.2331300413141837E-3</v>
      </c>
      <c r="DE166" s="21">
        <f t="shared" ca="1" si="183"/>
        <v>5.2331300413141837E-3</v>
      </c>
      <c r="DF166" s="21">
        <f t="shared" ca="1" si="184"/>
        <v>1.0307680384406727E-2</v>
      </c>
      <c r="DG166" s="21">
        <f t="shared" ca="1" si="185"/>
        <v>2.0009026628554232E-2</v>
      </c>
      <c r="DH166" s="21">
        <f t="shared" ca="1" si="186"/>
        <v>3.7794828076157999E-2</v>
      </c>
      <c r="DI166" s="21">
        <f t="shared" ca="1" si="187"/>
        <v>6.8030690537084396E-2</v>
      </c>
      <c r="DJ166" s="21">
        <f t="shared" ca="1" si="188"/>
        <v>0.11338448422847398</v>
      </c>
      <c r="DK166" s="21">
        <f t="shared" ca="1" si="189"/>
        <v>0.17007672634271098</v>
      </c>
      <c r="DM166" s="16" cm="1">
        <f t="array" aca="1" ref="DM166" ca="1">MAX(_xlfn._xlws.FILTER(CX166:DK166,CX166:DK166&lt;BV166))</f>
        <v>2.0009026628554232E-2</v>
      </c>
      <c r="DN166" s="16" cm="1">
        <f t="array" aca="1" ref="DN166" ca="1">MIN(_xlfn._xlws.FILTER(CX166:DK166,CX166:DK166&gt;BV166))</f>
        <v>3.7794828076157999E-2</v>
      </c>
      <c r="DO166" s="2" cm="1">
        <f t="array" aca="1" ref="DO166" ca="1">_FV(ED166,"Fechamento anterior",TRUE)</f>
        <v>4.03</v>
      </c>
      <c r="DP166" s="28">
        <f t="shared" ca="1" si="162"/>
        <v>0.1306367656112998</v>
      </c>
      <c r="DQ166" s="15">
        <f t="shared" ca="1" si="190"/>
        <v>4.1106363773130736</v>
      </c>
      <c r="DR166" s="15">
        <f t="shared" ca="1" si="191"/>
        <v>4.1823131571469165</v>
      </c>
      <c r="DS166" s="9"/>
      <c r="DT166" s="9"/>
      <c r="DU166" s="9"/>
      <c r="DV166" s="89">
        <v>1.7785801447603767E-2</v>
      </c>
      <c r="DW166" s="89">
        <f t="shared" ca="1" si="163"/>
        <v>1.7785801447603767E-2</v>
      </c>
      <c r="DX166" s="72">
        <f t="shared" ca="1" si="164"/>
        <v>0.36124552539972898</v>
      </c>
      <c r="DY166" s="37"/>
      <c r="DZ166" s="35">
        <f t="shared" si="174"/>
        <v>0.10380751417888774</v>
      </c>
      <c r="EA166" s="56"/>
      <c r="EB166" s="56"/>
      <c r="ED166" s="2" t="e" vm="168">
        <v>#VALUE!</v>
      </c>
      <c r="EF166" s="10" cm="1">
        <f t="array" aca="1" ref="EF166" ca="1">_FV(ED166,"Ações em circulação",TRUE)</f>
        <v>565999200</v>
      </c>
      <c r="EG166" s="18">
        <f>VLOOKUP(BQ166,Fundamentus!A:U,5,FALSE)</f>
        <v>1.579</v>
      </c>
      <c r="EH166" s="2">
        <f t="shared" ca="1" si="165"/>
        <v>1476831351.4882839</v>
      </c>
      <c r="EI166" s="17">
        <v>33574972.17682077</v>
      </c>
      <c r="EJ166" s="17">
        <f t="shared" ca="1" si="166"/>
        <v>34410170.489677019</v>
      </c>
      <c r="EL166" s="16">
        <f t="shared" ca="1" si="153"/>
        <v>2.4875621890547706E-2</v>
      </c>
      <c r="EM166" s="32" t="str">
        <f>IF(VLOOKUP(BQ166,Fundamentus!A:U,3,FALSE)&lt;15,"Bom",IF(VLOOKUP(BQ166,Fundamentus!A:U,3,FALSE)&gt;15,"Ruim","n/a"))</f>
        <v>Ruim</v>
      </c>
      <c r="EN166" s="28" t="str">
        <f>IF(VLOOKUP(BQ166,Fundamentus!A:U,4,FALSE)&lt;1,"Baixo",IF(VLOOKUP(BQ166,Fundamentus!A:U,4,FALSE)&lt;1.5,"Moderado",IF(VLOOKUP(BQ166,Fundamentus!A:U,4,FALSE)&gt;1.5,"Alto","n/a")))</f>
        <v>Baixo</v>
      </c>
      <c r="EO166" s="17" t="str">
        <f>IF(VLOOKUP(BQ166,Fundamentus!A:U,8,FALSE)&lt;0,"Risco elevado",IF(VLOOKUP(BQ166,Fundamentus!A:U,8,FALSE)&lt;1,"Saudável",IF(VLOOKUP(BQ166,Fundamentus!A:U,8,FALSE)&lt;3,"Estável",IF(VLOOKUP(BQ166,Fundamentus!A:U,8,FALSE)&gt;3,"Alerta","n/a"))))</f>
        <v>Alerta</v>
      </c>
      <c r="EP166" s="28" t="str">
        <f t="shared" si="167"/>
        <v>Bom</v>
      </c>
      <c r="EQ166" s="17" t="str">
        <f>IF(VLOOKUP(BQ166,Fundamentus!A:U,12,FALSE)&lt;2,"Subvalorizada",IF(VLOOKUP(BQ166,Fundamentus!A:U,12,FALSE)&lt;6,"Muita barata",IF(VLOOKUP(BQ166,Fundamentus!A:U,12,FALSE)&lt;6,"Barata",IF(VLOOKUP(BQ166,Fundamentus!A:U,12,FALSE)&lt;8,"Atrativa",IF(VLOOKUP(BQ166,Fundamentus!A:U,12,FALSE)&gt;8,"Supervalorizada","n/a")))))</f>
        <v>Atrativa</v>
      </c>
      <c r="ES166" s="17" t="str">
        <f>IF(VLOOKUP(BQ166,Fundamentus!A:U,17,FALSE)&lt;0.1,"Fraco retorno",IF(VLOOKUP(BQ166,Fundamentus!A:U,17,FALSE)&gt;0.1,"Bom retorno","n/a"))</f>
        <v>Fraco retorno</v>
      </c>
      <c r="ET166" s="17" t="str">
        <f>IF(VLOOKUP(BQ166,Fundamentus!A:U,16,FALSE)&lt;0.1,"Ineficiente",IF(VLOOKUP(BQ166,Fundamentus!A:U,16,FALSE)&gt;0.1,"Eficiente","n/a"))</f>
        <v>Ineficiente</v>
      </c>
      <c r="EU166" s="33" t="str">
        <f>IF(VLOOKUP(BQ166,Fundamentus!A:U,16,FALSE)&lt;0.1,"Oper. Ineficiente",IF(VLOOKUP(BQ166,Fundamentus!A:U,16,FALSE)&gt;0.1,"Oper.Eficiente","n/a"))</f>
        <v>Oper. Ineficiente</v>
      </c>
      <c r="EV166" s="34">
        <f>VLOOKUP(BQ166,Fundamentus!A:U,14,FALSE)</f>
        <v>2.3300000000000001E-2</v>
      </c>
      <c r="EW166" s="17" t="str">
        <f>IF(VLOOKUP(BQ166,Fundamentus!A:U,21,FALSE)&lt;0,"Negativo",IF(VLOOKUP(BQ166,Fundamentus!A:U,21,FALSE)&lt;0.05,"Fraco",IF(VLOOKUP(BQ166,Fundamentus!A:U,21,FALSE)&lt;0.1,"Bom",IF(VLOOKUP(BQ166,Fundamentus!A:U,21,FALSE)&gt;0.1,"Muito bom","n/a"))))</f>
        <v>Muito bom</v>
      </c>
      <c r="EY166" s="29" t="str">
        <f>IF(VLOOKUP(BQ166,Fundamentus!A:U,15,FALSE)&gt;1,"Bom",IF(VLOOKUP(BQ166,Fundamentus!A:U,15,FALSE)&lt;1,"Ruim","n/a"))</f>
        <v>Bom</v>
      </c>
      <c r="EZ166" s="17" t="str">
        <f>IF(VLOOKUP(BQ166,Fundamentus!A:U,20,FALSE)&lt;0.5,"Baixa",IF(VLOOKUP(BQ166,Fundamentus!A:U,20,FALSE)&lt;1,"Moderada",IF(VLOOKUP(BQ166,Fundamentus!A:U,20,FALSE)&lt;2,"Alerta",IF(VLOOKUP(BQ166,Fundamentus!A:U,20,FALSE)&gt;2,"Alta","n/a"))))</f>
        <v>Baixa</v>
      </c>
      <c r="FA166" s="10"/>
    </row>
    <row r="167" spans="1:157" s="2" customFormat="1" ht="11.25" hidden="1" x14ac:dyDescent="0.2">
      <c r="A167" s="4">
        <v>2.19</v>
      </c>
      <c r="B167" s="4">
        <v>2.2599999999999998</v>
      </c>
      <c r="C167" s="4">
        <v>2.2400000000000002</v>
      </c>
      <c r="D167" s="4">
        <v>2.31</v>
      </c>
      <c r="E167" s="4">
        <v>2.1</v>
      </c>
      <c r="F167" s="4">
        <v>1.94</v>
      </c>
      <c r="G167" s="4">
        <v>1.89</v>
      </c>
      <c r="H167" s="4">
        <v>1.79</v>
      </c>
      <c r="I167" s="4">
        <v>1.85</v>
      </c>
      <c r="J167" s="4">
        <v>1.92</v>
      </c>
      <c r="K167" s="4">
        <v>1.96</v>
      </c>
      <c r="L167" s="4">
        <v>1.86</v>
      </c>
      <c r="M167" s="4">
        <v>1.76</v>
      </c>
      <c r="N167" s="4">
        <v>1.81</v>
      </c>
      <c r="O167" s="4">
        <v>1.75</v>
      </c>
      <c r="P167" s="4">
        <v>1.75</v>
      </c>
      <c r="Q167" s="4">
        <v>1.78</v>
      </c>
      <c r="R167" s="4">
        <v>1.65</v>
      </c>
      <c r="S167" s="4">
        <v>1.75</v>
      </c>
      <c r="T167" s="4">
        <v>1.94</v>
      </c>
      <c r="U167" s="4">
        <v>1.7</v>
      </c>
      <c r="V167" s="4">
        <v>1.75</v>
      </c>
      <c r="W167" s="4">
        <v>1.76</v>
      </c>
      <c r="X167" s="4">
        <v>1.71</v>
      </c>
      <c r="Y167" s="4">
        <v>1.63</v>
      </c>
      <c r="Z167" s="4">
        <v>1.63</v>
      </c>
      <c r="AA167" s="4">
        <v>1.58</v>
      </c>
      <c r="AB167" s="4">
        <v>1.65</v>
      </c>
      <c r="AC167" s="4">
        <v>1.64</v>
      </c>
      <c r="AD167" s="4">
        <v>1.77</v>
      </c>
      <c r="AE167" s="4">
        <v>1.65</v>
      </c>
      <c r="AF167" s="4">
        <v>1.65</v>
      </c>
      <c r="AG167" s="4">
        <v>1.48</v>
      </c>
      <c r="AH167" s="4">
        <v>1.36</v>
      </c>
      <c r="AI167" s="4">
        <v>1.5</v>
      </c>
      <c r="AJ167" s="4">
        <v>1.47</v>
      </c>
      <c r="AK167" s="4">
        <v>1.41</v>
      </c>
      <c r="AL167" s="4">
        <v>1.31</v>
      </c>
      <c r="AM167" s="4">
        <v>1.29</v>
      </c>
      <c r="AN167" s="4">
        <v>1.3</v>
      </c>
      <c r="AO167" s="4">
        <v>1.27</v>
      </c>
      <c r="AP167" s="4">
        <v>1.34</v>
      </c>
      <c r="AQ167" s="4">
        <v>1.26</v>
      </c>
      <c r="AR167" s="4">
        <v>1.17</v>
      </c>
      <c r="AS167" s="4">
        <v>1.2</v>
      </c>
      <c r="AT167" s="4">
        <v>1.33</v>
      </c>
      <c r="AU167" s="4">
        <v>1.4</v>
      </c>
      <c r="AV167" s="4">
        <v>1.45</v>
      </c>
      <c r="AW167" s="4">
        <v>1.33</v>
      </c>
      <c r="AX167" s="4">
        <v>1.32</v>
      </c>
      <c r="AY167" s="12">
        <v>1.41</v>
      </c>
      <c r="AZ167" s="12">
        <v>1.4</v>
      </c>
      <c r="BA167" s="12">
        <v>1.38</v>
      </c>
      <c r="BB167" s="15">
        <v>1.39</v>
      </c>
      <c r="BC167" s="52">
        <v>1.5</v>
      </c>
      <c r="BD167" s="52">
        <v>1.6</v>
      </c>
      <c r="BE167" s="52">
        <v>1.75</v>
      </c>
      <c r="BF167" s="52">
        <v>1.66</v>
      </c>
      <c r="BG167" s="67">
        <v>1.65</v>
      </c>
      <c r="BH167" s="52">
        <v>1.64</v>
      </c>
      <c r="BI167" s="52">
        <v>1.67</v>
      </c>
      <c r="BJ167" s="52">
        <v>1.58</v>
      </c>
      <c r="BK167" s="52">
        <v>1.38</v>
      </c>
      <c r="BL167" s="52">
        <v>1.45</v>
      </c>
      <c r="BM167" s="52">
        <v>1.49</v>
      </c>
      <c r="BN167" s="52">
        <v>1.42</v>
      </c>
      <c r="BO167" s="52">
        <v>1.4</v>
      </c>
      <c r="BP167" s="52" cm="1">
        <f t="array" aca="1" ref="BP167" ca="1">_FV(ED167,"Preço")</f>
        <v>1.48</v>
      </c>
      <c r="BQ167" s="69" t="s">
        <v>163</v>
      </c>
      <c r="BR167" s="36" cm="1">
        <f t="array" aca="1" ref="BR167" ca="1">_FV(ED167,"Média de volume",TRUE)</f>
        <v>169420</v>
      </c>
      <c r="BS167" s="36">
        <v>41600</v>
      </c>
      <c r="BT167" s="36" cm="1">
        <f t="array" aca="1" ref="BT167" ca="1">_FV(ED167,"Volume")</f>
        <v>60500</v>
      </c>
      <c r="BU167" s="24" cm="1">
        <f t="array" aca="1" ref="BU167" ca="1">_FV(ED167,"Beta")</f>
        <v>1.4119999999999999</v>
      </c>
      <c r="BV167" s="71" cm="1">
        <f t="array" aca="1" ref="BV167" ca="1">_FV(ED167,"Variação (%)",TRUE)</f>
        <v>-3.2680000000000001E-2</v>
      </c>
      <c r="BX167" s="17" cm="1">
        <f t="array" aca="1" ref="BX167" ca="1">_FV(ED167,"Baixo")</f>
        <v>1.48</v>
      </c>
      <c r="BY167" s="17" cm="1">
        <f t="array" aca="1" ref="BY167" ca="1">_FV(ED167,"Alto")</f>
        <v>1.54</v>
      </c>
      <c r="BZ167" s="24"/>
      <c r="CA167" s="63">
        <f ca="1">SQRT(22.5*(BP167/VLOOKUP(BQ167,Fundamentus!A:U,3,FALSE))*(BP167/VLOOKUP(BQ167,Fundamentus!A:U,4,FALSE)))</f>
        <v>2.256244369278245</v>
      </c>
      <c r="CC167" s="62">
        <f t="shared" ca="1" si="168"/>
        <v>5.7142857142857197E-2</v>
      </c>
      <c r="CD167" s="8"/>
      <c r="CE167" s="61">
        <f t="shared" si="169"/>
        <v>1.17</v>
      </c>
      <c r="CF167" s="61">
        <f t="shared" si="170"/>
        <v>2.31</v>
      </c>
      <c r="CG167" s="61">
        <f t="shared" si="171"/>
        <v>1.6205970149253732</v>
      </c>
      <c r="CH167" s="14"/>
      <c r="CI167" s="35">
        <f t="shared" si="154"/>
        <v>1.307643681576736</v>
      </c>
      <c r="CJ167" s="15">
        <f t="shared" si="172"/>
        <v>1.3849999999999909</v>
      </c>
      <c r="CK167" s="35">
        <f t="shared" si="155"/>
        <v>1.4623563184232458</v>
      </c>
      <c r="CM167" s="14"/>
      <c r="CN167" s="17">
        <f t="shared" si="156"/>
        <v>-0.19666666666666677</v>
      </c>
      <c r="CO167" s="17">
        <f t="shared" si="157"/>
        <v>0.48666666666666658</v>
      </c>
      <c r="CP167" s="17">
        <f t="shared" si="158"/>
        <v>0.94333333333333336</v>
      </c>
      <c r="CQ167" s="38">
        <f t="shared" si="173"/>
        <v>1.6266666666666667</v>
      </c>
      <c r="CR167" s="17">
        <f t="shared" si="159"/>
        <v>2.0833333333333335</v>
      </c>
      <c r="CS167" s="17">
        <f t="shared" si="160"/>
        <v>2.7666666666666666</v>
      </c>
      <c r="CT167" s="17">
        <f t="shared" si="161"/>
        <v>3.2233333333333336</v>
      </c>
      <c r="CU167" s="2" cm="1">
        <f t="array" aca="1" ref="CU167" ca="1">MAX(_xlfn._xlws.FILTER(CN167:CT167,CN167:CT167&lt;BP167))</f>
        <v>0.94333333333333336</v>
      </c>
      <c r="CV167" s="2" cm="1">
        <f t="array" aca="1" ref="CV167" ca="1">MIN(_xlfn._xlws.FILTER($CN167:$CT167,$CN167:$CT167&gt;BP167))</f>
        <v>1.6266666666666667</v>
      </c>
      <c r="CW167" s="16">
        <f t="shared" ca="1" si="175"/>
        <v>0.72438162544169615</v>
      </c>
      <c r="CX167" s="20">
        <f t="shared" ca="1" si="176"/>
        <v>-0.36219081272084808</v>
      </c>
      <c r="CY167" s="20">
        <f t="shared" ca="1" si="177"/>
        <v>-0.24146054181389873</v>
      </c>
      <c r="CZ167" s="20">
        <f t="shared" ca="1" si="178"/>
        <v>-0.14487632508833923</v>
      </c>
      <c r="DA167" s="20">
        <f t="shared" ca="1" si="179"/>
        <v>-8.0486847271299566E-2</v>
      </c>
      <c r="DB167" s="20">
        <f t="shared" ca="1" si="180"/>
        <v>-4.2610683849511541E-2</v>
      </c>
      <c r="DC167" s="20">
        <f t="shared" ca="1" si="181"/>
        <v>-2.1950958346718064E-2</v>
      </c>
      <c r="DD167" s="20">
        <f t="shared" ca="1" si="182"/>
        <v>-1.1144332699103018E-2</v>
      </c>
      <c r="DE167" s="21">
        <f t="shared" ca="1" si="183"/>
        <v>1.1144332699103018E-2</v>
      </c>
      <c r="DF167" s="21">
        <f t="shared" ca="1" si="184"/>
        <v>2.1950958346718064E-2</v>
      </c>
      <c r="DG167" s="21">
        <f t="shared" ca="1" si="185"/>
        <v>4.2610683849511541E-2</v>
      </c>
      <c r="DH167" s="21">
        <f t="shared" ca="1" si="186"/>
        <v>8.0486847271299566E-2</v>
      </c>
      <c r="DI167" s="21">
        <f t="shared" ca="1" si="187"/>
        <v>0.14487632508833923</v>
      </c>
      <c r="DJ167" s="21">
        <f t="shared" ca="1" si="188"/>
        <v>0.24146054181389873</v>
      </c>
      <c r="DK167" s="21">
        <f t="shared" ca="1" si="189"/>
        <v>0.36219081272084808</v>
      </c>
      <c r="DM167" s="16" cm="1">
        <f t="array" aca="1" ref="DM167" ca="1">MAX(_xlfn._xlws.FILTER(CX167:DK167,CX167:DK167&lt;BV167))</f>
        <v>-4.2610683849511541E-2</v>
      </c>
      <c r="DN167" s="16" cm="1">
        <f t="array" aca="1" ref="DN167" ca="1">MIN(_xlfn._xlws.FILTER(CX167:DK167,CX167:DK167&gt;BV167))</f>
        <v>-2.1950958346718064E-2</v>
      </c>
      <c r="DO167" s="2" cm="1">
        <f t="array" aca="1" ref="DO167" ca="1">_FV(ED167,"Fechamento anterior",TRUE)</f>
        <v>1.53</v>
      </c>
      <c r="DP167" s="28">
        <f t="shared" ca="1" si="162"/>
        <v>0.48069105691056635</v>
      </c>
      <c r="DQ167" s="15">
        <f t="shared" ca="1" si="190"/>
        <v>1.4648056537102474</v>
      </c>
      <c r="DR167" s="15">
        <f t="shared" ca="1" si="191"/>
        <v>1.4964150337295214</v>
      </c>
      <c r="DS167" s="9"/>
      <c r="DT167" s="9"/>
      <c r="DU167" s="9"/>
      <c r="DV167" s="89">
        <v>1.0806625647615045E-2</v>
      </c>
      <c r="DW167" s="89">
        <f t="shared" ca="1" si="163"/>
        <v>2.0659725502793477E-2</v>
      </c>
      <c r="DX167" s="72">
        <f t="shared" ca="1" si="164"/>
        <v>1.2280832637382879</v>
      </c>
      <c r="DY167" s="37"/>
      <c r="DZ167" s="35">
        <f t="shared" si="174"/>
        <v>3.8678159211627462E-2</v>
      </c>
      <c r="EA167" s="56"/>
      <c r="EB167" s="56"/>
      <c r="ED167" s="2" t="e" vm="169">
        <v>#VALUE!</v>
      </c>
      <c r="EF167" s="10" cm="1">
        <f t="array" aca="1" ref="EF167" ca="1">_FV(ED167,"Ações em circulação",TRUE)</f>
        <v>147554600</v>
      </c>
      <c r="EG167" s="18">
        <f>VLOOKUP(BQ167,Fundamentus!A:U,5,FALSE)</f>
        <v>1.0629999999999999</v>
      </c>
      <c r="EH167" s="2">
        <f t="shared" ca="1" si="165"/>
        <v>205438201.3170273</v>
      </c>
      <c r="EI167" s="17">
        <v>31870683.123236127</v>
      </c>
      <c r="EJ167" s="17">
        <f t="shared" ca="1" si="166"/>
        <v>33691865.015992478</v>
      </c>
      <c r="EL167" s="16">
        <f t="shared" ca="1" si="153"/>
        <v>5.7142857142857162E-2</v>
      </c>
      <c r="EM167" s="32" t="str">
        <f>IF(VLOOKUP(BQ167,Fundamentus!A:U,3,FALSE)&lt;15,"Bom",IF(VLOOKUP(BQ167,Fundamentus!A:U,3,FALSE)&gt;15,"Ruim","n/a"))</f>
        <v>Bom</v>
      </c>
      <c r="EN167" s="28" t="str">
        <f>IF(VLOOKUP(BQ167,Fundamentus!A:U,4,FALSE)&lt;1,"Baixo",IF(VLOOKUP(BQ167,Fundamentus!A:U,4,FALSE)&lt;1.5,"Moderado",IF(VLOOKUP(BQ167,Fundamentus!A:U,4,FALSE)&gt;1.5,"Alto","n/a")))</f>
        <v>Baixo</v>
      </c>
      <c r="EO167" s="17" t="str">
        <f>IF(VLOOKUP(BQ167,Fundamentus!A:U,8,FALSE)&lt;0,"Risco elevado",IF(VLOOKUP(BQ167,Fundamentus!A:U,8,FALSE)&lt;1,"Saudável",IF(VLOOKUP(BQ167,Fundamentus!A:U,8,FALSE)&lt;3,"Estável",IF(VLOOKUP(BQ167,Fundamentus!A:U,8,FALSE)&gt;3,"Alerta","n/a"))))</f>
        <v>Alerta</v>
      </c>
      <c r="EP167" s="28" t="str">
        <f t="shared" si="167"/>
        <v>Bom</v>
      </c>
      <c r="EQ167" s="17" t="str">
        <f>IF(VLOOKUP(BQ167,Fundamentus!A:U,12,FALSE)&lt;2,"Subvalorizada",IF(VLOOKUP(BQ167,Fundamentus!A:U,12,FALSE)&lt;6,"Muita barata",IF(VLOOKUP(BQ167,Fundamentus!A:U,12,FALSE)&lt;6,"Barata",IF(VLOOKUP(BQ167,Fundamentus!A:U,12,FALSE)&lt;8,"Atrativa",IF(VLOOKUP(BQ167,Fundamentus!A:U,12,FALSE)&gt;8,"Supervalorizada","n/a")))))</f>
        <v>Muita barata</v>
      </c>
      <c r="ES167" s="17" t="str">
        <f>IF(VLOOKUP(BQ167,Fundamentus!A:U,17,FALSE)&lt;0.1,"Fraco retorno",IF(VLOOKUP(BQ167,Fundamentus!A:U,17,FALSE)&gt;0.1,"Bom retorno","n/a"))</f>
        <v>Fraco retorno</v>
      </c>
      <c r="ET167" s="17" t="str">
        <f>IF(VLOOKUP(BQ167,Fundamentus!A:U,16,FALSE)&lt;0.1,"Ineficiente",IF(VLOOKUP(BQ167,Fundamentus!A:U,16,FALSE)&gt;0.1,"Eficiente","n/a"))</f>
        <v>Eficiente</v>
      </c>
      <c r="EU167" s="33" t="str">
        <f>IF(VLOOKUP(BQ167,Fundamentus!A:U,16,FALSE)&lt;0.1,"Oper. Ineficiente",IF(VLOOKUP(BQ167,Fundamentus!A:U,16,FALSE)&gt;0.1,"Oper.Eficiente","n/a"))</f>
        <v>Oper.Eficiente</v>
      </c>
      <c r="EV167" s="34">
        <f>VLOOKUP(BQ167,Fundamentus!A:U,14,FALSE)</f>
        <v>0.16400000000000001</v>
      </c>
      <c r="EW167" s="17" t="str">
        <f>IF(VLOOKUP(BQ167,Fundamentus!A:U,21,FALSE)&lt;0,"Negativo",IF(VLOOKUP(BQ167,Fundamentus!A:U,21,FALSE)&lt;0.05,"Fraco",IF(VLOOKUP(BQ167,Fundamentus!A:U,21,FALSE)&lt;0.1,"Bom",IF(VLOOKUP(BQ167,Fundamentus!A:U,21,FALSE)&gt;0.1,"Muito bom","n/a"))))</f>
        <v>Negativo</v>
      </c>
      <c r="EY167" s="29" t="str">
        <f>IF(VLOOKUP(BQ167,Fundamentus!A:U,15,FALSE)&gt;1,"Bom",IF(VLOOKUP(BQ167,Fundamentus!A:U,15,FALSE)&lt;1,"Ruim","n/a"))</f>
        <v>Bom</v>
      </c>
      <c r="EZ167" s="17" t="str">
        <f>IF(VLOOKUP(BQ167,Fundamentus!A:U,20,FALSE)&lt;0.5,"Baixa",IF(VLOOKUP(BQ167,Fundamentus!A:U,20,FALSE)&lt;1,"Moderada",IF(VLOOKUP(BQ167,Fundamentus!A:U,20,FALSE)&lt;2,"Alerta",IF(VLOOKUP(BQ167,Fundamentus!A:U,20,FALSE)&gt;2,"Alta","n/a"))))</f>
        <v>Baixa</v>
      </c>
      <c r="FA167" s="10"/>
    </row>
    <row r="168" spans="1:157" s="2" customFormat="1" ht="11.25" hidden="1" x14ac:dyDescent="0.2">
      <c r="A168" s="4">
        <v>4.2</v>
      </c>
      <c r="B168" s="4">
        <v>4.0999999999999996</v>
      </c>
      <c r="C168" s="4">
        <v>4.0599999999999996</v>
      </c>
      <c r="D168" s="4">
        <v>3.95</v>
      </c>
      <c r="E168" s="4">
        <v>3.69</v>
      </c>
      <c r="F168" s="4">
        <v>3.57</v>
      </c>
      <c r="G168" s="4">
        <v>3.46</v>
      </c>
      <c r="H168" s="4">
        <v>3.36</v>
      </c>
      <c r="I168" s="4">
        <v>3.5</v>
      </c>
      <c r="J168" s="4">
        <v>4.01</v>
      </c>
      <c r="K168" s="4">
        <v>4.38</v>
      </c>
      <c r="L168" s="4">
        <v>4.05</v>
      </c>
      <c r="M168" s="4">
        <v>3.96</v>
      </c>
      <c r="N168" s="4">
        <v>3.91</v>
      </c>
      <c r="O168" s="4">
        <v>4</v>
      </c>
      <c r="P168" s="4">
        <v>3.84</v>
      </c>
      <c r="Q168" s="4">
        <v>3.93</v>
      </c>
      <c r="R168" s="4">
        <v>3.72</v>
      </c>
      <c r="S168" s="4">
        <v>3.8</v>
      </c>
      <c r="T168" s="4">
        <v>3.84</v>
      </c>
      <c r="U168" s="4">
        <v>3.64</v>
      </c>
      <c r="V168" s="4">
        <v>3.6</v>
      </c>
      <c r="W168" s="4">
        <v>3.81</v>
      </c>
      <c r="X168" s="4">
        <v>3.62</v>
      </c>
      <c r="Y168" s="4">
        <v>3.61</v>
      </c>
      <c r="Z168" s="4">
        <v>3.61</v>
      </c>
      <c r="AA168" s="4">
        <v>3.64</v>
      </c>
      <c r="AB168" s="4">
        <v>3.67</v>
      </c>
      <c r="AC168" s="4">
        <v>3.88</v>
      </c>
      <c r="AD168" s="4">
        <v>3.84</v>
      </c>
      <c r="AE168" s="4">
        <v>3.52</v>
      </c>
      <c r="AF168" s="4">
        <v>3.25</v>
      </c>
      <c r="AG168" s="4">
        <v>3.1</v>
      </c>
      <c r="AH168" s="4">
        <v>2.9</v>
      </c>
      <c r="AI168" s="4">
        <v>2.86</v>
      </c>
      <c r="AJ168" s="4">
        <v>2.85</v>
      </c>
      <c r="AK168" s="4">
        <v>2.87</v>
      </c>
      <c r="AL168" s="4">
        <v>3.03</v>
      </c>
      <c r="AM168" s="4">
        <v>3.1</v>
      </c>
      <c r="AN168" s="4">
        <v>3.27</v>
      </c>
      <c r="AO168" s="4">
        <v>3.16</v>
      </c>
      <c r="AP168" s="4">
        <v>3.25</v>
      </c>
      <c r="AQ168" s="4">
        <v>3.15</v>
      </c>
      <c r="AR168" s="4">
        <v>3.04</v>
      </c>
      <c r="AS168" s="4">
        <v>3.11</v>
      </c>
      <c r="AT168" s="4">
        <v>3.33</v>
      </c>
      <c r="AU168" s="4">
        <v>3.39</v>
      </c>
      <c r="AV168" s="4">
        <v>3.45</v>
      </c>
      <c r="AW168" s="4">
        <v>3.5</v>
      </c>
      <c r="AX168" s="4">
        <v>3.61</v>
      </c>
      <c r="AY168" s="12">
        <v>3.63</v>
      </c>
      <c r="AZ168" s="12">
        <v>4</v>
      </c>
      <c r="BA168" s="12">
        <v>3.84</v>
      </c>
      <c r="BB168" s="15">
        <v>3.82</v>
      </c>
      <c r="BC168" s="52">
        <v>4.28</v>
      </c>
      <c r="BD168" s="52">
        <v>4.01</v>
      </c>
      <c r="BE168" s="52">
        <v>4.03</v>
      </c>
      <c r="BF168" s="52">
        <v>3.88</v>
      </c>
      <c r="BG168" s="67">
        <v>3.99</v>
      </c>
      <c r="BH168" s="52">
        <v>4</v>
      </c>
      <c r="BI168" s="52">
        <v>3.87</v>
      </c>
      <c r="BJ168" s="52">
        <v>4.12</v>
      </c>
      <c r="BK168" s="52">
        <v>4.01</v>
      </c>
      <c r="BL168" s="52">
        <v>3.75</v>
      </c>
      <c r="BM168" s="52">
        <v>3.76</v>
      </c>
      <c r="BN168" s="52">
        <v>3.66</v>
      </c>
      <c r="BO168" s="52">
        <v>3.54</v>
      </c>
      <c r="BP168" s="52" cm="1">
        <f t="array" aca="1" ref="BP168" ca="1">_FV(ED168,"Preço")</f>
        <v>3.43</v>
      </c>
      <c r="BQ168" s="69" t="s">
        <v>164</v>
      </c>
      <c r="BR168" s="36" cm="1">
        <f t="array" aca="1" ref="BR168" ca="1">_FV(ED168,"Média de volume",TRUE)</f>
        <v>918950</v>
      </c>
      <c r="BS168" s="36">
        <v>1852700</v>
      </c>
      <c r="BT168" s="36" cm="1">
        <f t="array" aca="1" ref="BT168" ca="1">_FV(ED168,"Volume")</f>
        <v>1071100</v>
      </c>
      <c r="BU168" s="24" cm="1">
        <f t="array" aca="1" ref="BU168" ca="1">_FV(ED168,"Beta")</f>
        <v>2.0735999999999999</v>
      </c>
      <c r="BV168" s="71" cm="1">
        <f t="array" aca="1" ref="BV168" ca="1">_FV(ED168,"Variação (%)",TRUE)</f>
        <v>5.8642E-2</v>
      </c>
      <c r="BX168" s="17" cm="1">
        <f t="array" aca="1" ref="BX168" ca="1">_FV(ED168,"Baixo")</f>
        <v>3.23</v>
      </c>
      <c r="BY168" s="17" cm="1">
        <f t="array" aca="1" ref="BY168" ca="1">_FV(ED168,"Alto")</f>
        <v>3.44</v>
      </c>
      <c r="BZ168" s="24"/>
      <c r="CA168" s="63">
        <f ca="1">SQRT(22.5*(BP168/VLOOKUP(BQ168,Fundamentus!A:U,3,FALSE))*(BP168/VLOOKUP(BQ168,Fundamentus!A:U,4,FALSE)))</f>
        <v>9.9757271203129534</v>
      </c>
      <c r="CC168" s="62">
        <f t="shared" ca="1" si="168"/>
        <v>-3.1073446327683579E-2</v>
      </c>
      <c r="CD168" s="8"/>
      <c r="CE168" s="61">
        <f t="shared" si="169"/>
        <v>2.85</v>
      </c>
      <c r="CF168" s="61">
        <f t="shared" si="170"/>
        <v>4.38</v>
      </c>
      <c r="CG168" s="61">
        <f t="shared" si="171"/>
        <v>3.6444776119402986</v>
      </c>
      <c r="CH168" s="14"/>
      <c r="CI168" s="35">
        <f t="shared" si="154"/>
        <v>3.1855230218578496</v>
      </c>
      <c r="CJ168" s="15">
        <f t="shared" si="172"/>
        <v>3.4950000000000045</v>
      </c>
      <c r="CK168" s="35">
        <f t="shared" si="155"/>
        <v>3.8044769781421595</v>
      </c>
      <c r="CM168" s="14"/>
      <c r="CN168" s="17">
        <f t="shared" si="156"/>
        <v>1.27</v>
      </c>
      <c r="CO168" s="17">
        <f t="shared" si="157"/>
        <v>2.06</v>
      </c>
      <c r="CP168" s="17">
        <f t="shared" si="158"/>
        <v>2.8</v>
      </c>
      <c r="CQ168" s="38">
        <f t="shared" si="173"/>
        <v>3.59</v>
      </c>
      <c r="CR168" s="17">
        <f t="shared" si="159"/>
        <v>4.33</v>
      </c>
      <c r="CS168" s="17">
        <f t="shared" si="160"/>
        <v>5.1199999999999992</v>
      </c>
      <c r="CT168" s="17">
        <f t="shared" si="161"/>
        <v>5.8599999999999994</v>
      </c>
      <c r="CU168" s="2" cm="1">
        <f t="array" aca="1" ref="CU168" ca="1">MAX(_xlfn._xlws.FILTER(CN168:CT168,CN168:CT168&lt;BP168))</f>
        <v>2.8</v>
      </c>
      <c r="CV168" s="2" cm="1">
        <f t="array" aca="1" ref="CV168" ca="1">MIN(_xlfn._xlws.FILTER($CN168:$CT168,$CN168:$CT168&gt;BP168))</f>
        <v>3.59</v>
      </c>
      <c r="CW168" s="16">
        <f t="shared" ca="1" si="175"/>
        <v>0.28214285714285725</v>
      </c>
      <c r="CX168" s="20">
        <f t="shared" ca="1" si="176"/>
        <v>-0.14107142857142863</v>
      </c>
      <c r="CY168" s="20">
        <f t="shared" ca="1" si="177"/>
        <v>-9.4047619047619088E-2</v>
      </c>
      <c r="CZ168" s="20">
        <f t="shared" ca="1" si="178"/>
        <v>-5.6428571428571453E-2</v>
      </c>
      <c r="DA168" s="20">
        <f t="shared" ca="1" si="179"/>
        <v>-3.1349206349206363E-2</v>
      </c>
      <c r="DB168" s="20">
        <f t="shared" ca="1" si="180"/>
        <v>-1.6596638655462192E-2</v>
      </c>
      <c r="DC168" s="20">
        <f t="shared" ca="1" si="181"/>
        <v>-8.5497835497835538E-3</v>
      </c>
      <c r="DD168" s="20">
        <f t="shared" ca="1" si="182"/>
        <v>-4.3406593406593421E-3</v>
      </c>
      <c r="DE168" s="21">
        <f t="shared" ca="1" si="183"/>
        <v>4.3406593406593421E-3</v>
      </c>
      <c r="DF168" s="21">
        <f t="shared" ca="1" si="184"/>
        <v>8.5497835497835538E-3</v>
      </c>
      <c r="DG168" s="21">
        <f t="shared" ca="1" si="185"/>
        <v>1.6596638655462192E-2</v>
      </c>
      <c r="DH168" s="21">
        <f t="shared" ca="1" si="186"/>
        <v>3.1349206349206363E-2</v>
      </c>
      <c r="DI168" s="21">
        <f t="shared" ca="1" si="187"/>
        <v>5.6428571428571453E-2</v>
      </c>
      <c r="DJ168" s="21">
        <f t="shared" ca="1" si="188"/>
        <v>9.4047619047619088E-2</v>
      </c>
      <c r="DK168" s="21">
        <f t="shared" ca="1" si="189"/>
        <v>0.14107142857142863</v>
      </c>
      <c r="DM168" s="16" cm="1">
        <f t="array" aca="1" ref="DM168" ca="1">MAX(_xlfn._xlws.FILTER(CX168:DK168,CX168:DK168&lt;BV168))</f>
        <v>5.6428571428571453E-2</v>
      </c>
      <c r="DN168" s="16" cm="1">
        <f t="array" aca="1" ref="DN168" ca="1">MIN(_xlfn._xlws.FILTER(CX168:DK168,CX168:DK168&gt;BV168))</f>
        <v>9.4047619047619088E-2</v>
      </c>
      <c r="DO168" s="2" cm="1">
        <f t="array" aca="1" ref="DO168" ca="1">_FV(ED168,"Fechamento anterior",TRUE)</f>
        <v>3.24</v>
      </c>
      <c r="DP168" s="28">
        <f t="shared" ca="1" si="162"/>
        <v>5.8837318330989458E-2</v>
      </c>
      <c r="DQ168" s="15">
        <f t="shared" ca="1" si="190"/>
        <v>3.4228285714285716</v>
      </c>
      <c r="DR168" s="15">
        <f t="shared" ca="1" si="191"/>
        <v>3.5447142857142859</v>
      </c>
      <c r="DS168" s="9"/>
      <c r="DT168" s="9"/>
      <c r="DU168" s="9"/>
      <c r="DV168" s="89">
        <v>3.7619047619047635E-2</v>
      </c>
      <c r="DW168" s="89">
        <f t="shared" ca="1" si="163"/>
        <v>3.7619047619047635E-2</v>
      </c>
      <c r="DX168" s="72">
        <f t="shared" ca="1" si="164"/>
        <v>-0.21003177809933035</v>
      </c>
      <c r="DY168" s="37"/>
      <c r="DZ168" s="35">
        <f t="shared" si="174"/>
        <v>0.15473848907107751</v>
      </c>
      <c r="EA168" s="56"/>
      <c r="EB168" s="56"/>
      <c r="ED168" s="2" t="e" vm="170">
        <v>#VALUE!</v>
      </c>
      <c r="EF168" s="10" cm="1">
        <f t="array" aca="1" ref="EF168" ca="1">_FV(ED168,"Ações em circulação",TRUE)</f>
        <v>105774800</v>
      </c>
      <c r="EG168" s="18">
        <f>VLOOKUP(BQ168,Fundamentus!A:U,5,FALSE)</f>
        <v>0.33600000000000002</v>
      </c>
      <c r="EH168" s="2">
        <f t="shared" ca="1" si="165"/>
        <v>1079784416.6666665</v>
      </c>
      <c r="EI168" s="17">
        <v>79123328.071428567</v>
      </c>
      <c r="EJ168" s="17">
        <f t="shared" ca="1" si="166"/>
        <v>76664693.583333313</v>
      </c>
      <c r="EL168" s="16">
        <f t="shared" ca="1" si="153"/>
        <v>-3.1073446327683829E-2</v>
      </c>
      <c r="EM168" s="32" t="str">
        <f>IF(VLOOKUP(BQ168,Fundamentus!A:U,3,FALSE)&lt;15,"Bom",IF(VLOOKUP(BQ168,Fundamentus!A:U,3,FALSE)&gt;15,"Ruim","n/a"))</f>
        <v>Bom</v>
      </c>
      <c r="EN168" s="28" t="str">
        <f>IF(VLOOKUP(BQ168,Fundamentus!A:U,4,FALSE)&lt;1,"Baixo",IF(VLOOKUP(BQ168,Fundamentus!A:U,4,FALSE)&lt;1.5,"Moderado",IF(VLOOKUP(BQ168,Fundamentus!A:U,4,FALSE)&gt;1.5,"Alto","n/a")))</f>
        <v>Baixo</v>
      </c>
      <c r="EO168" s="17" t="str">
        <f>IF(VLOOKUP(BQ168,Fundamentus!A:U,8,FALSE)&lt;0,"Risco elevado",IF(VLOOKUP(BQ168,Fundamentus!A:U,8,FALSE)&lt;1,"Saudável",IF(VLOOKUP(BQ168,Fundamentus!A:U,8,FALSE)&lt;3,"Estável",IF(VLOOKUP(BQ168,Fundamentus!A:U,8,FALSE)&gt;3,"Alerta","n/a"))))</f>
        <v>Saudável</v>
      </c>
      <c r="EP168" s="28" t="str">
        <f t="shared" si="167"/>
        <v>Ruim</v>
      </c>
      <c r="EQ168" s="17" t="str">
        <f>IF(VLOOKUP(BQ168,Fundamentus!A:U,12,FALSE)&lt;2,"Subvalorizada",IF(VLOOKUP(BQ168,Fundamentus!A:U,12,FALSE)&lt;6,"Muita barata",IF(VLOOKUP(BQ168,Fundamentus!A:U,12,FALSE)&lt;6,"Barata",IF(VLOOKUP(BQ168,Fundamentus!A:U,12,FALSE)&lt;8,"Atrativa",IF(VLOOKUP(BQ168,Fundamentus!A:U,12,FALSE)&gt;8,"Supervalorizada","n/a")))))</f>
        <v>Atrativa</v>
      </c>
      <c r="ES168" s="17" t="str">
        <f>IF(VLOOKUP(BQ168,Fundamentus!A:U,17,FALSE)&lt;0.1,"Fraco retorno",IF(VLOOKUP(BQ168,Fundamentus!A:U,17,FALSE)&gt;0.1,"Bom retorno","n/a"))</f>
        <v>Fraco retorno</v>
      </c>
      <c r="ET168" s="17" t="str">
        <f>IF(VLOOKUP(BQ168,Fundamentus!A:U,16,FALSE)&lt;0.1,"Ineficiente",IF(VLOOKUP(BQ168,Fundamentus!A:U,16,FALSE)&gt;0.1,"Eficiente","n/a"))</f>
        <v>Ineficiente</v>
      </c>
      <c r="EU168" s="33" t="str">
        <f>IF(VLOOKUP(BQ168,Fundamentus!A:U,16,FALSE)&lt;0.1,"Oper. Ineficiente",IF(VLOOKUP(BQ168,Fundamentus!A:U,16,FALSE)&gt;0.1,"Oper.Eficiente","n/a"))</f>
        <v>Oper. Ineficiente</v>
      </c>
      <c r="EV168" s="34">
        <f>VLOOKUP(BQ168,Fundamentus!A:U,14,FALSE)</f>
        <v>7.0999999999999994E-2</v>
      </c>
      <c r="EW168" s="17" t="str">
        <f>IF(VLOOKUP(BQ168,Fundamentus!A:U,21,FALSE)&lt;0,"Negativo",IF(VLOOKUP(BQ168,Fundamentus!A:U,21,FALSE)&lt;0.05,"Fraco",IF(VLOOKUP(BQ168,Fundamentus!A:U,21,FALSE)&lt;0.1,"Bom",IF(VLOOKUP(BQ168,Fundamentus!A:U,21,FALSE)&gt;0.1,"Muito bom","n/a"))))</f>
        <v>Muito bom</v>
      </c>
      <c r="EY168" s="29" t="str">
        <f>IF(VLOOKUP(BQ168,Fundamentus!A:U,15,FALSE)&gt;1,"Bom",IF(VLOOKUP(BQ168,Fundamentus!A:U,15,FALSE)&lt;1,"Ruim","n/a"))</f>
        <v>Bom</v>
      </c>
      <c r="EZ168" s="17" t="str">
        <f>IF(VLOOKUP(BQ168,Fundamentus!A:U,20,FALSE)&lt;0.5,"Baixa",IF(VLOOKUP(BQ168,Fundamentus!A:U,20,FALSE)&lt;1,"Moderada",IF(VLOOKUP(BQ168,Fundamentus!A:U,20,FALSE)&lt;2,"Alerta",IF(VLOOKUP(BQ168,Fundamentus!A:U,20,FALSE)&gt;2,"Alta","n/a"))))</f>
        <v>Moderada</v>
      </c>
      <c r="FA168" s="10"/>
    </row>
    <row r="169" spans="1:157" s="2" customFormat="1" ht="11.25" hidden="1" x14ac:dyDescent="0.2">
      <c r="A169" s="4">
        <v>34.25</v>
      </c>
      <c r="B169" s="4">
        <v>33.99</v>
      </c>
      <c r="C169" s="4">
        <v>39.56</v>
      </c>
      <c r="D169" s="4">
        <v>37.68</v>
      </c>
      <c r="E169" s="4">
        <v>36.229999999999997</v>
      </c>
      <c r="F169" s="4">
        <v>38.4</v>
      </c>
      <c r="G169" s="4">
        <v>37.33</v>
      </c>
      <c r="H169" s="4">
        <v>37.869999999999997</v>
      </c>
      <c r="I169" s="4">
        <v>36.159999999999997</v>
      </c>
      <c r="J169" s="4">
        <v>35.82</v>
      </c>
      <c r="K169" s="4">
        <v>40.25</v>
      </c>
      <c r="L169" s="4">
        <v>41.52</v>
      </c>
      <c r="M169" s="4">
        <v>41.52</v>
      </c>
      <c r="N169" s="4">
        <v>39.25</v>
      </c>
      <c r="O169" s="4">
        <v>43.25</v>
      </c>
      <c r="P169" s="4">
        <v>44.58</v>
      </c>
      <c r="Q169" s="4">
        <v>46.03</v>
      </c>
      <c r="R169" s="4">
        <v>46.83</v>
      </c>
      <c r="S169" s="4">
        <v>47.83</v>
      </c>
      <c r="T169" s="4">
        <v>51.93</v>
      </c>
      <c r="U169" s="4">
        <v>48.25</v>
      </c>
      <c r="V169" s="4">
        <v>48.27</v>
      </c>
      <c r="W169" s="4">
        <v>45.94</v>
      </c>
      <c r="X169" s="4">
        <v>45.37</v>
      </c>
      <c r="Y169" s="4">
        <v>49.15</v>
      </c>
      <c r="Z169" s="4">
        <v>49.56</v>
      </c>
      <c r="AA169" s="4">
        <v>48.47</v>
      </c>
      <c r="AB169" s="4">
        <v>53.79</v>
      </c>
      <c r="AC169" s="4">
        <v>55.42</v>
      </c>
      <c r="AD169" s="4">
        <v>56.9</v>
      </c>
      <c r="AE169" s="4">
        <v>58.13</v>
      </c>
      <c r="AF169" s="4">
        <v>57.32</v>
      </c>
      <c r="AG169" s="4">
        <v>55.44</v>
      </c>
      <c r="AH169" s="4">
        <v>55.55</v>
      </c>
      <c r="AI169" s="4">
        <v>56.33</v>
      </c>
      <c r="AJ169" s="4">
        <v>57.03</v>
      </c>
      <c r="AK169" s="4">
        <v>57.3</v>
      </c>
      <c r="AL169" s="4">
        <v>59.88</v>
      </c>
      <c r="AM169" s="4">
        <v>60.97</v>
      </c>
      <c r="AN169" s="4">
        <v>59.7</v>
      </c>
      <c r="AO169" s="4">
        <v>62.3</v>
      </c>
      <c r="AP169" s="4">
        <v>60.35</v>
      </c>
      <c r="AQ169" s="4">
        <v>58.98</v>
      </c>
      <c r="AR169" s="4">
        <v>69.72</v>
      </c>
      <c r="AS169" s="4">
        <v>73.680000000000007</v>
      </c>
      <c r="AT169" s="4">
        <v>74.88</v>
      </c>
      <c r="AU169" s="4">
        <v>74.61</v>
      </c>
      <c r="AV169" s="4">
        <v>66.36</v>
      </c>
      <c r="AW169" s="4">
        <v>60.01</v>
      </c>
      <c r="AX169" s="4">
        <v>60.71</v>
      </c>
      <c r="AY169" s="12">
        <v>63.15</v>
      </c>
      <c r="AZ169" s="12">
        <v>63.52</v>
      </c>
      <c r="BA169" s="12">
        <v>64.92</v>
      </c>
      <c r="BB169" s="15">
        <v>69.459999999999994</v>
      </c>
      <c r="BC169" s="52">
        <v>69.849999999999994</v>
      </c>
      <c r="BD169" s="52">
        <v>67.13</v>
      </c>
      <c r="BE169" s="52">
        <v>65.489999999999995</v>
      </c>
      <c r="BF169" s="52">
        <v>64.510000000000005</v>
      </c>
      <c r="BG169" s="67">
        <v>66.44</v>
      </c>
      <c r="BH169" s="52">
        <v>72.53</v>
      </c>
      <c r="BI169" s="52">
        <v>74.64</v>
      </c>
      <c r="BJ169" s="52">
        <v>83.49</v>
      </c>
      <c r="BK169" s="52">
        <v>74.319999999999993</v>
      </c>
      <c r="BL169" s="52">
        <v>68.3</v>
      </c>
      <c r="BM169" s="52">
        <v>66.209999999999994</v>
      </c>
      <c r="BN169" s="52">
        <v>79.05</v>
      </c>
      <c r="BO169" s="52">
        <v>79.010000000000005</v>
      </c>
      <c r="BP169" s="52" cm="1">
        <f t="array" aca="1" ref="BP169" ca="1">_FV(ED169,"Preço")</f>
        <v>77.290000000000006</v>
      </c>
      <c r="BQ169" s="69" t="s">
        <v>165</v>
      </c>
      <c r="BR169" s="36" cm="1">
        <f t="array" aca="1" ref="BR169" ca="1">_FV(ED169,"Média de volume",TRUE)</f>
        <v>6214950</v>
      </c>
      <c r="BS169" s="36">
        <v>3970500</v>
      </c>
      <c r="BT169" s="36" cm="1">
        <f t="array" aca="1" ref="BT169" ca="1">_FV(ED169,"Volume")</f>
        <v>8635600</v>
      </c>
      <c r="BU169" s="24" cm="1">
        <f t="array" aca="1" ref="BU169" ca="1">_FV(ED169,"Beta")</f>
        <v>0.51600000000000001</v>
      </c>
      <c r="BV169" s="71" cm="1">
        <f t="array" aca="1" ref="BV169" ca="1">_FV(ED169,"Variação (%)",TRUE)</f>
        <v>-4.2137000000000001E-2</v>
      </c>
      <c r="BX169" s="17" cm="1">
        <f t="array" aca="1" ref="BX169" ca="1">_FV(ED169,"Baixo")</f>
        <v>75.92</v>
      </c>
      <c r="BY169" s="17" cm="1">
        <f t="array" aca="1" ref="BY169" ca="1">_FV(ED169,"Alto")</f>
        <v>80.81</v>
      </c>
      <c r="BZ169" s="24"/>
      <c r="CA169" s="63">
        <f ca="1">SQRT(22.5*(BP169/VLOOKUP(BQ169,Fundamentus!A:U,3,FALSE))*(BP169/VLOOKUP(BQ169,Fundamentus!A:U,4,FALSE)))</f>
        <v>45.99154244869046</v>
      </c>
      <c r="CC169" s="62">
        <f t="shared" ca="1" si="168"/>
        <v>-2.1769396278952014E-2</v>
      </c>
      <c r="CD169" s="8"/>
      <c r="CE169" s="61">
        <f t="shared" si="169"/>
        <v>33.99</v>
      </c>
      <c r="CF169" s="61">
        <f t="shared" si="170"/>
        <v>83.49</v>
      </c>
      <c r="CG169" s="61">
        <f t="shared" si="171"/>
        <v>55.860746268656733</v>
      </c>
      <c r="CH169" s="14"/>
      <c r="CI169" s="35">
        <f t="shared" si="154"/>
        <v>73.728746249269562</v>
      </c>
      <c r="CJ169" s="15">
        <f t="shared" si="172"/>
        <v>84.385000000002037</v>
      </c>
      <c r="CK169" s="35">
        <f t="shared" si="155"/>
        <v>95.041253750734512</v>
      </c>
      <c r="CM169" s="14"/>
      <c r="CN169" s="17">
        <f t="shared" si="156"/>
        <v>-1.9966666666666484</v>
      </c>
      <c r="CO169" s="17">
        <f t="shared" si="157"/>
        <v>15.996666666666677</v>
      </c>
      <c r="CP169" s="17">
        <f t="shared" si="158"/>
        <v>47.503333333333345</v>
      </c>
      <c r="CQ169" s="38">
        <f t="shared" si="173"/>
        <v>65.49666666666667</v>
      </c>
      <c r="CR169" s="17">
        <f t="shared" si="159"/>
        <v>97.00333333333333</v>
      </c>
      <c r="CS169" s="17">
        <f t="shared" si="160"/>
        <v>114.99666666666667</v>
      </c>
      <c r="CT169" s="17">
        <f t="shared" si="161"/>
        <v>146.50333333333333</v>
      </c>
      <c r="CU169" s="2" cm="1">
        <f t="array" aca="1" ref="CU169" ca="1">MAX(_xlfn._xlws.FILTER(CN169:CT169,CN169:CT169&lt;BP169))</f>
        <v>65.49666666666667</v>
      </c>
      <c r="CV169" s="2" cm="1">
        <f t="array" aca="1" ref="CV169" ca="1">MIN(_xlfn._xlws.FILTER($CN169:$CT169,$CN169:$CT169&gt;BP169))</f>
        <v>97.00333333333333</v>
      </c>
      <c r="CW169" s="16">
        <f t="shared" ca="1" si="175"/>
        <v>0.48104229222861195</v>
      </c>
      <c r="CX169" s="20">
        <f t="shared" ca="1" si="176"/>
        <v>-0.24052114611430597</v>
      </c>
      <c r="CY169" s="20">
        <f t="shared" ca="1" si="177"/>
        <v>-0.16034743074287064</v>
      </c>
      <c r="CZ169" s="20">
        <f t="shared" ca="1" si="178"/>
        <v>-9.6208458445722386E-2</v>
      </c>
      <c r="DA169" s="20">
        <f t="shared" ca="1" si="179"/>
        <v>-5.3449143580956884E-2</v>
      </c>
      <c r="DB169" s="20">
        <f t="shared" ca="1" si="180"/>
        <v>-2.8296605425212468E-2</v>
      </c>
      <c r="DC169" s="20">
        <f t="shared" ca="1" si="181"/>
        <v>-1.4577039158442787E-2</v>
      </c>
      <c r="DD169" s="20">
        <f t="shared" ca="1" si="182"/>
        <v>-7.4006506496709533E-3</v>
      </c>
      <c r="DE169" s="21">
        <f t="shared" ca="1" si="183"/>
        <v>7.4006506496709533E-3</v>
      </c>
      <c r="DF169" s="21">
        <f t="shared" ca="1" si="184"/>
        <v>1.4577039158442787E-2</v>
      </c>
      <c r="DG169" s="21">
        <f t="shared" ca="1" si="185"/>
        <v>2.8296605425212468E-2</v>
      </c>
      <c r="DH169" s="21">
        <f t="shared" ca="1" si="186"/>
        <v>5.3449143580956884E-2</v>
      </c>
      <c r="DI169" s="21">
        <f t="shared" ca="1" si="187"/>
        <v>9.6208458445722386E-2</v>
      </c>
      <c r="DJ169" s="21">
        <f t="shared" ca="1" si="188"/>
        <v>0.16034743074287064</v>
      </c>
      <c r="DK169" s="21">
        <f t="shared" ca="1" si="189"/>
        <v>0.24052114611430597</v>
      </c>
      <c r="DM169" s="16" cm="1">
        <f t="array" aca="1" ref="DM169" ca="1">MAX(_xlfn._xlws.FILTER(CX169:DK169,CX169:DK169&lt;BV169))</f>
        <v>-5.3449143580956884E-2</v>
      </c>
      <c r="DN169" s="16" cm="1">
        <f t="array" aca="1" ref="DN169" ca="1">MIN(_xlfn._xlws.FILTER(CX169:DK169,CX169:DK169&gt;BV169))</f>
        <v>-2.8296605425212468E-2</v>
      </c>
      <c r="DO169" s="2" cm="1">
        <f t="array" aca="1" ref="DO169" ca="1">_FV(ED169,"Fechamento anterior",TRUE)</f>
        <v>80.69</v>
      </c>
      <c r="DP169" s="28">
        <f t="shared" ca="1" si="162"/>
        <v>0.44975864642281038</v>
      </c>
      <c r="DQ169" s="15">
        <f t="shared" ca="1" si="190"/>
        <v>76.377188604452584</v>
      </c>
      <c r="DR169" s="15">
        <f t="shared" ca="1" si="191"/>
        <v>78.406746908239597</v>
      </c>
      <c r="DS169" s="9"/>
      <c r="DT169" s="9"/>
      <c r="DU169" s="9"/>
      <c r="DV169" s="89">
        <v>7.1763885087718334E-3</v>
      </c>
      <c r="DW169" s="89">
        <f t="shared" ca="1" si="163"/>
        <v>2.5152538155744416E-2</v>
      </c>
      <c r="DX169" s="72">
        <f t="shared" ca="1" si="164"/>
        <v>-0.66580621726602041</v>
      </c>
      <c r="DY169" s="37"/>
      <c r="DZ169" s="35">
        <f t="shared" si="174"/>
        <v>5.328126875366241</v>
      </c>
      <c r="EA169" s="56"/>
      <c r="EB169" s="56"/>
      <c r="ED169" s="2" t="e" vm="171">
        <v>#VALUE!</v>
      </c>
      <c r="EF169" s="10" cm="1">
        <f t="array" aca="1" ref="EF169" ca="1">_FV(ED169,"Ações em circulação",TRUE)</f>
        <v>740465000</v>
      </c>
      <c r="EG169" s="18">
        <f>VLOOKUP(BQ169,Fundamentus!A:U,5,FALSE)</f>
        <v>1.3560000000000001</v>
      </c>
      <c r="EH169" s="2">
        <f t="shared" ca="1" si="165"/>
        <v>42205412868.731567</v>
      </c>
      <c r="EI169" s="17">
        <v>2575735351.8473454</v>
      </c>
      <c r="EJ169" s="17">
        <f t="shared" ca="1" si="166"/>
        <v>2519663148.2632747</v>
      </c>
      <c r="EL169" s="16">
        <f t="shared" ca="1" si="153"/>
        <v>-2.1769396278952025E-2</v>
      </c>
      <c r="EM169" s="32" t="str">
        <f>IF(VLOOKUP(BQ169,Fundamentus!A:U,3,FALSE)&lt;15,"Bom",IF(VLOOKUP(BQ169,Fundamentus!A:U,3,FALSE)&gt;15,"Ruim","n/a"))</f>
        <v>Ruim</v>
      </c>
      <c r="EN169" s="28" t="str">
        <f>IF(VLOOKUP(BQ169,Fundamentus!A:U,4,FALSE)&lt;1,"Baixo",IF(VLOOKUP(BQ169,Fundamentus!A:U,4,FALSE)&lt;1.5,"Moderado",IF(VLOOKUP(BQ169,Fundamentus!A:U,4,FALSE)&gt;1.5,"Alto","n/a")))</f>
        <v>Alto</v>
      </c>
      <c r="EO169" s="17" t="str">
        <f>IF(VLOOKUP(BQ169,Fundamentus!A:U,8,FALSE)&lt;0,"Risco elevado",IF(VLOOKUP(BQ169,Fundamentus!A:U,8,FALSE)&lt;1,"Saudável",IF(VLOOKUP(BQ169,Fundamentus!A:U,8,FALSE)&lt;3,"Estável",IF(VLOOKUP(BQ169,Fundamentus!A:U,8,FALSE)&gt;3,"Alerta","n/a"))))</f>
        <v>Alerta</v>
      </c>
      <c r="EP169" s="28" t="str">
        <f t="shared" si="167"/>
        <v>Bom</v>
      </c>
      <c r="EQ169" s="17" t="str">
        <f>IF(VLOOKUP(BQ169,Fundamentus!A:U,12,FALSE)&lt;2,"Subvalorizada",IF(VLOOKUP(BQ169,Fundamentus!A:U,12,FALSE)&lt;6,"Muita barata",IF(VLOOKUP(BQ169,Fundamentus!A:U,12,FALSE)&lt;6,"Barata",IF(VLOOKUP(BQ169,Fundamentus!A:U,12,FALSE)&lt;8,"Atrativa",IF(VLOOKUP(BQ169,Fundamentus!A:U,12,FALSE)&gt;8,"Supervalorizada","n/a")))))</f>
        <v>Supervalorizada</v>
      </c>
      <c r="ES169" s="17" t="str">
        <f>IF(VLOOKUP(BQ169,Fundamentus!A:U,17,FALSE)&lt;0.1,"Fraco retorno",IF(VLOOKUP(BQ169,Fundamentus!A:U,17,FALSE)&gt;0.1,"Bom retorno","n/a"))</f>
        <v>Bom retorno</v>
      </c>
      <c r="ET169" s="17" t="str">
        <f>IF(VLOOKUP(BQ169,Fundamentus!A:U,16,FALSE)&lt;0.1,"Ineficiente",IF(VLOOKUP(BQ169,Fundamentus!A:U,16,FALSE)&gt;0.1,"Eficiente","n/a"))</f>
        <v>Ineficiente</v>
      </c>
      <c r="EU169" s="33" t="str">
        <f>IF(VLOOKUP(BQ169,Fundamentus!A:U,16,FALSE)&lt;0.1,"Oper. Ineficiente",IF(VLOOKUP(BQ169,Fundamentus!A:U,16,FALSE)&gt;0.1,"Oper.Eficiente","n/a"))</f>
        <v>Oper. Ineficiente</v>
      </c>
      <c r="EV169" s="34">
        <f>VLOOKUP(BQ169,Fundamentus!A:U,14,FALSE)</f>
        <v>5.9700000000000003E-2</v>
      </c>
      <c r="EW169" s="17" t="str">
        <f>IF(VLOOKUP(BQ169,Fundamentus!A:U,21,FALSE)&lt;0,"Negativo",IF(VLOOKUP(BQ169,Fundamentus!A:U,21,FALSE)&lt;0.05,"Fraco",IF(VLOOKUP(BQ169,Fundamentus!A:U,21,FALSE)&lt;0.1,"Bom",IF(VLOOKUP(BQ169,Fundamentus!A:U,21,FALSE)&gt;0.1,"Muito bom","n/a"))))</f>
        <v>Muito bom</v>
      </c>
      <c r="EY169" s="29" t="str">
        <f>IF(VLOOKUP(BQ169,Fundamentus!A:U,15,FALSE)&gt;1,"Bom",IF(VLOOKUP(BQ169,Fundamentus!A:U,15,FALSE)&lt;1,"Ruim","n/a"))</f>
        <v>Bom</v>
      </c>
      <c r="EZ169" s="17" t="str">
        <f>IF(VLOOKUP(BQ169,Fundamentus!A:U,20,FALSE)&lt;0.5,"Baixa",IF(VLOOKUP(BQ169,Fundamentus!A:U,20,FALSE)&lt;1,"Moderada",IF(VLOOKUP(BQ169,Fundamentus!A:U,20,FALSE)&lt;2,"Alerta",IF(VLOOKUP(BQ169,Fundamentus!A:U,20,FALSE)&gt;2,"Alta","n/a"))))</f>
        <v>Moderada</v>
      </c>
      <c r="FA169" s="10"/>
    </row>
    <row r="170" spans="1:157" s="2" customFormat="1" ht="11.25" hidden="1" x14ac:dyDescent="0.2">
      <c r="A170" s="4">
        <v>8.0500000000000007</v>
      </c>
      <c r="B170" s="4">
        <v>8.02</v>
      </c>
      <c r="C170" s="4">
        <v>8.0299999999999994</v>
      </c>
      <c r="D170" s="4">
        <v>7.91</v>
      </c>
      <c r="E170" s="4">
        <v>7.79</v>
      </c>
      <c r="F170" s="4">
        <v>7.93</v>
      </c>
      <c r="G170" s="4">
        <v>7.86</v>
      </c>
      <c r="H170" s="4">
        <v>7.82</v>
      </c>
      <c r="I170" s="4">
        <v>7.82</v>
      </c>
      <c r="J170" s="4">
        <v>7.86</v>
      </c>
      <c r="K170" s="4">
        <v>8.3699999999999992</v>
      </c>
      <c r="L170" s="4">
        <v>7.95</v>
      </c>
      <c r="M170" s="4">
        <v>7.68</v>
      </c>
      <c r="N170" s="4">
        <v>8.0299999999999994</v>
      </c>
      <c r="O170" s="4">
        <v>8.25</v>
      </c>
      <c r="P170" s="4">
        <v>8.4499999999999993</v>
      </c>
      <c r="Q170" s="4">
        <v>8.5500000000000007</v>
      </c>
      <c r="R170" s="4">
        <v>8.14</v>
      </c>
      <c r="S170" s="4">
        <v>8.36</v>
      </c>
      <c r="T170" s="4">
        <v>8.49</v>
      </c>
      <c r="U170" s="4">
        <v>8.06</v>
      </c>
      <c r="V170" s="4">
        <v>7.94</v>
      </c>
      <c r="W170" s="4">
        <v>7.68</v>
      </c>
      <c r="X170" s="4">
        <v>7.58</v>
      </c>
      <c r="Y170" s="4">
        <v>7.53</v>
      </c>
      <c r="Z170" s="4">
        <v>7.58</v>
      </c>
      <c r="AA170" s="4">
        <v>7.31</v>
      </c>
      <c r="AB170" s="4">
        <v>7.39</v>
      </c>
      <c r="AC170" s="4">
        <v>7.21</v>
      </c>
      <c r="AD170" s="4">
        <v>7.33</v>
      </c>
      <c r="AE170" s="4">
        <v>7.16</v>
      </c>
      <c r="AF170" s="4">
        <v>7.05</v>
      </c>
      <c r="AG170" s="4">
        <v>6.86</v>
      </c>
      <c r="AH170" s="4">
        <v>6.98</v>
      </c>
      <c r="AI170" s="4">
        <v>6.57</v>
      </c>
      <c r="AJ170" s="4">
        <v>6.34</v>
      </c>
      <c r="AK170" s="4">
        <v>6.62</v>
      </c>
      <c r="AL170" s="4">
        <v>6.52</v>
      </c>
      <c r="AM170" s="4">
        <v>6.62</v>
      </c>
      <c r="AN170" s="4">
        <v>6.97</v>
      </c>
      <c r="AO170" s="4">
        <v>7.15</v>
      </c>
      <c r="AP170" s="4">
        <v>7.3</v>
      </c>
      <c r="AQ170" s="4">
        <v>7.26</v>
      </c>
      <c r="AR170" s="4">
        <v>6.79</v>
      </c>
      <c r="AS170" s="4">
        <v>6.87</v>
      </c>
      <c r="AT170" s="4">
        <v>7.18</v>
      </c>
      <c r="AU170" s="4">
        <v>7.5299999999999994</v>
      </c>
      <c r="AV170" s="4">
        <v>7.24</v>
      </c>
      <c r="AW170" s="4">
        <v>7.44</v>
      </c>
      <c r="AX170" s="4">
        <v>7.47</v>
      </c>
      <c r="AY170" s="12">
        <v>7.69</v>
      </c>
      <c r="AZ170" s="12">
        <v>8.1300000000000008</v>
      </c>
      <c r="BA170" s="12">
        <v>8.43</v>
      </c>
      <c r="BB170" s="15">
        <v>8.5399999999999991</v>
      </c>
      <c r="BC170" s="52">
        <v>8.41</v>
      </c>
      <c r="BD170" s="52">
        <v>8.69</v>
      </c>
      <c r="BE170" s="52">
        <v>8.89</v>
      </c>
      <c r="BF170" s="52">
        <v>8.64</v>
      </c>
      <c r="BG170" s="67">
        <v>8.52</v>
      </c>
      <c r="BH170" s="52">
        <v>8.69</v>
      </c>
      <c r="BI170" s="52">
        <v>8.86</v>
      </c>
      <c r="BJ170" s="52">
        <v>9.19</v>
      </c>
      <c r="BK170" s="52">
        <v>8.7200000000000006</v>
      </c>
      <c r="BL170" s="52">
        <v>8.6</v>
      </c>
      <c r="BM170" s="52">
        <v>8.58</v>
      </c>
      <c r="BN170" s="52">
        <v>8.6</v>
      </c>
      <c r="BO170" s="52">
        <v>9.02</v>
      </c>
      <c r="BP170" s="52" cm="1">
        <f t="array" aca="1" ref="BP170" ca="1">_FV(ED170,"Preço")</f>
        <v>8.41</v>
      </c>
      <c r="BQ170" s="69" t="s">
        <v>166</v>
      </c>
      <c r="BR170" s="36" cm="1">
        <f t="array" aca="1" ref="BR170" ca="1">_FV(ED170,"Média de volume",TRUE)</f>
        <v>9590</v>
      </c>
      <c r="BS170" s="36">
        <v>18300</v>
      </c>
      <c r="BT170" s="36" cm="1">
        <f t="array" aca="1" ref="BT170" ca="1">_FV(ED170,"Volume")</f>
        <v>39600</v>
      </c>
      <c r="BU170" s="24" cm="1">
        <f t="array" aca="1" ref="BU170" ca="1">_FV(ED170,"Beta")</f>
        <v>0.96</v>
      </c>
      <c r="BV170" s="71" cm="1">
        <f t="array" aca="1" ref="BV170" ca="1">_FV(ED170,"Variação (%)",TRUE)</f>
        <v>-4.3230999999999999E-2</v>
      </c>
      <c r="BX170" s="17" cm="1">
        <f t="array" aca="1" ref="BX170" ca="1">_FV(ED170,"Baixo")</f>
        <v>8.4</v>
      </c>
      <c r="BY170" s="17" cm="1">
        <f t="array" aca="1" ref="BY170" ca="1">_FV(ED170,"Alto")</f>
        <v>8.7899999999999991</v>
      </c>
      <c r="BZ170" s="24"/>
      <c r="CA170" s="63">
        <f ca="1">SQRT(22.5*(BP170/VLOOKUP(BQ170,Fundamentus!A:U,3,FALSE))*(BP170/VLOOKUP(BQ170,Fundamentus!A:U,4,FALSE)))</f>
        <v>16.337713238633782</v>
      </c>
      <c r="CC170" s="62">
        <f t="shared" ca="1" si="168"/>
        <v>-6.7627494456762693E-2</v>
      </c>
      <c r="CD170" s="8"/>
      <c r="CE170" s="61">
        <f t="shared" si="169"/>
        <v>6.34</v>
      </c>
      <c r="CF170" s="61">
        <f t="shared" si="170"/>
        <v>9.19</v>
      </c>
      <c r="CG170" s="61">
        <f t="shared" si="171"/>
        <v>7.8073134328358229</v>
      </c>
      <c r="CH170" s="14"/>
      <c r="CI170" s="35">
        <f t="shared" si="154"/>
        <v>8.688796135288344</v>
      </c>
      <c r="CJ170" s="15">
        <f t="shared" si="172"/>
        <v>9.0200000000000955</v>
      </c>
      <c r="CK170" s="35">
        <f t="shared" si="155"/>
        <v>9.3512038647118469</v>
      </c>
      <c r="CM170" s="14"/>
      <c r="CN170" s="17">
        <f t="shared" si="156"/>
        <v>4.3266666666666644</v>
      </c>
      <c r="CO170" s="17">
        <f t="shared" si="157"/>
        <v>5.3333333333333321</v>
      </c>
      <c r="CP170" s="17">
        <f t="shared" si="158"/>
        <v>7.1766666666666641</v>
      </c>
      <c r="CQ170" s="38">
        <f t="shared" si="173"/>
        <v>8.1833333333333318</v>
      </c>
      <c r="CR170" s="17">
        <f t="shared" si="159"/>
        <v>10.026666666666664</v>
      </c>
      <c r="CS170" s="17">
        <f t="shared" si="160"/>
        <v>11.033333333333331</v>
      </c>
      <c r="CT170" s="17">
        <f t="shared" si="161"/>
        <v>12.876666666666663</v>
      </c>
      <c r="CU170" s="2" cm="1">
        <f t="array" aca="1" ref="CU170" ca="1">MAX(_xlfn._xlws.FILTER(CN170:CT170,CN170:CT170&lt;BP170))</f>
        <v>8.1833333333333318</v>
      </c>
      <c r="CV170" s="2" cm="1">
        <f t="array" aca="1" ref="CV170" ca="1">MIN(_xlfn._xlws.FILTER($CN170:$CT170,$CN170:$CT170&gt;BP170))</f>
        <v>10.026666666666664</v>
      </c>
      <c r="CW170" s="16">
        <f t="shared" ca="1" si="175"/>
        <v>0.22525458248472496</v>
      </c>
      <c r="CX170" s="20">
        <f t="shared" ca="1" si="176"/>
        <v>-0.11262729124236248</v>
      </c>
      <c r="CY170" s="20">
        <f t="shared" ca="1" si="177"/>
        <v>-7.5084860828241659E-2</v>
      </c>
      <c r="CZ170" s="20">
        <f t="shared" ca="1" si="178"/>
        <v>-4.5050916496944995E-2</v>
      </c>
      <c r="DA170" s="20">
        <f t="shared" ca="1" si="179"/>
        <v>-2.5028286942747217E-2</v>
      </c>
      <c r="DB170" s="20">
        <f t="shared" ca="1" si="180"/>
        <v>-1.3250269557924998E-2</v>
      </c>
      <c r="DC170" s="20">
        <f t="shared" ca="1" si="181"/>
        <v>-6.8258964389310596E-3</v>
      </c>
      <c r="DD170" s="20">
        <f t="shared" ca="1" si="182"/>
        <v>-3.4654551151496148E-3</v>
      </c>
      <c r="DE170" s="21">
        <f t="shared" ca="1" si="183"/>
        <v>3.4654551151496148E-3</v>
      </c>
      <c r="DF170" s="21">
        <f t="shared" ca="1" si="184"/>
        <v>6.8258964389310596E-3</v>
      </c>
      <c r="DG170" s="21">
        <f t="shared" ca="1" si="185"/>
        <v>1.3250269557924998E-2</v>
      </c>
      <c r="DH170" s="21">
        <f t="shared" ca="1" si="186"/>
        <v>2.5028286942747217E-2</v>
      </c>
      <c r="DI170" s="21">
        <f t="shared" ca="1" si="187"/>
        <v>4.5050916496944995E-2</v>
      </c>
      <c r="DJ170" s="21">
        <f t="shared" ca="1" si="188"/>
        <v>7.5084860828241659E-2</v>
      </c>
      <c r="DK170" s="21">
        <f t="shared" ca="1" si="189"/>
        <v>0.11262729124236248</v>
      </c>
      <c r="DM170" s="16" cm="1">
        <f t="array" aca="1" ref="DM170" ca="1">MAX(_xlfn._xlws.FILTER(CX170:DK170,CX170:DK170&lt;BV170))</f>
        <v>-4.5050916496944995E-2</v>
      </c>
      <c r="DN170" s="16" cm="1">
        <f t="array" aca="1" ref="DN170" ca="1">MIN(_xlfn._xlws.FILTER(CX170:DK170,CX170:DK170&gt;BV170))</f>
        <v>-2.5028286942747217E-2</v>
      </c>
      <c r="DO170" s="2" cm="1">
        <f t="array" aca="1" ref="DO170" ca="1">_FV(ED170,"Fechamento anterior",TRUE)</f>
        <v>8.7899999999999991</v>
      </c>
      <c r="DP170" s="28">
        <f t="shared" ca="1" si="162"/>
        <v>9.0895765572830481E-2</v>
      </c>
      <c r="DQ170" s="15">
        <f t="shared" ca="1" si="190"/>
        <v>8.3940024439918535</v>
      </c>
      <c r="DR170" s="15">
        <f t="shared" ca="1" si="191"/>
        <v>8.5700013577732506</v>
      </c>
      <c r="DS170" s="9"/>
      <c r="DT170" s="9"/>
      <c r="DU170" s="9"/>
      <c r="DV170" s="89">
        <v>3.3604413237814448E-3</v>
      </c>
      <c r="DW170" s="89">
        <f t="shared" ca="1" si="163"/>
        <v>2.0022629554197778E-2</v>
      </c>
      <c r="DX170" s="72">
        <f t="shared" ca="1" si="164"/>
        <v>-1.8417659483864468</v>
      </c>
      <c r="DY170" s="37"/>
      <c r="DZ170" s="35">
        <f t="shared" si="174"/>
        <v>0.16560193235587553</v>
      </c>
      <c r="EA170" s="56"/>
      <c r="EB170" s="56"/>
      <c r="ED170" s="2" t="e" vm="172">
        <v>#VALUE!</v>
      </c>
      <c r="EF170" s="10" cm="1">
        <f t="array" aca="1" ref="EF170" ca="1">_FV(ED170,"Ações em circulação",TRUE)</f>
        <v>2289425000</v>
      </c>
      <c r="EG170" s="18">
        <f>VLOOKUP(BQ170,Fundamentus!A:U,5,FALSE)</f>
        <v>0.58199999999999996</v>
      </c>
      <c r="EH170" s="2">
        <f t="shared" ca="1" si="165"/>
        <v>33082584621.99313</v>
      </c>
      <c r="EI170" s="17">
        <v>4704933591.237114</v>
      </c>
      <c r="EJ170" s="17">
        <f t="shared" ca="1" si="166"/>
        <v>4386750720.8762884</v>
      </c>
      <c r="EL170" s="16">
        <f t="shared" ca="1" si="153"/>
        <v>-6.762749445676286E-2</v>
      </c>
      <c r="EM170" s="32" t="str">
        <f>IF(VLOOKUP(BQ170,Fundamentus!A:U,3,FALSE)&lt;15,"Bom",IF(VLOOKUP(BQ170,Fundamentus!A:U,3,FALSE)&gt;15,"Ruim","n/a"))</f>
        <v>Bom</v>
      </c>
      <c r="EN170" s="28" t="str">
        <f>IF(VLOOKUP(BQ170,Fundamentus!A:U,4,FALSE)&lt;1,"Baixo",IF(VLOOKUP(BQ170,Fundamentus!A:U,4,FALSE)&lt;1.5,"Moderado",IF(VLOOKUP(BQ170,Fundamentus!A:U,4,FALSE)&gt;1.5,"Alto","n/a")))</f>
        <v>Moderado</v>
      </c>
      <c r="EO170" s="17" t="str">
        <f>IF(VLOOKUP(BQ170,Fundamentus!A:U,8,FALSE)&lt;0,"Risco elevado",IF(VLOOKUP(BQ170,Fundamentus!A:U,8,FALSE)&lt;1,"Saudável",IF(VLOOKUP(BQ170,Fundamentus!A:U,8,FALSE)&lt;3,"Estável",IF(VLOOKUP(BQ170,Fundamentus!A:U,8,FALSE)&gt;3,"Alerta","n/a"))))</f>
        <v>Alerta</v>
      </c>
      <c r="EP170" s="28" t="str">
        <f t="shared" si="167"/>
        <v>Ruim</v>
      </c>
      <c r="EQ170" s="17" t="str">
        <f>IF(VLOOKUP(BQ170,Fundamentus!A:U,12,FALSE)&lt;2,"Subvalorizada",IF(VLOOKUP(BQ170,Fundamentus!A:U,12,FALSE)&lt;6,"Muita barata",IF(VLOOKUP(BQ170,Fundamentus!A:U,12,FALSE)&lt;6,"Barata",IF(VLOOKUP(BQ170,Fundamentus!A:U,12,FALSE)&lt;8,"Atrativa",IF(VLOOKUP(BQ170,Fundamentus!A:U,12,FALSE)&gt;8,"Supervalorizada","n/a")))))</f>
        <v>Muita barata</v>
      </c>
      <c r="ES170" s="17" t="str">
        <f>IF(VLOOKUP(BQ170,Fundamentus!A:U,17,FALSE)&lt;0.1,"Fraco retorno",IF(VLOOKUP(BQ170,Fundamentus!A:U,17,FALSE)&gt;0.1,"Bom retorno","n/a"))</f>
        <v>Bom retorno</v>
      </c>
      <c r="ET170" s="17" t="str">
        <f>IF(VLOOKUP(BQ170,Fundamentus!A:U,16,FALSE)&lt;0.1,"Ineficiente",IF(VLOOKUP(BQ170,Fundamentus!A:U,16,FALSE)&gt;0.1,"Eficiente","n/a"))</f>
        <v>Ineficiente</v>
      </c>
      <c r="EU170" s="33" t="str">
        <f>IF(VLOOKUP(BQ170,Fundamentus!A:U,16,FALSE)&lt;0.1,"Oper. Ineficiente",IF(VLOOKUP(BQ170,Fundamentus!A:U,16,FALSE)&gt;0.1,"Oper.Eficiente","n/a"))</f>
        <v>Oper. Ineficiente</v>
      </c>
      <c r="EV170" s="34">
        <f>VLOOKUP(BQ170,Fundamentus!A:U,14,FALSE)</f>
        <v>0.1326</v>
      </c>
      <c r="EW170" s="17" t="str">
        <f>IF(VLOOKUP(BQ170,Fundamentus!A:U,21,FALSE)&lt;0,"Negativo",IF(VLOOKUP(BQ170,Fundamentus!A:U,21,FALSE)&lt;0.05,"Fraco",IF(VLOOKUP(BQ170,Fundamentus!A:U,21,FALSE)&lt;0.1,"Bom",IF(VLOOKUP(BQ170,Fundamentus!A:U,21,FALSE)&gt;0.1,"Muito bom","n/a"))))</f>
        <v>Muito bom</v>
      </c>
      <c r="EY170" s="29" t="str">
        <f>IF(VLOOKUP(BQ170,Fundamentus!A:U,15,FALSE)&gt;1,"Bom",IF(VLOOKUP(BQ170,Fundamentus!A:U,15,FALSE)&lt;1,"Ruim","n/a"))</f>
        <v>Bom</v>
      </c>
      <c r="EZ170" s="17" t="str">
        <f>IF(VLOOKUP(BQ170,Fundamentus!A:U,20,FALSE)&lt;0.5,"Baixa",IF(VLOOKUP(BQ170,Fundamentus!A:U,20,FALSE)&lt;1,"Moderada",IF(VLOOKUP(BQ170,Fundamentus!A:U,20,FALSE)&lt;2,"Alerta",IF(VLOOKUP(BQ170,Fundamentus!A:U,20,FALSE)&gt;2,"Alta","n/a"))))</f>
        <v>Alta</v>
      </c>
      <c r="FA170" s="10"/>
    </row>
    <row r="171" spans="1:157" s="2" customFormat="1" ht="11.25" hidden="1" x14ac:dyDescent="0.2">
      <c r="A171" s="4">
        <v>3.8</v>
      </c>
      <c r="B171" s="4">
        <v>3.64</v>
      </c>
      <c r="C171" s="4">
        <v>3.98</v>
      </c>
      <c r="D171" s="4">
        <v>3.77</v>
      </c>
      <c r="E171" s="4">
        <v>3.47</v>
      </c>
      <c r="F171" s="4">
        <v>3.45</v>
      </c>
      <c r="G171" s="4">
        <v>3.26</v>
      </c>
      <c r="H171" s="4">
        <v>3.1</v>
      </c>
      <c r="I171" s="4">
        <v>3.15</v>
      </c>
      <c r="J171" s="4">
        <v>3.61</v>
      </c>
      <c r="K171" s="4">
        <v>3.88</v>
      </c>
      <c r="L171" s="4">
        <v>3.48</v>
      </c>
      <c r="M171" s="4">
        <v>3.49</v>
      </c>
      <c r="N171" s="4">
        <v>3.54</v>
      </c>
      <c r="O171" s="4">
        <v>3.7</v>
      </c>
      <c r="P171" s="4">
        <v>3.5</v>
      </c>
      <c r="Q171" s="4">
        <v>3.45</v>
      </c>
      <c r="R171" s="4">
        <v>3.28</v>
      </c>
      <c r="S171" s="4">
        <v>3.26</v>
      </c>
      <c r="T171" s="4">
        <v>3.17</v>
      </c>
      <c r="U171" s="4">
        <v>2.76</v>
      </c>
      <c r="V171" s="4">
        <v>2.41</v>
      </c>
      <c r="W171" s="4">
        <v>2.41</v>
      </c>
      <c r="X171" s="4">
        <v>2.31</v>
      </c>
      <c r="Y171" s="4">
        <v>2.42</v>
      </c>
      <c r="Z171" s="4">
        <v>2.5499999999999998</v>
      </c>
      <c r="AA171" s="4">
        <v>2.3199999999999998</v>
      </c>
      <c r="AB171" s="4">
        <v>2.36</v>
      </c>
      <c r="AC171" s="4">
        <v>2.3199999999999998</v>
      </c>
      <c r="AD171" s="4">
        <v>2.4300000000000002</v>
      </c>
      <c r="AE171" s="4">
        <v>2.14</v>
      </c>
      <c r="AF171" s="4">
        <v>1.97</v>
      </c>
      <c r="AG171" s="4">
        <v>1.91</v>
      </c>
      <c r="AH171" s="4">
        <v>1.62</v>
      </c>
      <c r="AI171" s="4">
        <v>1.58</v>
      </c>
      <c r="AJ171" s="4">
        <v>1.53</v>
      </c>
      <c r="AK171" s="4">
        <v>1.55</v>
      </c>
      <c r="AL171" s="4">
        <v>1.63</v>
      </c>
      <c r="AM171" s="4">
        <v>1.85</v>
      </c>
      <c r="AN171" s="4">
        <v>2.06</v>
      </c>
      <c r="AO171" s="4">
        <v>1.93</v>
      </c>
      <c r="AP171" s="4">
        <v>2.2200000000000002</v>
      </c>
      <c r="AQ171" s="4">
        <v>2.14</v>
      </c>
      <c r="AR171" s="4">
        <v>1.69</v>
      </c>
      <c r="AS171" s="4">
        <v>1.85</v>
      </c>
      <c r="AT171" s="4">
        <v>2.09</v>
      </c>
      <c r="AU171" s="4">
        <v>2.1949999999999998</v>
      </c>
      <c r="AV171" s="4">
        <v>2.5</v>
      </c>
      <c r="AW171" s="4">
        <v>2.36</v>
      </c>
      <c r="AX171" s="4">
        <v>2.5299999999999998</v>
      </c>
      <c r="AY171" s="12">
        <v>3.1</v>
      </c>
      <c r="AZ171" s="12">
        <v>3.04</v>
      </c>
      <c r="BA171" s="12">
        <v>3.19</v>
      </c>
      <c r="BB171" s="15">
        <v>3.52</v>
      </c>
      <c r="BC171" s="52">
        <v>4.29</v>
      </c>
      <c r="BD171" s="52">
        <v>3.95</v>
      </c>
      <c r="BE171" s="52">
        <v>4.25</v>
      </c>
      <c r="BF171" s="52">
        <v>3.95</v>
      </c>
      <c r="BG171" s="67">
        <v>4.03</v>
      </c>
      <c r="BH171" s="52">
        <v>4.0599999999999996</v>
      </c>
      <c r="BI171" s="52">
        <v>4.1500000000000004</v>
      </c>
      <c r="BJ171" s="52">
        <v>4.4000000000000004</v>
      </c>
      <c r="BK171" s="52">
        <v>3.8</v>
      </c>
      <c r="BL171" s="52">
        <v>3.66</v>
      </c>
      <c r="BM171" s="52">
        <v>3.63</v>
      </c>
      <c r="BN171" s="52">
        <v>3.7</v>
      </c>
      <c r="BO171" s="52">
        <v>3.65</v>
      </c>
      <c r="BP171" s="52" cm="1">
        <f t="array" aca="1" ref="BP171" ca="1">_FV(ED171,"Preço")</f>
        <v>3.33</v>
      </c>
      <c r="BQ171" s="69" t="s">
        <v>167</v>
      </c>
      <c r="BR171" s="36" cm="1">
        <f t="array" aca="1" ref="BR171" ca="1">_FV(ED171,"Média de volume",TRUE)</f>
        <v>7318260</v>
      </c>
      <c r="BS171" s="36">
        <v>9456700</v>
      </c>
      <c r="BT171" s="36" cm="1">
        <f t="array" aca="1" ref="BT171" ca="1">_FV(ED171,"Volume")</f>
        <v>4205100</v>
      </c>
      <c r="BU171" s="24" cm="1">
        <f t="array" aca="1" ref="BU171" ca="1">_FV(ED171,"Beta")</f>
        <v>2.8734999999999999</v>
      </c>
      <c r="BV171" s="71" cm="1">
        <f t="array" aca="1" ref="BV171" ca="1">_FV(ED171,"Variação (%)",TRUE)</f>
        <v>-5.9699999999999996E-3</v>
      </c>
      <c r="BX171" s="17" cm="1">
        <f t="array" aca="1" ref="BX171" ca="1">_FV(ED171,"Baixo")</f>
        <v>3.27</v>
      </c>
      <c r="BY171" s="17" cm="1">
        <f t="array" aca="1" ref="BY171" ca="1">_FV(ED171,"Alto")</f>
        <v>3.45</v>
      </c>
      <c r="BZ171" s="24"/>
      <c r="CA171" s="63">
        <f ca="1">SQRT(22.5*(BP171/VLOOKUP(BQ171,Fundamentus!A:U,3,FALSE))*(BP171/VLOOKUP(BQ171,Fundamentus!A:U,4,FALSE)))</f>
        <v>5.6357450774586271</v>
      </c>
      <c r="CC171" s="62">
        <f t="shared" ca="1" si="168"/>
        <v>-8.7671232876712288E-2</v>
      </c>
      <c r="CD171" s="8"/>
      <c r="CE171" s="61">
        <f t="shared" si="169"/>
        <v>1.53</v>
      </c>
      <c r="CF171" s="61">
        <f t="shared" si="170"/>
        <v>4.4000000000000004</v>
      </c>
      <c r="CG171" s="61">
        <f t="shared" si="171"/>
        <v>2.9549999999999992</v>
      </c>
      <c r="CH171" s="14"/>
      <c r="CI171" s="35">
        <f t="shared" si="154"/>
        <v>3.5490702683373541</v>
      </c>
      <c r="CJ171" s="15">
        <f t="shared" si="172"/>
        <v>3.6700000000000017</v>
      </c>
      <c r="CK171" s="35">
        <f t="shared" si="155"/>
        <v>3.7909297316626493</v>
      </c>
      <c r="CM171" s="14"/>
      <c r="CN171" s="17">
        <f t="shared" si="156"/>
        <v>-0.88333333333333397</v>
      </c>
      <c r="CO171" s="17">
        <f t="shared" si="157"/>
        <v>0.32333333333333325</v>
      </c>
      <c r="CP171" s="17">
        <f t="shared" si="158"/>
        <v>1.9866666666666664</v>
      </c>
      <c r="CQ171" s="38">
        <f t="shared" si="173"/>
        <v>3.1933333333333334</v>
      </c>
      <c r="CR171" s="17">
        <f t="shared" si="159"/>
        <v>4.8566666666666665</v>
      </c>
      <c r="CS171" s="17">
        <f t="shared" si="160"/>
        <v>6.0633333333333335</v>
      </c>
      <c r="CT171" s="17">
        <f t="shared" si="161"/>
        <v>7.7266666666666666</v>
      </c>
      <c r="CU171" s="2" cm="1">
        <f t="array" aca="1" ref="CU171" ca="1">MAX(_xlfn._xlws.FILTER(CN171:CT171,CN171:CT171&lt;BP171))</f>
        <v>3.1933333333333334</v>
      </c>
      <c r="CV171" s="2" cm="1">
        <f t="array" aca="1" ref="CV171" ca="1">MIN(_xlfn._xlws.FILTER($CN171:$CT171,$CN171:$CT171&gt;BP171))</f>
        <v>4.8566666666666665</v>
      </c>
      <c r="CW171" s="16">
        <f t="shared" ca="1" si="175"/>
        <v>0.52087682672233804</v>
      </c>
      <c r="CX171" s="20">
        <f t="shared" ca="1" si="176"/>
        <v>-0.26043841336116902</v>
      </c>
      <c r="CY171" s="20">
        <f t="shared" ca="1" si="177"/>
        <v>-0.17362560890744602</v>
      </c>
      <c r="CZ171" s="20">
        <f t="shared" ca="1" si="178"/>
        <v>-0.10417536534446761</v>
      </c>
      <c r="DA171" s="20">
        <f t="shared" ca="1" si="179"/>
        <v>-5.7875202969148672E-2</v>
      </c>
      <c r="DB171" s="20">
        <f t="shared" ca="1" si="180"/>
        <v>-3.0639813336608118E-2</v>
      </c>
      <c r="DC171" s="20">
        <f t="shared" ca="1" si="181"/>
        <v>-1.5784146264313275E-2</v>
      </c>
      <c r="DD171" s="20">
        <f t="shared" ca="1" si="182"/>
        <v>-8.0134896418821242E-3</v>
      </c>
      <c r="DE171" s="21">
        <f t="shared" ca="1" si="183"/>
        <v>8.0134896418821242E-3</v>
      </c>
      <c r="DF171" s="21">
        <f t="shared" ca="1" si="184"/>
        <v>1.5784146264313275E-2</v>
      </c>
      <c r="DG171" s="21">
        <f t="shared" ca="1" si="185"/>
        <v>3.0639813336608118E-2</v>
      </c>
      <c r="DH171" s="21">
        <f t="shared" ca="1" si="186"/>
        <v>5.7875202969148672E-2</v>
      </c>
      <c r="DI171" s="21">
        <f t="shared" ca="1" si="187"/>
        <v>0.10417536534446761</v>
      </c>
      <c r="DJ171" s="21">
        <f t="shared" ca="1" si="188"/>
        <v>0.17362560890744602</v>
      </c>
      <c r="DK171" s="21">
        <f t="shared" ca="1" si="189"/>
        <v>0.26043841336116902</v>
      </c>
      <c r="DM171" s="16" cm="1">
        <f t="array" aca="1" ref="DM171" ca="1">MAX(_xlfn._xlws.FILTER(CX171:DK171,CX171:DK171&lt;BV171))</f>
        <v>-8.0134896418821242E-3</v>
      </c>
      <c r="DN171" s="16" cm="1">
        <f t="array" aca="1" ref="DN171" ca="1">MIN(_xlfn._xlws.FILTER(CX171:DK171,CX171:DK171&gt;BV171))</f>
        <v>8.0134896418821242E-3</v>
      </c>
      <c r="DO171" s="2" cm="1">
        <f t="array" aca="1" ref="DO171" ca="1">_FV(ED171,"Fechamento anterior",TRUE)</f>
        <v>3.35</v>
      </c>
      <c r="DP171" s="28">
        <f t="shared" ca="1" si="162"/>
        <v>0.12749379355726281</v>
      </c>
      <c r="DQ171" s="15">
        <f t="shared" ca="1" si="190"/>
        <v>3.323154809699695</v>
      </c>
      <c r="DR171" s="15">
        <f t="shared" ca="1" si="191"/>
        <v>3.3768451903003052</v>
      </c>
      <c r="DS171" s="9"/>
      <c r="DT171" s="9"/>
      <c r="DU171" s="9"/>
      <c r="DV171" s="89">
        <v>4.6300162375318941E-2</v>
      </c>
      <c r="DW171" s="89">
        <f t="shared" ca="1" si="163"/>
        <v>1.6026979283764248E-2</v>
      </c>
      <c r="DX171" s="72">
        <f t="shared" ca="1" si="164"/>
        <v>-2.8115501070364126</v>
      </c>
      <c r="DY171" s="37"/>
      <c r="DZ171" s="35">
        <f t="shared" si="174"/>
        <v>6.0464865831323863E-2</v>
      </c>
      <c r="EA171" s="56"/>
      <c r="EB171" s="56"/>
      <c r="ED171" s="2" t="e" vm="173">
        <v>#VALUE!</v>
      </c>
      <c r="EF171" s="10" cm="1">
        <f t="array" aca="1" ref="EF171" ca="1">_FV(ED171,"Ações em circulação",TRUE)</f>
        <v>403868800</v>
      </c>
      <c r="EG171" s="18">
        <f>VLOOKUP(BQ171,Fundamentus!A:U,5,FALSE)</f>
        <v>0.38300000000000001</v>
      </c>
      <c r="EH171" s="2">
        <f t="shared" ca="1" si="165"/>
        <v>3511444135.7702351</v>
      </c>
      <c r="EI171" s="17">
        <v>247098109.40992165</v>
      </c>
      <c r="EJ171" s="17">
        <f t="shared" ca="1" si="166"/>
        <v>225434713.51644906</v>
      </c>
      <c r="EL171" s="16">
        <f t="shared" ca="1" si="153"/>
        <v>-8.7671232876712302E-2</v>
      </c>
      <c r="EM171" s="32" t="str">
        <f>IF(VLOOKUP(BQ171,Fundamentus!A:U,3,FALSE)&lt;15,"Bom",IF(VLOOKUP(BQ171,Fundamentus!A:U,3,FALSE)&gt;15,"Ruim","n/a"))</f>
        <v>Bom</v>
      </c>
      <c r="EN171" s="28" t="str">
        <f>IF(VLOOKUP(BQ171,Fundamentus!A:U,4,FALSE)&lt;1,"Baixo",IF(VLOOKUP(BQ171,Fundamentus!A:U,4,FALSE)&lt;1.5,"Moderado",IF(VLOOKUP(BQ171,Fundamentus!A:U,4,FALSE)&gt;1.5,"Alto","n/a")))</f>
        <v>Baixo</v>
      </c>
      <c r="EO171" s="17" t="str">
        <f>IF(VLOOKUP(BQ171,Fundamentus!A:U,8,FALSE)&lt;0,"Risco elevado",IF(VLOOKUP(BQ171,Fundamentus!A:U,8,FALSE)&lt;1,"Saudável",IF(VLOOKUP(BQ171,Fundamentus!A:U,8,FALSE)&lt;3,"Estável",IF(VLOOKUP(BQ171,Fundamentus!A:U,8,FALSE)&gt;3,"Alerta","n/a"))))</f>
        <v>Estável</v>
      </c>
      <c r="EP171" s="28" t="str">
        <f t="shared" si="167"/>
        <v>Ruim</v>
      </c>
      <c r="EQ171" s="17" t="str">
        <f>IF(VLOOKUP(BQ171,Fundamentus!A:U,12,FALSE)&lt;2,"Subvalorizada",IF(VLOOKUP(BQ171,Fundamentus!A:U,12,FALSE)&lt;6,"Muita barata",IF(VLOOKUP(BQ171,Fundamentus!A:U,12,FALSE)&lt;6,"Barata",IF(VLOOKUP(BQ171,Fundamentus!A:U,12,FALSE)&lt;8,"Atrativa",IF(VLOOKUP(BQ171,Fundamentus!A:U,12,FALSE)&gt;8,"Supervalorizada","n/a")))))</f>
        <v>Muita barata</v>
      </c>
      <c r="ES171" s="17" t="str">
        <f>IF(VLOOKUP(BQ171,Fundamentus!A:U,17,FALSE)&lt;0.1,"Fraco retorno",IF(VLOOKUP(BQ171,Fundamentus!A:U,17,FALSE)&gt;0.1,"Bom retorno","n/a"))</f>
        <v>Fraco retorno</v>
      </c>
      <c r="ET171" s="17" t="str">
        <f>IF(VLOOKUP(BQ171,Fundamentus!A:U,16,FALSE)&lt;0.1,"Ineficiente",IF(VLOOKUP(BQ171,Fundamentus!A:U,16,FALSE)&gt;0.1,"Eficiente","n/a"))</f>
        <v>Eficiente</v>
      </c>
      <c r="EU171" s="33" t="str">
        <f>IF(VLOOKUP(BQ171,Fundamentus!A:U,16,FALSE)&lt;0.1,"Oper. Ineficiente",IF(VLOOKUP(BQ171,Fundamentus!A:U,16,FALSE)&gt;0.1,"Oper.Eficiente","n/a"))</f>
        <v>Oper.Eficiente</v>
      </c>
      <c r="EV171" s="34">
        <f>VLOOKUP(BQ171,Fundamentus!A:U,14,FALSE)</f>
        <v>6.4199999999999993E-2</v>
      </c>
      <c r="EW171" s="17" t="str">
        <f>IF(VLOOKUP(BQ171,Fundamentus!A:U,21,FALSE)&lt;0,"Negativo",IF(VLOOKUP(BQ171,Fundamentus!A:U,21,FALSE)&lt;0.05,"Fraco",IF(VLOOKUP(BQ171,Fundamentus!A:U,21,FALSE)&lt;0.1,"Bom",IF(VLOOKUP(BQ171,Fundamentus!A:U,21,FALSE)&gt;0.1,"Muito bom","n/a"))))</f>
        <v>Muito bom</v>
      </c>
      <c r="EY171" s="29" t="str">
        <f>IF(VLOOKUP(BQ171,Fundamentus!A:U,15,FALSE)&gt;1,"Bom",IF(VLOOKUP(BQ171,Fundamentus!A:U,15,FALSE)&lt;1,"Ruim","n/a"))</f>
        <v>Bom</v>
      </c>
      <c r="EZ171" s="17" t="str">
        <f>IF(VLOOKUP(BQ171,Fundamentus!A:U,20,FALSE)&lt;0.5,"Baixa",IF(VLOOKUP(BQ171,Fundamentus!A:U,20,FALSE)&lt;1,"Moderada",IF(VLOOKUP(BQ171,Fundamentus!A:U,20,FALSE)&lt;2,"Alerta",IF(VLOOKUP(BQ171,Fundamentus!A:U,20,FALSE)&gt;2,"Alta","n/a"))))</f>
        <v>Alta</v>
      </c>
      <c r="FA171" s="10"/>
    </row>
    <row r="172" spans="1:157" s="2" customFormat="1" ht="11.25" hidden="1" x14ac:dyDescent="0.2">
      <c r="A172" s="4">
        <v>46.75</v>
      </c>
      <c r="B172" s="4">
        <v>46.78</v>
      </c>
      <c r="C172" s="4">
        <v>48.12</v>
      </c>
      <c r="D172" s="4">
        <v>43.38</v>
      </c>
      <c r="E172" s="4">
        <v>41.59</v>
      </c>
      <c r="F172" s="4">
        <v>39.92</v>
      </c>
      <c r="G172" s="4">
        <v>42.01</v>
      </c>
      <c r="H172" s="4">
        <v>41.33</v>
      </c>
      <c r="I172" s="4">
        <v>43.76</v>
      </c>
      <c r="J172" s="4">
        <v>46.55</v>
      </c>
      <c r="K172" s="4">
        <v>45.59</v>
      </c>
      <c r="L172" s="4">
        <v>45.29</v>
      </c>
      <c r="M172" s="4">
        <v>47.5</v>
      </c>
      <c r="N172" s="4">
        <v>46.01</v>
      </c>
      <c r="O172" s="4">
        <v>47.83</v>
      </c>
      <c r="P172" s="4">
        <v>49.29</v>
      </c>
      <c r="Q172" s="4">
        <v>47.05</v>
      </c>
      <c r="R172" s="4">
        <v>46.84</v>
      </c>
      <c r="S172" s="4">
        <v>42.46</v>
      </c>
      <c r="T172" s="4">
        <v>43.31</v>
      </c>
      <c r="U172" s="4">
        <v>44.2</v>
      </c>
      <c r="V172" s="4">
        <v>43.58</v>
      </c>
      <c r="W172" s="4">
        <v>44.81</v>
      </c>
      <c r="X172" s="4">
        <v>44.26</v>
      </c>
      <c r="Y172" s="4">
        <v>41.8</v>
      </c>
      <c r="Z172" s="4">
        <v>41.65</v>
      </c>
      <c r="AA172" s="4">
        <v>39.85</v>
      </c>
      <c r="AB172" s="4">
        <v>38.9</v>
      </c>
      <c r="AC172" s="4">
        <v>39.700000000000003</v>
      </c>
      <c r="AD172" s="4">
        <v>40.4</v>
      </c>
      <c r="AE172" s="4">
        <v>40.15</v>
      </c>
      <c r="AF172" s="4">
        <v>39.700000000000003</v>
      </c>
      <c r="AG172" s="4">
        <v>41.5</v>
      </c>
      <c r="AH172" s="4">
        <v>39.25</v>
      </c>
      <c r="AI172" s="4">
        <v>39.909999999999997</v>
      </c>
      <c r="AJ172" s="4">
        <v>40.619999999999997</v>
      </c>
      <c r="AK172" s="4">
        <v>42.63</v>
      </c>
      <c r="AL172" s="4">
        <v>42.71</v>
      </c>
      <c r="AM172" s="4">
        <v>41.15</v>
      </c>
      <c r="AN172" s="4">
        <v>40.99</v>
      </c>
      <c r="AO172" s="4">
        <v>39.619999999999997</v>
      </c>
      <c r="AP172" s="4">
        <v>39.43</v>
      </c>
      <c r="AQ172" s="4">
        <v>37.700000000000003</v>
      </c>
      <c r="AR172" s="4">
        <v>38.17</v>
      </c>
      <c r="AS172" s="4">
        <v>38.32</v>
      </c>
      <c r="AT172" s="4">
        <v>39.35</v>
      </c>
      <c r="AU172" s="4">
        <v>39.045000000000002</v>
      </c>
      <c r="AV172" s="4">
        <v>40.14</v>
      </c>
      <c r="AW172" s="4">
        <v>33.9</v>
      </c>
      <c r="AX172" s="4">
        <v>34.33</v>
      </c>
      <c r="AY172" s="12">
        <v>34.56</v>
      </c>
      <c r="AZ172" s="12">
        <v>34.880000000000003</v>
      </c>
      <c r="BA172" s="12">
        <v>33.71</v>
      </c>
      <c r="BB172" s="15">
        <v>36.659999999999997</v>
      </c>
      <c r="BC172" s="52">
        <v>39</v>
      </c>
      <c r="BD172" s="52">
        <v>38.799999999999997</v>
      </c>
      <c r="BE172" s="52">
        <v>38.950000000000003</v>
      </c>
      <c r="BF172" s="52">
        <v>42.51</v>
      </c>
      <c r="BG172" s="67">
        <v>43.98</v>
      </c>
      <c r="BH172" s="52">
        <v>43.56</v>
      </c>
      <c r="BI172" s="52">
        <v>41.87</v>
      </c>
      <c r="BJ172" s="52">
        <v>42.58</v>
      </c>
      <c r="BK172" s="52">
        <v>42.76</v>
      </c>
      <c r="BL172" s="52">
        <v>43.29</v>
      </c>
      <c r="BM172" s="52">
        <v>41.9</v>
      </c>
      <c r="BN172" s="52">
        <v>40.99</v>
      </c>
      <c r="BO172" s="52">
        <v>39.479999999999997</v>
      </c>
      <c r="BP172" s="52" cm="1">
        <f t="array" aca="1" ref="BP172" ca="1">_FV(ED172,"Preço")</f>
        <v>38.81</v>
      </c>
      <c r="BQ172" s="69" t="s">
        <v>168</v>
      </c>
      <c r="BR172" s="36" cm="1">
        <f t="array" aca="1" ref="BR172" ca="1">_FV(ED172,"Média de volume",TRUE)</f>
        <v>7568090</v>
      </c>
      <c r="BS172" s="36">
        <v>9294500</v>
      </c>
      <c r="BT172" s="36" cm="1">
        <f t="array" aca="1" ref="BT172" ca="1">_FV(ED172,"Volume")</f>
        <v>6083300</v>
      </c>
      <c r="BU172" s="24" cm="1">
        <f t="array" aca="1" ref="BU172" ca="1">_FV(ED172,"Beta")</f>
        <v>1.2886</v>
      </c>
      <c r="BV172" s="71" cm="1">
        <f t="array" aca="1" ref="BV172" ca="1">_FV(ED172,"Variação (%)",TRUE)</f>
        <v>2.5770000000000003E-4</v>
      </c>
      <c r="BX172" s="17" cm="1">
        <f t="array" aca="1" ref="BX172" ca="1">_FV(ED172,"Baixo")</f>
        <v>38.409999999999997</v>
      </c>
      <c r="BY172" s="17" cm="1">
        <f t="array" aca="1" ref="BY172" ca="1">_FV(ED172,"Alto")</f>
        <v>38.85</v>
      </c>
      <c r="BZ172" s="24"/>
      <c r="CA172" s="63">
        <f ca="1">SQRT(22.5*(BP172/VLOOKUP(BQ172,Fundamentus!A:U,3,FALSE))*(BP172/VLOOKUP(BQ172,Fundamentus!A:U,4,FALSE)))</f>
        <v>83.984133228341918</v>
      </c>
      <c r="CC172" s="62">
        <f t="shared" ca="1" si="168"/>
        <v>-1.6970618034447688E-2</v>
      </c>
      <c r="CD172" s="8"/>
      <c r="CE172" s="61">
        <f t="shared" si="169"/>
        <v>33.71</v>
      </c>
      <c r="CF172" s="61">
        <f t="shared" si="170"/>
        <v>49.29</v>
      </c>
      <c r="CG172" s="61">
        <f t="shared" si="171"/>
        <v>41.620970149253736</v>
      </c>
      <c r="CH172" s="14"/>
      <c r="CI172" s="35">
        <f t="shared" si="154"/>
        <v>35.628456737344301</v>
      </c>
      <c r="CJ172" s="15">
        <f t="shared" si="172"/>
        <v>38.329999999999927</v>
      </c>
      <c r="CK172" s="35">
        <f t="shared" si="155"/>
        <v>41.031543262655553</v>
      </c>
      <c r="CM172" s="14"/>
      <c r="CN172" s="17">
        <f t="shared" si="156"/>
        <v>16.783333333333324</v>
      </c>
      <c r="CO172" s="17">
        <f t="shared" si="157"/>
        <v>25.246666666666663</v>
      </c>
      <c r="CP172" s="17">
        <f t="shared" si="158"/>
        <v>32.363333333333323</v>
      </c>
      <c r="CQ172" s="38">
        <f t="shared" si="173"/>
        <v>40.826666666666661</v>
      </c>
      <c r="CR172" s="17">
        <f t="shared" si="159"/>
        <v>47.943333333333321</v>
      </c>
      <c r="CS172" s="17">
        <f t="shared" si="160"/>
        <v>56.406666666666659</v>
      </c>
      <c r="CT172" s="17">
        <f t="shared" si="161"/>
        <v>63.523333333333319</v>
      </c>
      <c r="CU172" s="2" cm="1">
        <f t="array" aca="1" ref="CU172" ca="1">MAX(_xlfn._xlws.FILTER(CN172:CT172,CN172:CT172&lt;BP172))</f>
        <v>32.363333333333323</v>
      </c>
      <c r="CV172" s="2" cm="1">
        <f t="array" aca="1" ref="CV172" ca="1">MIN(_xlfn._xlws.FILTER($CN172:$CT172,$CN172:$CT172&gt;BP172))</f>
        <v>40.826666666666661</v>
      </c>
      <c r="CW172" s="16">
        <f t="shared" ca="1" si="175"/>
        <v>0.2615099392316409</v>
      </c>
      <c r="CX172" s="20">
        <f t="shared" ca="1" si="176"/>
        <v>-0.13075496961582045</v>
      </c>
      <c r="CY172" s="20">
        <f t="shared" ca="1" si="177"/>
        <v>-8.7169979743880299E-2</v>
      </c>
      <c r="CZ172" s="20">
        <f t="shared" ca="1" si="178"/>
        <v>-5.2301987846328182E-2</v>
      </c>
      <c r="DA172" s="20">
        <f t="shared" ca="1" si="179"/>
        <v>-2.9056659914626765E-2</v>
      </c>
      <c r="DB172" s="20">
        <f t="shared" ca="1" si="180"/>
        <v>-1.5382937601861229E-2</v>
      </c>
      <c r="DC172" s="20">
        <f t="shared" ca="1" si="181"/>
        <v>-7.9245436130800269E-3</v>
      </c>
      <c r="DD172" s="20">
        <f t="shared" ca="1" si="182"/>
        <v>-4.0232298343329366E-3</v>
      </c>
      <c r="DE172" s="21">
        <f t="shared" ca="1" si="183"/>
        <v>4.0232298343329366E-3</v>
      </c>
      <c r="DF172" s="21">
        <f t="shared" ca="1" si="184"/>
        <v>7.9245436130800269E-3</v>
      </c>
      <c r="DG172" s="21">
        <f t="shared" ca="1" si="185"/>
        <v>1.5382937601861229E-2</v>
      </c>
      <c r="DH172" s="21">
        <f t="shared" ca="1" si="186"/>
        <v>2.9056659914626765E-2</v>
      </c>
      <c r="DI172" s="21">
        <f t="shared" ca="1" si="187"/>
        <v>5.2301987846328182E-2</v>
      </c>
      <c r="DJ172" s="21">
        <f t="shared" ca="1" si="188"/>
        <v>8.7169979743880299E-2</v>
      </c>
      <c r="DK172" s="21">
        <f t="shared" ca="1" si="189"/>
        <v>0.13075496961582045</v>
      </c>
      <c r="DM172" s="16" cm="1">
        <f t="array" aca="1" ref="DM172" ca="1">MAX(_xlfn._xlws.FILTER(CX172:DK172,CX172:DK172&lt;BV172))</f>
        <v>-4.0232298343329366E-3</v>
      </c>
      <c r="DN172" s="16" cm="1">
        <f t="array" aca="1" ref="DN172" ca="1">MIN(_xlfn._xlws.FILTER(CX172:DK172,CX172:DK172&gt;BV172))</f>
        <v>4.0232298343329366E-3</v>
      </c>
      <c r="DO172" s="2" cm="1">
        <f t="array" aca="1" ref="DO172" ca="1">_FV(ED172,"Fechamento anterior",TRUE)</f>
        <v>38.799999999999997</v>
      </c>
      <c r="DP172" s="28">
        <f t="shared" ca="1" si="162"/>
        <v>0.5320304791642303</v>
      </c>
      <c r="DQ172" s="15">
        <f t="shared" ca="1" si="190"/>
        <v>38.643898682427881</v>
      </c>
      <c r="DR172" s="15">
        <f t="shared" ca="1" si="191"/>
        <v>38.956101317572113</v>
      </c>
      <c r="DS172" s="9"/>
      <c r="DT172" s="9"/>
      <c r="DU172" s="9"/>
      <c r="DV172" s="89">
        <v>3.9013137787470903E-3</v>
      </c>
      <c r="DW172" s="89">
        <f t="shared" ca="1" si="163"/>
        <v>8.0464596686658733E-3</v>
      </c>
      <c r="DX172" s="72">
        <f t="shared" ca="1" si="164"/>
        <v>0.17767622182301587</v>
      </c>
      <c r="DY172" s="37"/>
      <c r="DZ172" s="35">
        <f t="shared" si="174"/>
        <v>1.3507716313278129</v>
      </c>
      <c r="EA172" s="56"/>
      <c r="EB172" s="56"/>
      <c r="ED172" s="2" t="e" vm="174">
        <v>#VALUE!</v>
      </c>
      <c r="EF172" s="10" cm="1">
        <f t="array" aca="1" ref="EF172" ca="1">_FV(ED172,"Ações em circulação",TRUE)</f>
        <v>896346200</v>
      </c>
      <c r="EG172" s="18">
        <f>VLOOKUP(BQ172,Fundamentus!A:U,5,FALSE)</f>
        <v>2.44</v>
      </c>
      <c r="EH172" s="2">
        <f t="shared" ca="1" si="165"/>
        <v>14257047550</v>
      </c>
      <c r="EI172" s="17">
        <v>10530755657.939999</v>
      </c>
      <c r="EJ172" s="17">
        <f t="shared" ca="1" si="166"/>
        <v>10352042226.055</v>
      </c>
      <c r="EL172" s="16">
        <f t="shared" ca="1" si="153"/>
        <v>-1.697061803444766E-2</v>
      </c>
      <c r="EM172" s="32" t="str">
        <f>IF(VLOOKUP(BQ172,Fundamentus!A:U,3,FALSE)&lt;15,"Bom",IF(VLOOKUP(BQ172,Fundamentus!A:U,3,FALSE)&gt;15,"Ruim","n/a"))</f>
        <v>Bom</v>
      </c>
      <c r="EN172" s="28" t="str">
        <f>IF(VLOOKUP(BQ172,Fundamentus!A:U,4,FALSE)&lt;1,"Baixo",IF(VLOOKUP(BQ172,Fundamentus!A:U,4,FALSE)&lt;1.5,"Moderado",IF(VLOOKUP(BQ172,Fundamentus!A:U,4,FALSE)&gt;1.5,"Alto","n/a")))</f>
        <v>Moderado</v>
      </c>
      <c r="EO172" s="17" t="str">
        <f>IF(VLOOKUP(BQ172,Fundamentus!A:U,8,FALSE)&lt;0,"Risco elevado",IF(VLOOKUP(BQ172,Fundamentus!A:U,8,FALSE)&lt;1,"Saudável",IF(VLOOKUP(BQ172,Fundamentus!A:U,8,FALSE)&lt;3,"Estável",IF(VLOOKUP(BQ172,Fundamentus!A:U,8,FALSE)&gt;3,"Alerta","n/a"))))</f>
        <v>Alerta</v>
      </c>
      <c r="EP172" s="28" t="str">
        <f t="shared" si="167"/>
        <v>Bom</v>
      </c>
      <c r="EQ172" s="17" t="str">
        <f>IF(VLOOKUP(BQ172,Fundamentus!A:U,12,FALSE)&lt;2,"Subvalorizada",IF(VLOOKUP(BQ172,Fundamentus!A:U,12,FALSE)&lt;6,"Muita barata",IF(VLOOKUP(BQ172,Fundamentus!A:U,12,FALSE)&lt;6,"Barata",IF(VLOOKUP(BQ172,Fundamentus!A:U,12,FALSE)&lt;8,"Atrativa",IF(VLOOKUP(BQ172,Fundamentus!A:U,12,FALSE)&gt;8,"Supervalorizada","n/a")))))</f>
        <v>Muita barata</v>
      </c>
      <c r="ES172" s="17" t="str">
        <f>IF(VLOOKUP(BQ172,Fundamentus!A:U,17,FALSE)&lt;0.1,"Fraco retorno",IF(VLOOKUP(BQ172,Fundamentus!A:U,17,FALSE)&gt;0.1,"Bom retorno","n/a"))</f>
        <v>Bom retorno</v>
      </c>
      <c r="ET172" s="17" t="str">
        <f>IF(VLOOKUP(BQ172,Fundamentus!A:U,16,FALSE)&lt;0.1,"Ineficiente",IF(VLOOKUP(BQ172,Fundamentus!A:U,16,FALSE)&gt;0.1,"Eficiente","n/a"))</f>
        <v>Eficiente</v>
      </c>
      <c r="EU172" s="33" t="str">
        <f>IF(VLOOKUP(BQ172,Fundamentus!A:U,16,FALSE)&lt;0.1,"Oper. Ineficiente",IF(VLOOKUP(BQ172,Fundamentus!A:U,16,FALSE)&gt;0.1,"Oper.Eficiente","n/a"))</f>
        <v>Oper.Eficiente</v>
      </c>
      <c r="EV172" s="34">
        <f>VLOOKUP(BQ172,Fundamentus!A:U,14,FALSE)</f>
        <v>0.72609999999999997</v>
      </c>
      <c r="EW172" s="17" t="str">
        <f>IF(VLOOKUP(BQ172,Fundamentus!A:U,21,FALSE)&lt;0,"Negativo",IF(VLOOKUP(BQ172,Fundamentus!A:U,21,FALSE)&lt;0.05,"Fraco",IF(VLOOKUP(BQ172,Fundamentus!A:U,21,FALSE)&lt;0.1,"Bom",IF(VLOOKUP(BQ172,Fundamentus!A:U,21,FALSE)&gt;0.1,"Muito bom","n/a"))))</f>
        <v>Muito bom</v>
      </c>
      <c r="EY172" s="29" t="str">
        <f>IF(VLOOKUP(BQ172,Fundamentus!A:U,15,FALSE)&gt;1,"Bom",IF(VLOOKUP(BQ172,Fundamentus!A:U,15,FALSE)&lt;1,"Ruim","n/a"))</f>
        <v>Bom</v>
      </c>
      <c r="EZ172" s="17" t="str">
        <f>IF(VLOOKUP(BQ172,Fundamentus!A:U,20,FALSE)&lt;0.5,"Baixa",IF(VLOOKUP(BQ172,Fundamentus!A:U,20,FALSE)&lt;1,"Moderada",IF(VLOOKUP(BQ172,Fundamentus!A:U,20,FALSE)&lt;2,"Alerta",IF(VLOOKUP(BQ172,Fundamentus!A:U,20,FALSE)&gt;2,"Alta","n/a"))))</f>
        <v>Moderada</v>
      </c>
      <c r="FA172" s="10"/>
    </row>
    <row r="173" spans="1:157" s="2" customFormat="1" ht="11.25" hidden="1" x14ac:dyDescent="0.2">
      <c r="A173" s="4">
        <v>12.2</v>
      </c>
      <c r="B173" s="4">
        <v>12.3</v>
      </c>
      <c r="C173" s="4">
        <v>11.94</v>
      </c>
      <c r="D173" s="4">
        <v>11.67</v>
      </c>
      <c r="E173" s="4">
        <v>11.37</v>
      </c>
      <c r="F173" s="4">
        <v>11.43</v>
      </c>
      <c r="G173" s="4">
        <v>11.18</v>
      </c>
      <c r="H173" s="4">
        <v>11.54</v>
      </c>
      <c r="I173" s="4">
        <v>11.32</v>
      </c>
      <c r="J173" s="4">
        <v>12.01</v>
      </c>
      <c r="K173" s="4">
        <v>12</v>
      </c>
      <c r="L173" s="4">
        <v>11.94</v>
      </c>
      <c r="M173" s="4">
        <v>11.54</v>
      </c>
      <c r="N173" s="4">
        <v>11.49</v>
      </c>
      <c r="O173" s="4">
        <v>11.77</v>
      </c>
      <c r="P173" s="4">
        <v>11.82</v>
      </c>
      <c r="Q173" s="4">
        <v>11.85</v>
      </c>
      <c r="R173" s="4">
        <v>11.26</v>
      </c>
      <c r="S173" s="4">
        <v>11.59</v>
      </c>
      <c r="T173" s="4">
        <v>11.8</v>
      </c>
      <c r="U173" s="4">
        <v>11.27</v>
      </c>
      <c r="V173" s="4">
        <v>11.29</v>
      </c>
      <c r="W173" s="4">
        <v>10.93</v>
      </c>
      <c r="X173" s="4">
        <v>10.24</v>
      </c>
      <c r="Y173" s="4">
        <v>10.5</v>
      </c>
      <c r="Z173" s="4">
        <v>10.35</v>
      </c>
      <c r="AA173" s="4">
        <v>10.96</v>
      </c>
      <c r="AB173" s="4">
        <v>11.34</v>
      </c>
      <c r="AC173" s="4">
        <v>10.32</v>
      </c>
      <c r="AD173" s="4">
        <v>10.71</v>
      </c>
      <c r="AE173" s="4">
        <v>10.8</v>
      </c>
      <c r="AF173" s="4">
        <v>10.72</v>
      </c>
      <c r="AG173" s="4">
        <v>10.78</v>
      </c>
      <c r="AH173" s="4">
        <v>10.71</v>
      </c>
      <c r="AI173" s="4">
        <v>10.75</v>
      </c>
      <c r="AJ173" s="4">
        <v>10.32</v>
      </c>
      <c r="AK173" s="4">
        <v>10.35</v>
      </c>
      <c r="AL173" s="4">
        <v>10.94</v>
      </c>
      <c r="AM173" s="4">
        <v>10.71</v>
      </c>
      <c r="AN173" s="4">
        <v>11.3</v>
      </c>
      <c r="AO173" s="4">
        <v>11.68</v>
      </c>
      <c r="AP173" s="4">
        <v>11.46</v>
      </c>
      <c r="AQ173" s="4">
        <v>11.67</v>
      </c>
      <c r="AR173" s="4">
        <v>10.61</v>
      </c>
      <c r="AS173" s="4">
        <v>10.89</v>
      </c>
      <c r="AT173" s="4">
        <v>10.93</v>
      </c>
      <c r="AU173" s="4">
        <v>11.154999999999999</v>
      </c>
      <c r="AV173" s="4">
        <v>10.55</v>
      </c>
      <c r="AW173" s="4">
        <v>10.77</v>
      </c>
      <c r="AX173" s="4">
        <v>10.83</v>
      </c>
      <c r="AY173" s="12">
        <v>10.53</v>
      </c>
      <c r="AZ173" s="12">
        <v>10.68</v>
      </c>
      <c r="BA173" s="12">
        <v>10.68</v>
      </c>
      <c r="BB173" s="15">
        <v>11.27</v>
      </c>
      <c r="BC173" s="52">
        <v>11.21</v>
      </c>
      <c r="BD173" s="52">
        <v>10.92</v>
      </c>
      <c r="BE173" s="52">
        <v>11</v>
      </c>
      <c r="BF173" s="52">
        <v>10.99</v>
      </c>
      <c r="BG173" s="67">
        <v>10.85</v>
      </c>
      <c r="BH173" s="52">
        <v>11.61</v>
      </c>
      <c r="BI173" s="52">
        <v>11.61</v>
      </c>
      <c r="BJ173" s="52">
        <v>11.73</v>
      </c>
      <c r="BK173" s="52">
        <v>11.59</v>
      </c>
      <c r="BL173" s="52">
        <v>11.3</v>
      </c>
      <c r="BM173" s="52">
        <v>11.91</v>
      </c>
      <c r="BN173" s="52">
        <v>12.15</v>
      </c>
      <c r="BO173" s="52">
        <v>12.66</v>
      </c>
      <c r="BP173" s="52" cm="1">
        <f t="array" aca="1" ref="BP173" ca="1">_FV(ED173,"Preço")</f>
        <v>12.8</v>
      </c>
      <c r="BQ173" s="69" t="s">
        <v>169</v>
      </c>
      <c r="BR173" s="36" cm="1">
        <f t="array" aca="1" ref="BR173" ca="1">_FV(ED173,"Média de volume",TRUE)</f>
        <v>2197630</v>
      </c>
      <c r="BS173" s="36">
        <v>3086600</v>
      </c>
      <c r="BT173" s="36" cm="1">
        <f t="array" aca="1" ref="BT173" ca="1">_FV(ED173,"Volume")</f>
        <v>1391400</v>
      </c>
      <c r="BU173" s="24" cm="1">
        <f t="array" aca="1" ref="BU173" ca="1">_FV(ED173,"Beta")</f>
        <v>0.51170000000000004</v>
      </c>
      <c r="BV173" s="71" cm="1">
        <f t="array" aca="1" ref="BV173" ca="1">_FV(ED173,"Variação (%)",TRUE)</f>
        <v>4.4898E-2</v>
      </c>
      <c r="BX173" s="17" cm="1">
        <f t="array" aca="1" ref="BX173" ca="1">_FV(ED173,"Baixo")</f>
        <v>12.21</v>
      </c>
      <c r="BY173" s="17" cm="1">
        <f t="array" aca="1" ref="BY173" ca="1">_FV(ED173,"Alto")</f>
        <v>12.8</v>
      </c>
      <c r="BZ173" s="24"/>
      <c r="CA173" s="63">
        <f ca="1">SQRT(22.5*(BP173/VLOOKUP(BQ173,Fundamentus!A:U,3,FALSE))*(BP173/VLOOKUP(BQ173,Fundamentus!A:U,4,FALSE)))</f>
        <v>8.4405593814399591</v>
      </c>
      <c r="CC173" s="62">
        <f t="shared" ca="1" si="168"/>
        <v>1.1058451816745701E-2</v>
      </c>
      <c r="CD173" s="8"/>
      <c r="CE173" s="61">
        <f t="shared" si="169"/>
        <v>10.24</v>
      </c>
      <c r="CF173" s="61">
        <f t="shared" si="170"/>
        <v>12.66</v>
      </c>
      <c r="CG173" s="61">
        <f t="shared" si="171"/>
        <v>11.232014925373131</v>
      </c>
      <c r="CH173" s="14"/>
      <c r="CI173" s="35">
        <f t="shared" si="154"/>
        <v>12.149530064619963</v>
      </c>
      <c r="CJ173" s="15">
        <f t="shared" si="172"/>
        <v>13.085000000000036</v>
      </c>
      <c r="CK173" s="35">
        <f t="shared" si="155"/>
        <v>14.02046993538011</v>
      </c>
      <c r="CM173" s="14"/>
      <c r="CN173" s="17">
        <f t="shared" si="156"/>
        <v>8.6266666666666669</v>
      </c>
      <c r="CO173" s="17">
        <f t="shared" si="157"/>
        <v>9.4333333333333336</v>
      </c>
      <c r="CP173" s="17">
        <f t="shared" si="158"/>
        <v>11.046666666666667</v>
      </c>
      <c r="CQ173" s="38">
        <f t="shared" si="173"/>
        <v>11.853333333333333</v>
      </c>
      <c r="CR173" s="17">
        <f t="shared" si="159"/>
        <v>13.466666666666667</v>
      </c>
      <c r="CS173" s="17">
        <f t="shared" si="160"/>
        <v>14.273333333333333</v>
      </c>
      <c r="CT173" s="17">
        <f t="shared" si="161"/>
        <v>15.886666666666667</v>
      </c>
      <c r="CU173" s="2" cm="1">
        <f t="array" aca="1" ref="CU173" ca="1">MAX(_xlfn._xlws.FILTER(CN173:CT173,CN173:CT173&lt;BP173))</f>
        <v>11.853333333333333</v>
      </c>
      <c r="CV173" s="2" cm="1">
        <f t="array" aca="1" ref="CV173" ca="1">MIN(_xlfn._xlws.FILTER($CN173:$CT173,$CN173:$CT173&gt;BP173))</f>
        <v>13.466666666666667</v>
      </c>
      <c r="CW173" s="16">
        <f t="shared" ca="1" si="175"/>
        <v>0.13610798650168721</v>
      </c>
      <c r="CX173" s="20">
        <f t="shared" ca="1" si="176"/>
        <v>-6.8053993250843603E-2</v>
      </c>
      <c r="CY173" s="20">
        <f t="shared" ca="1" si="177"/>
        <v>-4.5369328833895738E-2</v>
      </c>
      <c r="CZ173" s="20">
        <f t="shared" ca="1" si="178"/>
        <v>-2.7221597300337443E-2</v>
      </c>
      <c r="DA173" s="20">
        <f t="shared" ca="1" si="179"/>
        <v>-1.5123109611298579E-2</v>
      </c>
      <c r="DB173" s="20">
        <f t="shared" ca="1" si="180"/>
        <v>-8.0063521471580718E-3</v>
      </c>
      <c r="DC173" s="20">
        <f t="shared" ca="1" si="181"/>
        <v>-4.1244844394450666E-3</v>
      </c>
      <c r="DD173" s="20">
        <f t="shared" ca="1" si="182"/>
        <v>-2.0939690231028801E-3</v>
      </c>
      <c r="DE173" s="21">
        <f t="shared" ca="1" si="183"/>
        <v>2.0939690231028801E-3</v>
      </c>
      <c r="DF173" s="21">
        <f t="shared" ca="1" si="184"/>
        <v>4.1244844394450666E-3</v>
      </c>
      <c r="DG173" s="21">
        <f t="shared" ca="1" si="185"/>
        <v>8.0063521471580718E-3</v>
      </c>
      <c r="DH173" s="21">
        <f t="shared" ca="1" si="186"/>
        <v>1.5123109611298579E-2</v>
      </c>
      <c r="DI173" s="21">
        <f t="shared" ca="1" si="187"/>
        <v>2.7221597300337443E-2</v>
      </c>
      <c r="DJ173" s="21">
        <f t="shared" ca="1" si="188"/>
        <v>4.5369328833895738E-2</v>
      </c>
      <c r="DK173" s="21">
        <f t="shared" ca="1" si="189"/>
        <v>6.8053993250843603E-2</v>
      </c>
      <c r="DM173" s="16" cm="1">
        <f t="array" aca="1" ref="DM173" ca="1">MAX(_xlfn._xlws.FILTER(CX173:DK173,CX173:DK173&lt;BV173))</f>
        <v>2.7221597300337443E-2</v>
      </c>
      <c r="DN173" s="16" cm="1">
        <f t="array" aca="1" ref="DN173" ca="1">MIN(_xlfn._xlws.FILTER(CX173:DK173,CX173:DK173&gt;BV173))</f>
        <v>4.5369328833895738E-2</v>
      </c>
      <c r="DO173" s="2" cm="1">
        <f t="array" aca="1" ref="DO173" ca="1">_FV(ED173,"Fechamento anterior",TRUE)</f>
        <v>12.25</v>
      </c>
      <c r="DP173" s="28">
        <f t="shared" ca="1" si="162"/>
        <v>0.97402597402597824</v>
      </c>
      <c r="DQ173" s="15">
        <f t="shared" ca="1" si="190"/>
        <v>12.583464566929134</v>
      </c>
      <c r="DR173" s="15">
        <f t="shared" ca="1" si="191"/>
        <v>12.805774278215223</v>
      </c>
      <c r="DS173" s="9"/>
      <c r="DT173" s="9"/>
      <c r="DU173" s="9"/>
      <c r="DV173" s="89">
        <v>1.2098487689038864E-2</v>
      </c>
      <c r="DW173" s="89">
        <f t="shared" ca="1" si="163"/>
        <v>1.8147731533558295E-2</v>
      </c>
      <c r="DX173" s="72">
        <f t="shared" ca="1" si="164"/>
        <v>-0.30465971082677568</v>
      </c>
      <c r="DY173" s="37"/>
      <c r="DZ173" s="35">
        <f t="shared" si="174"/>
        <v>0.46773496769003697</v>
      </c>
      <c r="EA173" s="56"/>
      <c r="EB173" s="56"/>
      <c r="ED173" s="2" t="e" vm="175">
        <v>#VALUE!</v>
      </c>
      <c r="EF173" s="10" cm="1">
        <f t="array" aca="1" ref="EF173" ca="1">_FV(ED173,"Ações em circulação",TRUE)</f>
        <v>552495700</v>
      </c>
      <c r="EG173" s="18">
        <f>VLOOKUP(BQ173,Fundamentus!A:U,5,FALSE)</f>
        <v>2.7210000000000001</v>
      </c>
      <c r="EH173" s="2">
        <f t="shared" ca="1" si="165"/>
        <v>2599024241.0878353</v>
      </c>
      <c r="EI173" s="17">
        <v>624141051.98588753</v>
      </c>
      <c r="EJ173" s="17">
        <f t="shared" ca="1" si="166"/>
        <v>631043085.73612642</v>
      </c>
      <c r="EL173" s="16">
        <f t="shared" ca="1" si="153"/>
        <v>1.1058451816745585E-2</v>
      </c>
      <c r="EM173" s="32" t="str">
        <f>IF(VLOOKUP(BQ173,Fundamentus!A:U,3,FALSE)&lt;15,"Bom",IF(VLOOKUP(BQ173,Fundamentus!A:U,3,FALSE)&gt;15,"Ruim","n/a"))</f>
        <v>Bom</v>
      </c>
      <c r="EN173" s="28" t="str">
        <f>IF(VLOOKUP(BQ173,Fundamentus!A:U,4,FALSE)&lt;1,"Baixo",IF(VLOOKUP(BQ173,Fundamentus!A:U,4,FALSE)&lt;1.5,"Moderado",IF(VLOOKUP(BQ173,Fundamentus!A:U,4,FALSE)&gt;1.5,"Alto","n/a")))</f>
        <v>Alto</v>
      </c>
      <c r="EO173" s="17" t="str">
        <f>IF(VLOOKUP(BQ173,Fundamentus!A:U,8,FALSE)&lt;0,"Risco elevado",IF(VLOOKUP(BQ173,Fundamentus!A:U,8,FALSE)&lt;1,"Saudável",IF(VLOOKUP(BQ173,Fundamentus!A:U,8,FALSE)&lt;3,"Estável",IF(VLOOKUP(BQ173,Fundamentus!A:U,8,FALSE)&gt;3,"Alerta","n/a"))))</f>
        <v>Risco elevado</v>
      </c>
      <c r="EP173" s="28" t="str">
        <f t="shared" si="167"/>
        <v>Bom</v>
      </c>
      <c r="EQ173" s="17" t="str">
        <f>IF(VLOOKUP(BQ173,Fundamentus!A:U,12,FALSE)&lt;2,"Subvalorizada",IF(VLOOKUP(BQ173,Fundamentus!A:U,12,FALSE)&lt;6,"Muita barata",IF(VLOOKUP(BQ173,Fundamentus!A:U,12,FALSE)&lt;6,"Barata",IF(VLOOKUP(BQ173,Fundamentus!A:U,12,FALSE)&lt;8,"Atrativa",IF(VLOOKUP(BQ173,Fundamentus!A:U,12,FALSE)&gt;8,"Supervalorizada","n/a")))))</f>
        <v>Atrativa</v>
      </c>
      <c r="ES173" s="17" t="str">
        <f>IF(VLOOKUP(BQ173,Fundamentus!A:U,17,FALSE)&lt;0.1,"Fraco retorno",IF(VLOOKUP(BQ173,Fundamentus!A:U,17,FALSE)&gt;0.1,"Bom retorno","n/a"))</f>
        <v>Bom retorno</v>
      </c>
      <c r="ET173" s="17" t="str">
        <f>IF(VLOOKUP(BQ173,Fundamentus!A:U,16,FALSE)&lt;0.1,"Ineficiente",IF(VLOOKUP(BQ173,Fundamentus!A:U,16,FALSE)&gt;0.1,"Eficiente","n/a"))</f>
        <v>Eficiente</v>
      </c>
      <c r="EU173" s="33" t="str">
        <f>IF(VLOOKUP(BQ173,Fundamentus!A:U,16,FALSE)&lt;0.1,"Oper. Ineficiente",IF(VLOOKUP(BQ173,Fundamentus!A:U,16,FALSE)&gt;0.1,"Oper.Eficiente","n/a"))</f>
        <v>Oper.Eficiente</v>
      </c>
      <c r="EV173" s="34">
        <f>VLOOKUP(BQ173,Fundamentus!A:U,14,FALSE)</f>
        <v>0.24279999999999999</v>
      </c>
      <c r="EW173" s="17" t="str">
        <f>IF(VLOOKUP(BQ173,Fundamentus!A:U,21,FALSE)&lt;0,"Negativo",IF(VLOOKUP(BQ173,Fundamentus!A:U,21,FALSE)&lt;0.05,"Fraco",IF(VLOOKUP(BQ173,Fundamentus!A:U,21,FALSE)&lt;0.1,"Bom",IF(VLOOKUP(BQ173,Fundamentus!A:U,21,FALSE)&gt;0.1,"Muito bom","n/a"))))</f>
        <v>Bom</v>
      </c>
      <c r="EY173" s="29" t="str">
        <f>IF(VLOOKUP(BQ173,Fundamentus!A:U,15,FALSE)&gt;1,"Bom",IF(VLOOKUP(BQ173,Fundamentus!A:U,15,FALSE)&lt;1,"Ruim","n/a"))</f>
        <v>Ruim</v>
      </c>
      <c r="EZ173" s="17" t="str">
        <f>IF(VLOOKUP(BQ173,Fundamentus!A:U,20,FALSE)&lt;0.5,"Baixa",IF(VLOOKUP(BQ173,Fundamentus!A:U,20,FALSE)&lt;1,"Moderada",IF(VLOOKUP(BQ173,Fundamentus!A:U,20,FALSE)&lt;2,"Alerta",IF(VLOOKUP(BQ173,Fundamentus!A:U,20,FALSE)&gt;2,"Alta","n/a"))))</f>
        <v>Baixa</v>
      </c>
      <c r="FA173" s="10"/>
    </row>
    <row r="174" spans="1:157" s="2" customFormat="1" ht="11.25" hidden="1" x14ac:dyDescent="0.2">
      <c r="A174" s="4">
        <v>21.55</v>
      </c>
      <c r="B174" s="4">
        <v>21.35</v>
      </c>
      <c r="C174" s="4">
        <v>20.93</v>
      </c>
      <c r="D174" s="4">
        <v>19.75</v>
      </c>
      <c r="E174" s="4">
        <v>20.75</v>
      </c>
      <c r="F174" s="4">
        <v>19.059999999999999</v>
      </c>
      <c r="G174" s="4">
        <v>18.07</v>
      </c>
      <c r="H174" s="4">
        <v>18.25</v>
      </c>
      <c r="I174" s="4">
        <v>18.559999999999999</v>
      </c>
      <c r="J174" s="4">
        <v>20.84</v>
      </c>
      <c r="K174" s="4">
        <v>21</v>
      </c>
      <c r="L174" s="4">
        <v>21</v>
      </c>
      <c r="M174" s="4">
        <v>21.04</v>
      </c>
      <c r="N174" s="4">
        <v>19.87</v>
      </c>
      <c r="O174" s="4">
        <v>21.31</v>
      </c>
      <c r="P174" s="4">
        <v>21.64</v>
      </c>
      <c r="Q174" s="4">
        <v>21.51</v>
      </c>
      <c r="R174" s="4">
        <v>20.399999999999999</v>
      </c>
      <c r="S174" s="4">
        <v>19.28</v>
      </c>
      <c r="T174" s="4">
        <v>19.04</v>
      </c>
      <c r="U174" s="4">
        <v>18.34</v>
      </c>
      <c r="V174" s="4">
        <v>17.850000000000001</v>
      </c>
      <c r="W174" s="4">
        <v>18.37</v>
      </c>
      <c r="X174" s="4">
        <v>18.190000000000001</v>
      </c>
      <c r="Y174" s="4">
        <v>17.02</v>
      </c>
      <c r="Z174" s="4">
        <v>16.96</v>
      </c>
      <c r="AA174" s="4">
        <v>16.5</v>
      </c>
      <c r="AB174" s="4">
        <v>17.73</v>
      </c>
      <c r="AC174" s="4">
        <v>16.66</v>
      </c>
      <c r="AD174" s="4">
        <v>16.91</v>
      </c>
      <c r="AE174" s="4">
        <v>16.54</v>
      </c>
      <c r="AF174" s="4">
        <v>15.88</v>
      </c>
      <c r="AG174" s="4">
        <v>16.059999999999999</v>
      </c>
      <c r="AH174" s="4">
        <v>15.27</v>
      </c>
      <c r="AI174" s="4">
        <v>15.78</v>
      </c>
      <c r="AJ174" s="4">
        <v>16.43</v>
      </c>
      <c r="AK174" s="4">
        <v>16.36</v>
      </c>
      <c r="AL174" s="4">
        <v>16.690000000000001</v>
      </c>
      <c r="AM174" s="4">
        <v>15.68</v>
      </c>
      <c r="AN174" s="4">
        <v>15.87</v>
      </c>
      <c r="AO174" s="4">
        <v>15.38</v>
      </c>
      <c r="AP174" s="4">
        <v>15.58</v>
      </c>
      <c r="AQ174" s="4">
        <v>16.14</v>
      </c>
      <c r="AR174" s="4">
        <v>15.89</v>
      </c>
      <c r="AS174" s="4">
        <v>15.84</v>
      </c>
      <c r="AT174" s="4">
        <v>16.350000000000001</v>
      </c>
      <c r="AU174" s="4">
        <v>16.324999999999999</v>
      </c>
      <c r="AV174" s="4">
        <v>16.760000000000002</v>
      </c>
      <c r="AW174" s="4">
        <v>14.35</v>
      </c>
      <c r="AX174" s="4">
        <v>13.52</v>
      </c>
      <c r="AY174" s="12">
        <v>14.04</v>
      </c>
      <c r="AZ174" s="12">
        <v>13.56</v>
      </c>
      <c r="BA174" s="12">
        <v>12.84</v>
      </c>
      <c r="BB174" s="15">
        <v>13.47</v>
      </c>
      <c r="BC174" s="52">
        <v>15.08</v>
      </c>
      <c r="BD174" s="52">
        <v>13.97</v>
      </c>
      <c r="BE174" s="52">
        <v>14.47</v>
      </c>
      <c r="BF174" s="52">
        <v>14.5</v>
      </c>
      <c r="BG174" s="67">
        <v>15.56</v>
      </c>
      <c r="BH174" s="52">
        <v>15.79</v>
      </c>
      <c r="BI174" s="52">
        <v>14.33</v>
      </c>
      <c r="BJ174" s="52">
        <v>14.69</v>
      </c>
      <c r="BK174" s="52">
        <v>14.47</v>
      </c>
      <c r="BL174" s="52">
        <v>13.74</v>
      </c>
      <c r="BM174" s="52">
        <v>13.35</v>
      </c>
      <c r="BN174" s="52">
        <v>13.34</v>
      </c>
      <c r="BO174" s="52">
        <v>13.28</v>
      </c>
      <c r="BP174" s="52" cm="1">
        <f t="array" aca="1" ref="BP174" ca="1">_FV(ED174,"Preço")</f>
        <v>12.68</v>
      </c>
      <c r="BQ174" s="69" t="s">
        <v>170</v>
      </c>
      <c r="BR174" s="36" cm="1">
        <f t="array" aca="1" ref="BR174" ca="1">_FV(ED174,"Média de volume",TRUE)</f>
        <v>1731250</v>
      </c>
      <c r="BS174" s="36">
        <v>2687300</v>
      </c>
      <c r="BT174" s="36" cm="1">
        <f t="array" aca="1" ref="BT174" ca="1">_FV(ED174,"Volume")</f>
        <v>1685100</v>
      </c>
      <c r="BU174" s="24" cm="1">
        <f t="array" aca="1" ref="BU174" ca="1">_FV(ED174,"Beta")</f>
        <v>0.8327</v>
      </c>
      <c r="BV174" s="71" cm="1">
        <f t="array" aca="1" ref="BV174" ca="1">_FV(ED174,"Variação (%)",TRUE)</f>
        <v>1.58E-3</v>
      </c>
      <c r="BX174" s="17" cm="1">
        <f t="array" aca="1" ref="BX174" ca="1">_FV(ED174,"Baixo")</f>
        <v>12.5</v>
      </c>
      <c r="BY174" s="17" cm="1">
        <f t="array" aca="1" ref="BY174" ca="1">_FV(ED174,"Alto")</f>
        <v>12.73</v>
      </c>
      <c r="BZ174" s="24"/>
      <c r="CA174" s="63">
        <f ca="1">SQRT(22.5*(BP174/VLOOKUP(BQ174,Fundamentus!A:U,3,FALSE))*(BP174/VLOOKUP(BQ174,Fundamentus!A:U,4,FALSE)))</f>
        <v>23.809810090714169</v>
      </c>
      <c r="CC174" s="62">
        <f t="shared" ca="1" si="168"/>
        <v>-4.5180722891566237E-2</v>
      </c>
      <c r="CD174" s="8"/>
      <c r="CE174" s="61">
        <f t="shared" si="169"/>
        <v>12.84</v>
      </c>
      <c r="CF174" s="61">
        <f t="shared" si="170"/>
        <v>21.64</v>
      </c>
      <c r="CG174" s="61">
        <f t="shared" si="171"/>
        <v>16.968731343283579</v>
      </c>
      <c r="CH174" s="14"/>
      <c r="CI174" s="35">
        <f t="shared" si="154"/>
        <v>12.184446539842579</v>
      </c>
      <c r="CJ174" s="15">
        <f t="shared" si="172"/>
        <v>13.080000000000041</v>
      </c>
      <c r="CK174" s="35">
        <f t="shared" si="155"/>
        <v>13.975553460157503</v>
      </c>
      <c r="CM174" s="14"/>
      <c r="CN174" s="17">
        <f t="shared" si="156"/>
        <v>1.4000000000000021</v>
      </c>
      <c r="CO174" s="17">
        <f t="shared" si="157"/>
        <v>7.120000000000001</v>
      </c>
      <c r="CP174" s="17">
        <f t="shared" si="158"/>
        <v>10.200000000000003</v>
      </c>
      <c r="CQ174" s="38">
        <f t="shared" si="173"/>
        <v>15.920000000000002</v>
      </c>
      <c r="CR174" s="17">
        <f t="shared" si="159"/>
        <v>19.000000000000004</v>
      </c>
      <c r="CS174" s="17">
        <f t="shared" si="160"/>
        <v>24.720000000000002</v>
      </c>
      <c r="CT174" s="17">
        <f t="shared" si="161"/>
        <v>27.800000000000004</v>
      </c>
      <c r="CU174" s="2" cm="1">
        <f t="array" aca="1" ref="CU174" ca="1">MAX(_xlfn._xlws.FILTER(CN174:CT174,CN174:CT174&lt;BP174))</f>
        <v>10.200000000000003</v>
      </c>
      <c r="CV174" s="2" cm="1">
        <f t="array" aca="1" ref="CV174" ca="1">MIN(_xlfn._xlws.FILTER($CN174:$CT174,$CN174:$CT174&gt;BP174))</f>
        <v>15.920000000000002</v>
      </c>
      <c r="CW174" s="16">
        <f t="shared" ca="1" si="175"/>
        <v>0.56078431372548998</v>
      </c>
      <c r="CX174" s="20">
        <f t="shared" ca="1" si="176"/>
        <v>-0.28039215686274499</v>
      </c>
      <c r="CY174" s="20">
        <f t="shared" ca="1" si="177"/>
        <v>-0.18692810457516332</v>
      </c>
      <c r="CZ174" s="20">
        <f t="shared" ca="1" si="178"/>
        <v>-0.11215686274509799</v>
      </c>
      <c r="DA174" s="20">
        <f t="shared" ca="1" si="179"/>
        <v>-6.2309368191721108E-2</v>
      </c>
      <c r="DB174" s="20">
        <f t="shared" ca="1" si="180"/>
        <v>-3.2987312572087646E-2</v>
      </c>
      <c r="DC174" s="20">
        <f t="shared" ca="1" si="181"/>
        <v>-1.6993464052287577E-2</v>
      </c>
      <c r="DD174" s="20">
        <f t="shared" ca="1" si="182"/>
        <v>-8.6274509803921529E-3</v>
      </c>
      <c r="DE174" s="21">
        <f t="shared" ca="1" si="183"/>
        <v>8.6274509803921529E-3</v>
      </c>
      <c r="DF174" s="21">
        <f t="shared" ca="1" si="184"/>
        <v>1.6993464052287577E-2</v>
      </c>
      <c r="DG174" s="21">
        <f t="shared" ca="1" si="185"/>
        <v>3.2987312572087646E-2</v>
      </c>
      <c r="DH174" s="21">
        <f t="shared" ca="1" si="186"/>
        <v>6.2309368191721108E-2</v>
      </c>
      <c r="DI174" s="21">
        <f t="shared" ca="1" si="187"/>
        <v>0.11215686274509799</v>
      </c>
      <c r="DJ174" s="21">
        <f t="shared" ca="1" si="188"/>
        <v>0.18692810457516332</v>
      </c>
      <c r="DK174" s="21">
        <f t="shared" ca="1" si="189"/>
        <v>0.28039215686274499</v>
      </c>
      <c r="DM174" s="16" cm="1">
        <f t="array" aca="1" ref="DM174" ca="1">MAX(_xlfn._xlws.FILTER(CX174:DK174,CX174:DK174&lt;BV174))</f>
        <v>-8.6274509803921529E-3</v>
      </c>
      <c r="DN174" s="16" cm="1">
        <f t="array" aca="1" ref="DN174" ca="1">MIN(_xlfn._xlws.FILTER(CX174:DK174,CX174:DK174&gt;BV174))</f>
        <v>8.6274509803921529E-3</v>
      </c>
      <c r="DO174" s="2" cm="1">
        <f t="array" aca="1" ref="DO174" ca="1">_FV(ED174,"Fechamento anterior",TRUE)</f>
        <v>12.66</v>
      </c>
      <c r="DP174" s="28">
        <f t="shared" ca="1" si="162"/>
        <v>0.59155536406721076</v>
      </c>
      <c r="DQ174" s="15">
        <f t="shared" ca="1" si="190"/>
        <v>12.550776470588236</v>
      </c>
      <c r="DR174" s="15">
        <f t="shared" ca="1" si="191"/>
        <v>12.769223529411764</v>
      </c>
      <c r="DS174" s="9"/>
      <c r="DT174" s="9"/>
      <c r="DU174" s="9"/>
      <c r="DV174" s="89">
        <v>1.7254901960784306E-2</v>
      </c>
      <c r="DW174" s="89">
        <f t="shared" ca="1" si="163"/>
        <v>1.7254901960784306E-2</v>
      </c>
      <c r="DX174" s="72">
        <f t="shared" ca="1" si="164"/>
        <v>-0.44665116913256148</v>
      </c>
      <c r="DY174" s="37"/>
      <c r="DZ174" s="35">
        <f t="shared" si="174"/>
        <v>0.44777673007873059</v>
      </c>
      <c r="EA174" s="56"/>
      <c r="EB174" s="56"/>
      <c r="ED174" s="2" t="e" vm="176">
        <v>#VALUE!</v>
      </c>
      <c r="EF174" s="10" cm="1">
        <f t="array" aca="1" ref="EF174" ca="1">_FV(ED174,"Ações em circulação",TRUE)</f>
        <v>293472100</v>
      </c>
      <c r="EG174" s="18">
        <f>VLOOKUP(BQ174,Fundamentus!A:U,5,FALSE)</f>
        <v>1.1759999999999999</v>
      </c>
      <c r="EH174" s="2">
        <f t="shared" ca="1" si="165"/>
        <v>3164308017.006803</v>
      </c>
      <c r="EI174" s="17">
        <v>544165151.3006804</v>
      </c>
      <c r="EJ174" s="17">
        <f t="shared" ca="1" si="166"/>
        <v>519579376.39251709</v>
      </c>
      <c r="EL174" s="16">
        <f t="shared" ca="1" si="153"/>
        <v>-4.5180722891566383E-2</v>
      </c>
      <c r="EM174" s="32" t="str">
        <f>IF(VLOOKUP(BQ174,Fundamentus!A:U,3,FALSE)&lt;15,"Bom",IF(VLOOKUP(BQ174,Fundamentus!A:U,3,FALSE)&gt;15,"Ruim","n/a"))</f>
        <v>Bom</v>
      </c>
      <c r="EN174" s="28" t="str">
        <f>IF(VLOOKUP(BQ174,Fundamentus!A:U,4,FALSE)&lt;1,"Baixo",IF(VLOOKUP(BQ174,Fundamentus!A:U,4,FALSE)&lt;1.5,"Moderado",IF(VLOOKUP(BQ174,Fundamentus!A:U,4,FALSE)&gt;1.5,"Alto","n/a")))</f>
        <v>Baixo</v>
      </c>
      <c r="EO174" s="17" t="str">
        <f>IF(VLOOKUP(BQ174,Fundamentus!A:U,8,FALSE)&lt;0,"Risco elevado",IF(VLOOKUP(BQ174,Fundamentus!A:U,8,FALSE)&lt;1,"Saudável",IF(VLOOKUP(BQ174,Fundamentus!A:U,8,FALSE)&lt;3,"Estável",IF(VLOOKUP(BQ174,Fundamentus!A:U,8,FALSE)&gt;3,"Alerta","n/a"))))</f>
        <v>Alerta</v>
      </c>
      <c r="EP174" s="28" t="str">
        <f t="shared" si="167"/>
        <v>Bom</v>
      </c>
      <c r="EQ174" s="17" t="str">
        <f>IF(VLOOKUP(BQ174,Fundamentus!A:U,12,FALSE)&lt;2,"Subvalorizada",IF(VLOOKUP(BQ174,Fundamentus!A:U,12,FALSE)&lt;6,"Muita barata",IF(VLOOKUP(BQ174,Fundamentus!A:U,12,FALSE)&lt;6,"Barata",IF(VLOOKUP(BQ174,Fundamentus!A:U,12,FALSE)&lt;8,"Atrativa",IF(VLOOKUP(BQ174,Fundamentus!A:U,12,FALSE)&gt;8,"Supervalorizada","n/a")))))</f>
        <v>Muita barata</v>
      </c>
      <c r="ES174" s="17" t="str">
        <f>IF(VLOOKUP(BQ174,Fundamentus!A:U,17,FALSE)&lt;0.1,"Fraco retorno",IF(VLOOKUP(BQ174,Fundamentus!A:U,17,FALSE)&gt;0.1,"Bom retorno","n/a"))</f>
        <v>Bom retorno</v>
      </c>
      <c r="ET174" s="17" t="str">
        <f>IF(VLOOKUP(BQ174,Fundamentus!A:U,16,FALSE)&lt;0.1,"Ineficiente",IF(VLOOKUP(BQ174,Fundamentus!A:U,16,FALSE)&gt;0.1,"Eficiente","n/a"))</f>
        <v>Eficiente</v>
      </c>
      <c r="EU174" s="33" t="str">
        <f>IF(VLOOKUP(BQ174,Fundamentus!A:U,16,FALSE)&lt;0.1,"Oper. Ineficiente",IF(VLOOKUP(BQ174,Fundamentus!A:U,16,FALSE)&gt;0.1,"Oper.Eficiente","n/a"))</f>
        <v>Oper.Eficiente</v>
      </c>
      <c r="EV174" s="34">
        <f>VLOOKUP(BQ174,Fundamentus!A:U,14,FALSE)</f>
        <v>0.16420000000000001</v>
      </c>
      <c r="EW174" s="17" t="str">
        <f>IF(VLOOKUP(BQ174,Fundamentus!A:U,21,FALSE)&lt;0,"Negativo",IF(VLOOKUP(BQ174,Fundamentus!A:U,21,FALSE)&lt;0.05,"Fraco",IF(VLOOKUP(BQ174,Fundamentus!A:U,21,FALSE)&lt;0.1,"Bom",IF(VLOOKUP(BQ174,Fundamentus!A:U,21,FALSE)&gt;0.1,"Muito bom","n/a"))))</f>
        <v>Muito bom</v>
      </c>
      <c r="EY174" s="29" t="str">
        <f>IF(VLOOKUP(BQ174,Fundamentus!A:U,15,FALSE)&gt;1,"Bom",IF(VLOOKUP(BQ174,Fundamentus!A:U,15,FALSE)&lt;1,"Ruim","n/a"))</f>
        <v>Bom</v>
      </c>
      <c r="EZ174" s="17" t="str">
        <f>IF(VLOOKUP(BQ174,Fundamentus!A:U,20,FALSE)&lt;0.5,"Baixa",IF(VLOOKUP(BQ174,Fundamentus!A:U,20,FALSE)&lt;1,"Moderada",IF(VLOOKUP(BQ174,Fundamentus!A:U,20,FALSE)&lt;2,"Alerta",IF(VLOOKUP(BQ174,Fundamentus!A:U,20,FALSE)&gt;2,"Alta","n/a"))))</f>
        <v>Baixa</v>
      </c>
      <c r="FA174" s="10"/>
    </row>
    <row r="175" spans="1:157" s="2" customFormat="1" ht="11.25" hidden="1" x14ac:dyDescent="0.2">
      <c r="A175" s="4">
        <v>13.03</v>
      </c>
      <c r="B175" s="4">
        <v>12.34</v>
      </c>
      <c r="C175" s="4">
        <v>12.26</v>
      </c>
      <c r="D175" s="4">
        <v>11.73</v>
      </c>
      <c r="E175" s="4">
        <v>11.03</v>
      </c>
      <c r="F175" s="4">
        <v>11</v>
      </c>
      <c r="G175" s="4">
        <v>10.38</v>
      </c>
      <c r="H175" s="4">
        <v>10.65</v>
      </c>
      <c r="I175" s="4">
        <v>11.08</v>
      </c>
      <c r="J175" s="4">
        <v>13.08</v>
      </c>
      <c r="K175" s="4">
        <v>13.61</v>
      </c>
      <c r="L175" s="4">
        <v>13.11</v>
      </c>
      <c r="M175" s="4">
        <v>13.81</v>
      </c>
      <c r="N175" s="4">
        <v>13.93</v>
      </c>
      <c r="O175" s="4">
        <v>14.93</v>
      </c>
      <c r="P175" s="4">
        <v>14.51</v>
      </c>
      <c r="Q175" s="4">
        <v>14.84</v>
      </c>
      <c r="R175" s="4">
        <v>14.25</v>
      </c>
      <c r="S175" s="4">
        <v>15.08</v>
      </c>
      <c r="T175" s="4">
        <v>14.81</v>
      </c>
      <c r="U175" s="4">
        <v>14.35</v>
      </c>
      <c r="V175" s="4">
        <v>14.2</v>
      </c>
      <c r="W175" s="4">
        <v>15.78</v>
      </c>
      <c r="X175" s="4">
        <v>15.37</v>
      </c>
      <c r="Y175" s="4">
        <v>14.93</v>
      </c>
      <c r="Z175" s="4">
        <v>15.5</v>
      </c>
      <c r="AA175" s="4">
        <v>15.33</v>
      </c>
      <c r="AB175" s="4">
        <v>16.25</v>
      </c>
      <c r="AC175" s="4">
        <v>14.66</v>
      </c>
      <c r="AD175" s="4">
        <v>14.7</v>
      </c>
      <c r="AE175" s="4">
        <v>12.31</v>
      </c>
      <c r="AF175" s="4">
        <v>12.26</v>
      </c>
      <c r="AG175" s="4">
        <v>11.53</v>
      </c>
      <c r="AH175" s="4">
        <v>10.94</v>
      </c>
      <c r="AI175" s="4">
        <v>10.87</v>
      </c>
      <c r="AJ175" s="4">
        <v>10.53</v>
      </c>
      <c r="AK175" s="4">
        <v>10.220000000000001</v>
      </c>
      <c r="AL175" s="4">
        <v>10.8</v>
      </c>
      <c r="AM175" s="4">
        <v>11.38</v>
      </c>
      <c r="AN175" s="4">
        <v>12.64</v>
      </c>
      <c r="AO175" s="4">
        <v>12.11</v>
      </c>
      <c r="AP175" s="4">
        <v>12.7</v>
      </c>
      <c r="AQ175" s="4">
        <v>12.54</v>
      </c>
      <c r="AR175" s="4">
        <v>12.15</v>
      </c>
      <c r="AS175" s="4">
        <v>12.8</v>
      </c>
      <c r="AT175" s="4">
        <v>13.14</v>
      </c>
      <c r="AU175" s="4">
        <v>13.904999999999999</v>
      </c>
      <c r="AV175" s="4">
        <v>14.53</v>
      </c>
      <c r="AW175" s="4">
        <v>15.32</v>
      </c>
      <c r="AX175" s="4">
        <v>15.47</v>
      </c>
      <c r="AY175" s="12">
        <v>15.04</v>
      </c>
      <c r="AZ175" s="12">
        <v>16.399999999999999</v>
      </c>
      <c r="BA175" s="12">
        <v>16.46</v>
      </c>
      <c r="BB175" s="15">
        <v>16.47</v>
      </c>
      <c r="BC175" s="52">
        <v>19.46</v>
      </c>
      <c r="BD175" s="52">
        <v>18.5</v>
      </c>
      <c r="BE175" s="52">
        <v>20.66</v>
      </c>
      <c r="BF175" s="52">
        <v>23</v>
      </c>
      <c r="BG175" s="67">
        <v>22.7</v>
      </c>
      <c r="BH175" s="52">
        <v>21.28</v>
      </c>
      <c r="BI175" s="52">
        <v>21.89</v>
      </c>
      <c r="BJ175" s="52">
        <v>24.2</v>
      </c>
      <c r="BK175" s="52">
        <v>23.22</v>
      </c>
      <c r="BL175" s="52">
        <v>21.12</v>
      </c>
      <c r="BM175" s="52">
        <v>21.8</v>
      </c>
      <c r="BN175" s="52">
        <v>22.4</v>
      </c>
      <c r="BO175" s="52">
        <v>23.1</v>
      </c>
      <c r="BP175" s="52" cm="1">
        <f t="array" aca="1" ref="BP175" ca="1">_FV(ED175,"Preço")</f>
        <v>23.51</v>
      </c>
      <c r="BQ175" s="69" t="s">
        <v>171</v>
      </c>
      <c r="BR175" s="36" cm="1">
        <f t="array" aca="1" ref="BR175" ca="1">_FV(ED175,"Média de volume",TRUE)</f>
        <v>810620</v>
      </c>
      <c r="BS175" s="36">
        <v>812200</v>
      </c>
      <c r="BT175" s="36" cm="1">
        <f t="array" aca="1" ref="BT175" ca="1">_FV(ED175,"Volume")</f>
        <v>567000</v>
      </c>
      <c r="BU175" s="24" cm="1">
        <f t="array" aca="1" ref="BU175" ca="1">_FV(ED175,"Beta")</f>
        <v>1.6379999999999999</v>
      </c>
      <c r="BV175" s="71" cm="1">
        <f t="array" aca="1" ref="BV175" ca="1">_FV(ED175,"Variação (%)",TRUE)</f>
        <v>-1.699E-3</v>
      </c>
      <c r="BX175" s="17" cm="1">
        <f t="array" aca="1" ref="BX175" ca="1">_FV(ED175,"Baixo")</f>
        <v>23.29</v>
      </c>
      <c r="BY175" s="17" cm="1">
        <f t="array" aca="1" ref="BY175" ca="1">_FV(ED175,"Alto")</f>
        <v>23.95</v>
      </c>
      <c r="BZ175" s="24"/>
      <c r="CA175" s="63">
        <f ca="1">SQRT(22.5*(BP175/VLOOKUP(BQ175,Fundamentus!A:U,3,FALSE))*(BP175/VLOOKUP(BQ175,Fundamentus!A:U,4,FALSE)))</f>
        <v>41.363047473451431</v>
      </c>
      <c r="CC175" s="62">
        <f t="shared" ca="1" si="168"/>
        <v>1.7748917748917754E-2</v>
      </c>
      <c r="CD175" s="8"/>
      <c r="CE175" s="61">
        <f t="shared" si="169"/>
        <v>10.220000000000001</v>
      </c>
      <c r="CF175" s="61">
        <f t="shared" si="170"/>
        <v>24.2</v>
      </c>
      <c r="CG175" s="61">
        <f t="shared" si="171"/>
        <v>15.020522388059701</v>
      </c>
      <c r="CH175" s="14"/>
      <c r="CI175" s="35">
        <f t="shared" si="154"/>
        <v>22.156363678112715</v>
      </c>
      <c r="CJ175" s="15">
        <f t="shared" si="172"/>
        <v>23.739999999999782</v>
      </c>
      <c r="CK175" s="35">
        <f t="shared" si="155"/>
        <v>25.323636321886848</v>
      </c>
      <c r="CM175" s="14"/>
      <c r="CN175" s="17">
        <f t="shared" si="156"/>
        <v>0.16666666666667318</v>
      </c>
      <c r="CO175" s="17">
        <f t="shared" si="157"/>
        <v>5.1933333333333369</v>
      </c>
      <c r="CP175" s="17">
        <f t="shared" si="158"/>
        <v>14.146666666666672</v>
      </c>
      <c r="CQ175" s="38">
        <f t="shared" si="173"/>
        <v>19.173333333333336</v>
      </c>
      <c r="CR175" s="17">
        <f t="shared" si="159"/>
        <v>28.126666666666672</v>
      </c>
      <c r="CS175" s="17">
        <f t="shared" si="160"/>
        <v>33.153333333333336</v>
      </c>
      <c r="CT175" s="17">
        <f t="shared" si="161"/>
        <v>42.106666666666669</v>
      </c>
      <c r="CU175" s="2" cm="1">
        <f t="array" aca="1" ref="CU175" ca="1">MAX(_xlfn._xlws.FILTER(CN175:CT175,CN175:CT175&lt;BP175))</f>
        <v>19.173333333333336</v>
      </c>
      <c r="CV175" s="2" cm="1">
        <f t="array" aca="1" ref="CV175" ca="1">MIN(_xlfn._xlws.FILTER($CN175:$CT175,$CN175:$CT175&gt;BP175))</f>
        <v>28.126666666666672</v>
      </c>
      <c r="CW175" s="16">
        <f t="shared" ca="1" si="175"/>
        <v>0.46696801112656483</v>
      </c>
      <c r="CX175" s="20">
        <f t="shared" ca="1" si="176"/>
        <v>-0.23348400556328242</v>
      </c>
      <c r="CY175" s="20">
        <f t="shared" ca="1" si="177"/>
        <v>-0.15565600370885493</v>
      </c>
      <c r="CZ175" s="20">
        <f t="shared" ca="1" si="178"/>
        <v>-9.3393602225312969E-2</v>
      </c>
      <c r="DA175" s="20">
        <f t="shared" ca="1" si="179"/>
        <v>-5.1885334569618316E-2</v>
      </c>
      <c r="DB175" s="20">
        <f t="shared" ca="1" si="180"/>
        <v>-2.7468706536856756E-2</v>
      </c>
      <c r="DC175" s="20">
        <f t="shared" ca="1" si="181"/>
        <v>-1.4150545791714085E-2</v>
      </c>
      <c r="DD175" s="20">
        <f t="shared" ca="1" si="182"/>
        <v>-7.1841232481009978E-3</v>
      </c>
      <c r="DE175" s="21">
        <f t="shared" ca="1" si="183"/>
        <v>7.1841232481009978E-3</v>
      </c>
      <c r="DF175" s="21">
        <f t="shared" ca="1" si="184"/>
        <v>1.4150545791714085E-2</v>
      </c>
      <c r="DG175" s="21">
        <f t="shared" ca="1" si="185"/>
        <v>2.7468706536856756E-2</v>
      </c>
      <c r="DH175" s="21">
        <f t="shared" ca="1" si="186"/>
        <v>5.1885334569618316E-2</v>
      </c>
      <c r="DI175" s="21">
        <f t="shared" ca="1" si="187"/>
        <v>9.3393602225312969E-2</v>
      </c>
      <c r="DJ175" s="21">
        <f t="shared" ca="1" si="188"/>
        <v>0.15565600370885493</v>
      </c>
      <c r="DK175" s="21">
        <f t="shared" ca="1" si="189"/>
        <v>0.23348400556328242</v>
      </c>
      <c r="DM175" s="16" cm="1">
        <f t="array" aca="1" ref="DM175" ca="1">MAX(_xlfn._xlws.FILTER(CX175:DK175,CX175:DK175&lt;BV175))</f>
        <v>-7.1841232481009978E-3</v>
      </c>
      <c r="DN175" s="16" cm="1">
        <f t="array" aca="1" ref="DN175" ca="1">MIN(_xlfn._xlws.FILTER(CX175:DK175,CX175:DK175&gt;BV175))</f>
        <v>7.1841232481009978E-3</v>
      </c>
      <c r="DO175" s="2" cm="1">
        <f t="array" aca="1" ref="DO175" ca="1">_FV(ED175,"Fechamento anterior",TRUE)</f>
        <v>23.55</v>
      </c>
      <c r="DP175" s="28">
        <f t="shared" ca="1" si="162"/>
        <v>0.38178698069569011</v>
      </c>
      <c r="DQ175" s="15">
        <f t="shared" ca="1" si="190"/>
        <v>23.380813897507224</v>
      </c>
      <c r="DR175" s="15">
        <f t="shared" ca="1" si="191"/>
        <v>23.719186102492777</v>
      </c>
      <c r="DS175" s="9"/>
      <c r="DT175" s="9"/>
      <c r="DU175" s="9"/>
      <c r="DV175" s="89">
        <v>1.3318160745142671E-2</v>
      </c>
      <c r="DW175" s="89">
        <f t="shared" ca="1" si="163"/>
        <v>1.4368246496201996E-2</v>
      </c>
      <c r="DX175" s="72">
        <f t="shared" ca="1" si="164"/>
        <v>-0.14523536548196328</v>
      </c>
      <c r="DY175" s="37"/>
      <c r="DZ175" s="35">
        <f t="shared" si="174"/>
        <v>0.79181816094353341</v>
      </c>
      <c r="EA175" s="56"/>
      <c r="EB175" s="56"/>
      <c r="ED175" s="2" t="e" vm="177">
        <v>#VALUE!</v>
      </c>
      <c r="EF175" s="10" cm="1">
        <f t="array" aca="1" ref="EF175" ca="1">_FV(ED175,"Ações em circulação",TRUE)</f>
        <v>84909370</v>
      </c>
      <c r="EG175" s="18">
        <f>VLOOKUP(BQ175,Fundamentus!A:U,5,FALSE)</f>
        <v>1.0660000000000001</v>
      </c>
      <c r="EH175" s="2">
        <f t="shared" ca="1" si="165"/>
        <v>1872625974.3902438</v>
      </c>
      <c r="EI175" s="17">
        <v>302122831.70487809</v>
      </c>
      <c r="EJ175" s="17">
        <f t="shared" ca="1" si="166"/>
        <v>307485184.99487805</v>
      </c>
      <c r="EL175" s="16">
        <f t="shared" ca="1" si="153"/>
        <v>1.7748917748917625E-2</v>
      </c>
      <c r="EM175" s="32" t="str">
        <f>IF(VLOOKUP(BQ175,Fundamentus!A:U,3,FALSE)&lt;15,"Bom",IF(VLOOKUP(BQ175,Fundamentus!A:U,3,FALSE)&gt;15,"Ruim","n/a"))</f>
        <v>Bom</v>
      </c>
      <c r="EN175" s="28" t="str">
        <f>IF(VLOOKUP(BQ175,Fundamentus!A:U,4,FALSE)&lt;1,"Baixo",IF(VLOOKUP(BQ175,Fundamentus!A:U,4,FALSE)&lt;1.5,"Moderado",IF(VLOOKUP(BQ175,Fundamentus!A:U,4,FALSE)&gt;1.5,"Alto","n/a")))</f>
        <v>Moderado</v>
      </c>
      <c r="EO175" s="17" t="str">
        <f>IF(VLOOKUP(BQ175,Fundamentus!A:U,8,FALSE)&lt;0,"Risco elevado",IF(VLOOKUP(BQ175,Fundamentus!A:U,8,FALSE)&lt;1,"Saudável",IF(VLOOKUP(BQ175,Fundamentus!A:U,8,FALSE)&lt;3,"Estável",IF(VLOOKUP(BQ175,Fundamentus!A:U,8,FALSE)&gt;3,"Alerta","n/a"))))</f>
        <v>Estável</v>
      </c>
      <c r="EP175" s="28" t="str">
        <f t="shared" si="167"/>
        <v>Bom</v>
      </c>
      <c r="EQ175" s="17" t="str">
        <f>IF(VLOOKUP(BQ175,Fundamentus!A:U,12,FALSE)&lt;2,"Subvalorizada",IF(VLOOKUP(BQ175,Fundamentus!A:U,12,FALSE)&lt;6,"Muita barata",IF(VLOOKUP(BQ175,Fundamentus!A:U,12,FALSE)&lt;6,"Barata",IF(VLOOKUP(BQ175,Fundamentus!A:U,12,FALSE)&lt;8,"Atrativa",IF(VLOOKUP(BQ175,Fundamentus!A:U,12,FALSE)&gt;8,"Supervalorizada","n/a")))))</f>
        <v>Muita barata</v>
      </c>
      <c r="ES175" s="17" t="str">
        <f>IF(VLOOKUP(BQ175,Fundamentus!A:U,17,FALSE)&lt;0.1,"Fraco retorno",IF(VLOOKUP(BQ175,Fundamentus!A:U,17,FALSE)&gt;0.1,"Bom retorno","n/a"))</f>
        <v>Bom retorno</v>
      </c>
      <c r="ET175" s="17" t="str">
        <f>IF(VLOOKUP(BQ175,Fundamentus!A:U,16,FALSE)&lt;0.1,"Ineficiente",IF(VLOOKUP(BQ175,Fundamentus!A:U,16,FALSE)&gt;0.1,"Eficiente","n/a"))</f>
        <v>Ineficiente</v>
      </c>
      <c r="EU175" s="33" t="str">
        <f>IF(VLOOKUP(BQ175,Fundamentus!A:U,16,FALSE)&lt;0.1,"Oper. Ineficiente",IF(VLOOKUP(BQ175,Fundamentus!A:U,16,FALSE)&gt;0.1,"Oper.Eficiente","n/a"))</f>
        <v>Oper. Ineficiente</v>
      </c>
      <c r="EV175" s="34">
        <f>VLOOKUP(BQ175,Fundamentus!A:U,14,FALSE)</f>
        <v>0.16420000000000001</v>
      </c>
      <c r="EW175" s="17" t="str">
        <f>IF(VLOOKUP(BQ175,Fundamentus!A:U,21,FALSE)&lt;0,"Negativo",IF(VLOOKUP(BQ175,Fundamentus!A:U,21,FALSE)&lt;0.05,"Fraco",IF(VLOOKUP(BQ175,Fundamentus!A:U,21,FALSE)&lt;0.1,"Bom",IF(VLOOKUP(BQ175,Fundamentus!A:U,21,FALSE)&gt;0.1,"Muito bom","n/a"))))</f>
        <v>Muito bom</v>
      </c>
      <c r="EY175" s="29" t="str">
        <f>IF(VLOOKUP(BQ175,Fundamentus!A:U,15,FALSE)&gt;1,"Bom",IF(VLOOKUP(BQ175,Fundamentus!A:U,15,FALSE)&lt;1,"Ruim","n/a"))</f>
        <v>Bom</v>
      </c>
      <c r="EZ175" s="17" t="str">
        <f>IF(VLOOKUP(BQ175,Fundamentus!A:U,20,FALSE)&lt;0.5,"Baixa",IF(VLOOKUP(BQ175,Fundamentus!A:U,20,FALSE)&lt;1,"Moderada",IF(VLOOKUP(BQ175,Fundamentus!A:U,20,FALSE)&lt;2,"Alerta",IF(VLOOKUP(BQ175,Fundamentus!A:U,20,FALSE)&gt;2,"Alta","n/a"))))</f>
        <v>Baixa</v>
      </c>
      <c r="FA175" s="10"/>
    </row>
    <row r="176" spans="1:157" s="2" customFormat="1" ht="11.25" hidden="1" x14ac:dyDescent="0.2">
      <c r="A176" s="4">
        <v>0.5</v>
      </c>
      <c r="B176" s="4">
        <v>0.5</v>
      </c>
      <c r="C176" s="4">
        <v>0.37</v>
      </c>
      <c r="D176" s="4">
        <v>0.37</v>
      </c>
      <c r="E176" s="4">
        <v>1.1499999999999999</v>
      </c>
      <c r="F176" s="4">
        <v>1.1599999999999999</v>
      </c>
      <c r="G176" s="4">
        <v>1.18</v>
      </c>
      <c r="H176" s="4">
        <v>1</v>
      </c>
      <c r="I176" s="4">
        <v>1.17</v>
      </c>
      <c r="J176" s="4">
        <v>1.0900000000000001</v>
      </c>
      <c r="K176" s="4">
        <v>1.1599999999999999</v>
      </c>
      <c r="L176" s="4">
        <v>1.02</v>
      </c>
      <c r="M176" s="4">
        <v>1.05</v>
      </c>
      <c r="N176" s="4">
        <v>0.88</v>
      </c>
      <c r="O176" s="4">
        <v>0.9</v>
      </c>
      <c r="P176" s="4">
        <v>0.8</v>
      </c>
      <c r="Q176" s="4">
        <v>0.85</v>
      </c>
      <c r="R176" s="4">
        <v>0.9</v>
      </c>
      <c r="S176" s="4">
        <v>1.07</v>
      </c>
      <c r="T176" s="4">
        <v>1.01</v>
      </c>
      <c r="U176" s="4">
        <v>0.97</v>
      </c>
      <c r="V176" s="4">
        <v>0.95</v>
      </c>
      <c r="W176" s="4">
        <v>0.93</v>
      </c>
      <c r="X176" s="4">
        <v>1.21</v>
      </c>
      <c r="Y176" s="4">
        <v>2.0499999999999998</v>
      </c>
      <c r="Z176" s="4">
        <v>1.71</v>
      </c>
      <c r="AA176" s="4">
        <v>1.93</v>
      </c>
      <c r="AB176" s="4">
        <v>1.9</v>
      </c>
      <c r="AC176" s="4">
        <v>1.64</v>
      </c>
      <c r="AD176" s="4">
        <v>1.81</v>
      </c>
      <c r="AE176" s="4">
        <v>1.6</v>
      </c>
      <c r="AF176" s="4">
        <v>1.61</v>
      </c>
      <c r="AG176" s="4">
        <v>1.35</v>
      </c>
      <c r="AH176" s="4">
        <v>1.22</v>
      </c>
      <c r="AI176" s="4">
        <v>1.1499999999999999</v>
      </c>
      <c r="AJ176" s="4">
        <v>0.89</v>
      </c>
      <c r="AK176" s="4">
        <v>0.74</v>
      </c>
      <c r="AL176" s="4">
        <v>0.73</v>
      </c>
      <c r="AM176" s="4">
        <v>0.69</v>
      </c>
      <c r="AN176" s="4">
        <v>0.66</v>
      </c>
      <c r="AO176" s="4">
        <v>0.66</v>
      </c>
      <c r="AP176" s="4">
        <v>0.74</v>
      </c>
      <c r="AQ176" s="4">
        <v>0.77</v>
      </c>
      <c r="AR176" s="4">
        <v>0.76</v>
      </c>
      <c r="AS176" s="4">
        <v>0.79</v>
      </c>
      <c r="AT176" s="4">
        <v>0.97</v>
      </c>
      <c r="AU176" s="4">
        <v>1.1000000000000001</v>
      </c>
      <c r="AV176" s="4">
        <v>1.21</v>
      </c>
      <c r="AW176" s="4">
        <v>1.35</v>
      </c>
      <c r="AX176" s="4">
        <v>1.39</v>
      </c>
      <c r="AY176" s="12">
        <v>1.35</v>
      </c>
      <c r="AZ176" s="12">
        <v>1.46</v>
      </c>
      <c r="BA176" s="12">
        <v>1.18</v>
      </c>
      <c r="BB176" s="15">
        <v>1.55</v>
      </c>
      <c r="BC176" s="52">
        <v>1.45</v>
      </c>
      <c r="BD176" s="52">
        <v>1.17</v>
      </c>
      <c r="BE176" s="52">
        <v>1.1599999999999999</v>
      </c>
      <c r="BF176" s="52">
        <v>1.03</v>
      </c>
      <c r="BG176" s="67">
        <v>0.98</v>
      </c>
      <c r="BH176" s="52">
        <v>1.02</v>
      </c>
      <c r="BI176" s="52">
        <v>0.96</v>
      </c>
      <c r="BJ176" s="52">
        <v>0.94</v>
      </c>
      <c r="BK176" s="52">
        <v>0.95</v>
      </c>
      <c r="BL176" s="52">
        <v>1.06</v>
      </c>
      <c r="BM176" s="52">
        <v>1.1000000000000001</v>
      </c>
      <c r="BN176" s="52">
        <v>1.05</v>
      </c>
      <c r="BO176" s="52">
        <v>1.07</v>
      </c>
      <c r="BP176" s="52" cm="1">
        <f t="array" aca="1" ref="BP176" ca="1">_FV(ED176,"Preço")</f>
        <v>1.1000000000000001</v>
      </c>
      <c r="BQ176" s="69" t="s">
        <v>172</v>
      </c>
      <c r="BR176" s="36" cm="1">
        <f t="array" aca="1" ref="BR176" ca="1">_FV(ED176,"Média de volume",TRUE)</f>
        <v>2955130</v>
      </c>
      <c r="BS176" s="36">
        <v>4490700</v>
      </c>
      <c r="BT176" s="36" cm="1">
        <f t="array" aca="1" ref="BT176" ca="1">_FV(ED176,"Volume")</f>
        <v>6734200</v>
      </c>
      <c r="BU176" s="24" cm="1">
        <f t="array" aca="1" ref="BU176" ca="1">_FV(ED176,"Beta")</f>
        <v>1.4278</v>
      </c>
      <c r="BV176" s="71" cm="1">
        <f t="array" aca="1" ref="BV176" ca="1">_FV(ED176,"Variação (%)",TRUE)</f>
        <v>1.8519000000000001E-2</v>
      </c>
      <c r="BX176" s="17" cm="1">
        <f t="array" aca="1" ref="BX176" ca="1">_FV(ED176,"Baixo")</f>
        <v>1.06</v>
      </c>
      <c r="BY176" s="17" cm="1">
        <f t="array" aca="1" ref="BY176" ca="1">_FV(ED176,"Alto")</f>
        <v>1.2</v>
      </c>
      <c r="BZ176" s="24"/>
      <c r="CA176" s="63">
        <f ca="1">SQRT(22.5*(BP176/VLOOKUP(BQ176,Fundamentus!A:U,3,FALSE))*(BP176/VLOOKUP(BQ176,Fundamentus!A:U,4,FALSE)))</f>
        <v>2.8908245531491636</v>
      </c>
      <c r="CC176" s="62">
        <f t="shared" ca="1" si="168"/>
        <v>2.8037383177570117E-2</v>
      </c>
      <c r="CD176" s="8"/>
      <c r="CE176" s="61">
        <f t="shared" si="169"/>
        <v>0.37</v>
      </c>
      <c r="CF176" s="61">
        <f t="shared" si="170"/>
        <v>2.0499999999999998</v>
      </c>
      <c r="CG176" s="61">
        <f t="shared" si="171"/>
        <v>1.0908955223880594</v>
      </c>
      <c r="CH176" s="14"/>
      <c r="CI176" s="35">
        <f t="shared" si="154"/>
        <v>0.96333387978288876</v>
      </c>
      <c r="CJ176" s="15">
        <f t="shared" si="172"/>
        <v>1.0649999999999995</v>
      </c>
      <c r="CK176" s="35">
        <f t="shared" si="155"/>
        <v>1.1666661202171102</v>
      </c>
      <c r="CM176" s="14"/>
      <c r="CN176" s="17">
        <f t="shared" si="156"/>
        <v>-1.4033333333333329</v>
      </c>
      <c r="CO176" s="17">
        <f t="shared" si="157"/>
        <v>-0.51666666666666639</v>
      </c>
      <c r="CP176" s="17">
        <f t="shared" si="158"/>
        <v>0.27666666666666684</v>
      </c>
      <c r="CQ176" s="38">
        <f t="shared" si="173"/>
        <v>1.1633333333333333</v>
      </c>
      <c r="CR176" s="17">
        <f t="shared" si="159"/>
        <v>1.9566666666666666</v>
      </c>
      <c r="CS176" s="17">
        <f t="shared" si="160"/>
        <v>2.8433333333333328</v>
      </c>
      <c r="CT176" s="17">
        <f t="shared" si="161"/>
        <v>3.6366666666666667</v>
      </c>
      <c r="CU176" s="2" cm="1">
        <f t="array" aca="1" ref="CU176" ca="1">MAX(_xlfn._xlws.FILTER(CN176:CT176,CN176:CT176&lt;BP176))</f>
        <v>0.27666666666666684</v>
      </c>
      <c r="CV176" s="2" cm="1">
        <f t="array" aca="1" ref="CV176" ca="1">MIN(_xlfn._xlws.FILTER($CN176:$CT176,$CN176:$CT176&gt;BP176))</f>
        <v>1.1633333333333333</v>
      </c>
      <c r="CW176" s="16">
        <f t="shared" ca="1" si="175"/>
        <v>3.204819277108431</v>
      </c>
      <c r="CX176" s="20">
        <f t="shared" ca="1" si="176"/>
        <v>-1.6024096385542155</v>
      </c>
      <c r="CY176" s="20">
        <f t="shared" ca="1" si="177"/>
        <v>-1.068273092369477</v>
      </c>
      <c r="CZ176" s="20">
        <f t="shared" ca="1" si="178"/>
        <v>-0.64096385542168621</v>
      </c>
      <c r="DA176" s="20">
        <f t="shared" ca="1" si="179"/>
        <v>-0.35609103078982568</v>
      </c>
      <c r="DB176" s="20">
        <f t="shared" ca="1" si="180"/>
        <v>-0.18851878100637828</v>
      </c>
      <c r="DC176" s="20">
        <f t="shared" ca="1" si="181"/>
        <v>-9.7115735669952449E-2</v>
      </c>
      <c r="DD176" s="20">
        <f t="shared" ca="1" si="182"/>
        <v>-4.930491195551432E-2</v>
      </c>
      <c r="DE176" s="21">
        <f t="shared" ca="1" si="183"/>
        <v>4.930491195551432E-2</v>
      </c>
      <c r="DF176" s="21">
        <f t="shared" ca="1" si="184"/>
        <v>9.7115735669952449E-2</v>
      </c>
      <c r="DG176" s="21">
        <f t="shared" ca="1" si="185"/>
        <v>0.18851878100637828</v>
      </c>
      <c r="DH176" s="21">
        <f t="shared" ca="1" si="186"/>
        <v>0.35609103078982568</v>
      </c>
      <c r="DI176" s="21">
        <f t="shared" ca="1" si="187"/>
        <v>0.64096385542168621</v>
      </c>
      <c r="DJ176" s="21">
        <f t="shared" ca="1" si="188"/>
        <v>1.068273092369477</v>
      </c>
      <c r="DK176" s="21">
        <f t="shared" ca="1" si="189"/>
        <v>1.6024096385542155</v>
      </c>
      <c r="DM176" s="16" cm="1">
        <f t="array" aca="1" ref="DM176" ca="1">MAX(_xlfn._xlws.FILTER(CX176:DK176,CX176:DK176&lt;BV176))</f>
        <v>-4.930491195551432E-2</v>
      </c>
      <c r="DN176" s="16" cm="1">
        <f t="array" aca="1" ref="DN176" ca="1">MIN(_xlfn._xlws.FILTER(CX176:DK176,CX176:DK176&gt;BV176))</f>
        <v>4.930491195551432E-2</v>
      </c>
      <c r="DO176" s="2" cm="1">
        <f t="array" aca="1" ref="DO176" ca="1">_FV(ED176,"Fechamento anterior",TRUE)</f>
        <v>1.08</v>
      </c>
      <c r="DP176" s="28">
        <f t="shared" ca="1" si="162"/>
        <v>0.68779587858535229</v>
      </c>
      <c r="DQ176" s="15">
        <f t="shared" ca="1" si="190"/>
        <v>1.0267506950880445</v>
      </c>
      <c r="DR176" s="15">
        <f t="shared" ca="1" si="191"/>
        <v>1.1332493049119556</v>
      </c>
      <c r="DS176" s="9"/>
      <c r="DT176" s="9"/>
      <c r="DU176" s="9"/>
      <c r="DV176" s="89">
        <v>4.7810823714438129E-2</v>
      </c>
      <c r="DW176" s="89">
        <f t="shared" ca="1" si="163"/>
        <v>9.8609823911028641E-2</v>
      </c>
      <c r="DX176" s="72">
        <f t="shared" ca="1" si="164"/>
        <v>0.34426414547203277</v>
      </c>
      <c r="DY176" s="37"/>
      <c r="DZ176" s="35">
        <f t="shared" si="174"/>
        <v>5.0833060108555379E-2</v>
      </c>
      <c r="EA176" s="56"/>
      <c r="EB176" s="56"/>
      <c r="ED176" s="2" t="e" vm="178">
        <v>#VALUE!</v>
      </c>
      <c r="EF176" s="10" cm="1">
        <f t="array" aca="1" ref="EF176" ca="1">_FV(ED176,"Ações em circulação",TRUE)</f>
        <v>31822290</v>
      </c>
      <c r="EG176" s="18">
        <f>VLOOKUP(BQ176,Fundamentus!A:U,5,FALSE)</f>
        <v>3.181</v>
      </c>
      <c r="EH176" s="2">
        <f t="shared" ca="1" si="165"/>
        <v>11004249.921408363</v>
      </c>
      <c r="EI176" s="17">
        <v>-19977125.311188307</v>
      </c>
      <c r="EJ176" s="17">
        <f t="shared" ca="1" si="166"/>
        <v>-20537231.628324427</v>
      </c>
      <c r="EL176" s="16">
        <f t="shared" ca="1" si="153"/>
        <v>2.8037383177569986E-2</v>
      </c>
      <c r="EM176" s="32" t="str">
        <f>IF(VLOOKUP(BQ176,Fundamentus!A:U,3,FALSE)&lt;15,"Bom",IF(VLOOKUP(BQ176,Fundamentus!A:U,3,FALSE)&gt;15,"Ruim","n/a"))</f>
        <v>Bom</v>
      </c>
      <c r="EN176" s="28" t="str">
        <f>IF(VLOOKUP(BQ176,Fundamentus!A:U,4,FALSE)&lt;1,"Baixo",IF(VLOOKUP(BQ176,Fundamentus!A:U,4,FALSE)&lt;1.5,"Moderado",IF(VLOOKUP(BQ176,Fundamentus!A:U,4,FALSE)&gt;1.5,"Alto","n/a")))</f>
        <v>Baixo</v>
      </c>
      <c r="EO176" s="17" t="str">
        <f>IF(VLOOKUP(BQ176,Fundamentus!A:U,8,FALSE)&lt;0,"Risco elevado",IF(VLOOKUP(BQ176,Fundamentus!A:U,8,FALSE)&lt;1,"Saudável",IF(VLOOKUP(BQ176,Fundamentus!A:U,8,FALSE)&lt;3,"Estável",IF(VLOOKUP(BQ176,Fundamentus!A:U,8,FALSE)&gt;3,"Alerta","n/a"))))</f>
        <v>Risco elevado</v>
      </c>
      <c r="EP176" s="28" t="str">
        <f t="shared" si="167"/>
        <v>Bom</v>
      </c>
      <c r="EQ176" s="17" t="str">
        <f>IF(VLOOKUP(BQ176,Fundamentus!A:U,12,FALSE)&lt;2,"Subvalorizada",IF(VLOOKUP(BQ176,Fundamentus!A:U,12,FALSE)&lt;6,"Muita barata",IF(VLOOKUP(BQ176,Fundamentus!A:U,12,FALSE)&lt;6,"Barata",IF(VLOOKUP(BQ176,Fundamentus!A:U,12,FALSE)&lt;8,"Atrativa",IF(VLOOKUP(BQ176,Fundamentus!A:U,12,FALSE)&gt;8,"Supervalorizada","n/a")))))</f>
        <v>Subvalorizada</v>
      </c>
      <c r="ES176" s="17" t="str">
        <f>IF(VLOOKUP(BQ176,Fundamentus!A:U,17,FALSE)&lt;0.1,"Fraco retorno",IF(VLOOKUP(BQ176,Fundamentus!A:U,17,FALSE)&gt;0.1,"Bom retorno","n/a"))</f>
        <v>Bom retorno</v>
      </c>
      <c r="ET176" s="17" t="str">
        <f>IF(VLOOKUP(BQ176,Fundamentus!A:U,16,FALSE)&lt;0.1,"Ineficiente",IF(VLOOKUP(BQ176,Fundamentus!A:U,16,FALSE)&gt;0.1,"Eficiente","n/a"))</f>
        <v>Ineficiente</v>
      </c>
      <c r="EU176" s="33" t="str">
        <f>IF(VLOOKUP(BQ176,Fundamentus!A:U,16,FALSE)&lt;0.1,"Oper. Ineficiente",IF(VLOOKUP(BQ176,Fundamentus!A:U,16,FALSE)&gt;0.1,"Oper.Eficiente","n/a"))</f>
        <v>Oper. Ineficiente</v>
      </c>
      <c r="EV176" s="34">
        <f>VLOOKUP(BQ176,Fundamentus!A:U,14,FALSE)</f>
        <v>-1.8663000000000001</v>
      </c>
      <c r="EW176" s="17" t="str">
        <f>IF(VLOOKUP(BQ176,Fundamentus!A:U,21,FALSE)&lt;0,"Negativo",IF(VLOOKUP(BQ176,Fundamentus!A:U,21,FALSE)&lt;0.05,"Fraco",IF(VLOOKUP(BQ176,Fundamentus!A:U,21,FALSE)&lt;0.1,"Bom",IF(VLOOKUP(BQ176,Fundamentus!A:U,21,FALSE)&gt;0.1,"Muito bom","n/a"))))</f>
        <v>Negativo</v>
      </c>
      <c r="EY176" s="29" t="str">
        <f>IF(VLOOKUP(BQ176,Fundamentus!A:U,15,FALSE)&gt;1,"Bom",IF(VLOOKUP(BQ176,Fundamentus!A:U,15,FALSE)&lt;1,"Ruim","n/a"))</f>
        <v>Ruim</v>
      </c>
      <c r="EZ176" s="17" t="str">
        <f>IF(VLOOKUP(BQ176,Fundamentus!A:U,20,FALSE)&lt;0.5,"Baixa",IF(VLOOKUP(BQ176,Fundamentus!A:U,20,FALSE)&lt;1,"Moderada",IF(VLOOKUP(BQ176,Fundamentus!A:U,20,FALSE)&lt;2,"Alerta",IF(VLOOKUP(BQ176,Fundamentus!A:U,20,FALSE)&gt;2,"Alta","n/a"))))</f>
        <v>Baixa</v>
      </c>
      <c r="FA176" s="10"/>
    </row>
    <row r="177" spans="1:157" s="2" customFormat="1" ht="11.25" hidden="1" x14ac:dyDescent="0.2">
      <c r="A177" s="4">
        <v>3.83</v>
      </c>
      <c r="B177" s="4">
        <v>3.88</v>
      </c>
      <c r="C177" s="4">
        <v>4.0599999999999996</v>
      </c>
      <c r="D177" s="4">
        <v>4.13</v>
      </c>
      <c r="E177" s="4">
        <v>4.24</v>
      </c>
      <c r="F177" s="4">
        <v>4.2</v>
      </c>
      <c r="G177" s="4">
        <v>3.87</v>
      </c>
      <c r="H177" s="4">
        <v>3.68</v>
      </c>
      <c r="I177" s="4">
        <v>3.71</v>
      </c>
      <c r="J177" s="4">
        <v>3.85</v>
      </c>
      <c r="K177" s="4">
        <v>3.85</v>
      </c>
      <c r="L177" s="4">
        <v>3.78</v>
      </c>
      <c r="M177" s="4">
        <v>3.74</v>
      </c>
      <c r="N177" s="4">
        <v>3.71</v>
      </c>
      <c r="O177" s="4">
        <v>4.04</v>
      </c>
      <c r="P177" s="4">
        <v>4.1500000000000004</v>
      </c>
      <c r="Q177" s="4">
        <v>5.39</v>
      </c>
      <c r="R177" s="4">
        <v>4.47</v>
      </c>
      <c r="S177" s="4">
        <v>4.93</v>
      </c>
      <c r="T177" s="4">
        <v>5.34</v>
      </c>
      <c r="U177" s="4">
        <v>5</v>
      </c>
      <c r="V177" s="4">
        <v>5.2</v>
      </c>
      <c r="W177" s="4">
        <v>5.25</v>
      </c>
      <c r="X177" s="4">
        <v>6.05</v>
      </c>
      <c r="Y177" s="4">
        <v>6.4</v>
      </c>
      <c r="Z177" s="4">
        <v>6.51</v>
      </c>
      <c r="AA177" s="4">
        <v>6.68</v>
      </c>
      <c r="AB177" s="4">
        <v>6.91</v>
      </c>
      <c r="AC177" s="4">
        <v>6.49</v>
      </c>
      <c r="AD177" s="4">
        <v>6.57</v>
      </c>
      <c r="AE177" s="4">
        <v>6.5</v>
      </c>
      <c r="AF177" s="4">
        <v>6.45</v>
      </c>
      <c r="AG177" s="4">
        <v>6.13</v>
      </c>
      <c r="AH177" s="4">
        <v>5.44</v>
      </c>
      <c r="AI177" s="4">
        <v>5.15</v>
      </c>
      <c r="AJ177" s="4">
        <v>5.25</v>
      </c>
      <c r="AK177" s="4">
        <v>5.32</v>
      </c>
      <c r="AL177" s="4">
        <v>4.9800000000000004</v>
      </c>
      <c r="AM177" s="4">
        <v>4.92</v>
      </c>
      <c r="AN177" s="4">
        <v>5.3</v>
      </c>
      <c r="AO177" s="4">
        <v>4.8499999999999996</v>
      </c>
      <c r="AP177" s="4">
        <v>4.4400000000000004</v>
      </c>
      <c r="AQ177" s="4">
        <v>4.3099999999999996</v>
      </c>
      <c r="AR177" s="4">
        <v>4.3600000000000003</v>
      </c>
      <c r="AS177" s="4">
        <v>4.25</v>
      </c>
      <c r="AT177" s="4">
        <v>4.3600000000000003</v>
      </c>
      <c r="AU177" s="4">
        <v>4.9950000000000001</v>
      </c>
      <c r="AV177" s="4">
        <v>4.88</v>
      </c>
      <c r="AW177" s="4">
        <v>4.5</v>
      </c>
      <c r="AX177" s="4">
        <v>4.1500000000000004</v>
      </c>
      <c r="AY177" s="12">
        <v>4.16</v>
      </c>
      <c r="AZ177" s="12">
        <v>4.5</v>
      </c>
      <c r="BA177" s="12">
        <v>4.4400000000000004</v>
      </c>
      <c r="BB177" s="15">
        <v>4.28</v>
      </c>
      <c r="BC177" s="52">
        <v>4.1100000000000003</v>
      </c>
      <c r="BD177" s="52">
        <v>4.07</v>
      </c>
      <c r="BE177" s="52">
        <v>4.04</v>
      </c>
      <c r="BF177" s="52">
        <v>4.05</v>
      </c>
      <c r="BG177" s="67">
        <v>4</v>
      </c>
      <c r="BH177" s="52">
        <v>4.0999999999999996</v>
      </c>
      <c r="BI177" s="52">
        <v>3.99</v>
      </c>
      <c r="BJ177" s="52">
        <v>4.07</v>
      </c>
      <c r="BK177" s="52">
        <v>4.03</v>
      </c>
      <c r="BL177" s="52">
        <v>4.01</v>
      </c>
      <c r="BM177" s="52">
        <v>4.04</v>
      </c>
      <c r="BN177" s="52">
        <v>4.0199999999999996</v>
      </c>
      <c r="BO177" s="52">
        <v>3.9</v>
      </c>
      <c r="BP177" s="52" cm="1">
        <f t="array" aca="1" ref="BP177" ca="1">_FV(ED177,"Preço")</f>
        <v>3.59</v>
      </c>
      <c r="BQ177" s="69" t="s">
        <v>173</v>
      </c>
      <c r="BR177" s="36" cm="1">
        <f t="array" aca="1" ref="BR177" ca="1">_FV(ED177,"Média de volume",TRUE)</f>
        <v>11910</v>
      </c>
      <c r="BS177" s="36">
        <v>49300</v>
      </c>
      <c r="BT177" s="36" cm="1">
        <f t="array" aca="1" ref="BT177" ca="1">_FV(ED177,"Volume")</f>
        <v>19700</v>
      </c>
      <c r="BU177" s="24" cm="1">
        <f t="array" aca="1" ref="BU177" ca="1">_FV(ED177,"Beta")</f>
        <v>1.8051999999999999</v>
      </c>
      <c r="BV177" s="71" cm="1">
        <f t="array" aca="1" ref="BV177" ca="1">_FV(ED177,"Variação (%)",TRUE)</f>
        <v>-1.9126000000000001E-2</v>
      </c>
      <c r="BX177" s="17" cm="1">
        <f t="array" aca="1" ref="BX177" ca="1">_FV(ED177,"Baixo")</f>
        <v>3.59</v>
      </c>
      <c r="BY177" s="17" cm="1">
        <f t="array" aca="1" ref="BY177" ca="1">_FV(ED177,"Alto")</f>
        <v>3.67</v>
      </c>
      <c r="BZ177" s="24"/>
      <c r="CA177" s="63">
        <f ca="1">SQRT(22.5*(BP177/VLOOKUP(BQ177,Fundamentus!A:U,3,FALSE))*(BP177/VLOOKUP(BQ177,Fundamentus!A:U,4,FALSE)))</f>
        <v>13.184438817303789</v>
      </c>
      <c r="CC177" s="62">
        <f t="shared" ca="1" si="168"/>
        <v>-7.9487179487179496E-2</v>
      </c>
      <c r="CD177" s="8"/>
      <c r="CE177" s="61">
        <f t="shared" si="169"/>
        <v>3.68</v>
      </c>
      <c r="CF177" s="61">
        <f t="shared" si="170"/>
        <v>6.91</v>
      </c>
      <c r="CG177" s="61">
        <f t="shared" si="171"/>
        <v>4.6903731343283583</v>
      </c>
      <c r="CH177" s="14"/>
      <c r="CI177" s="35">
        <f t="shared" si="154"/>
        <v>3.8030196097281452</v>
      </c>
      <c r="CJ177" s="15">
        <f t="shared" si="172"/>
        <v>3.9050000000000011</v>
      </c>
      <c r="CK177" s="35">
        <f t="shared" si="155"/>
        <v>4.006980390271857</v>
      </c>
      <c r="CM177" s="14"/>
      <c r="CN177" s="17">
        <f t="shared" si="156"/>
        <v>-0.48</v>
      </c>
      <c r="CO177" s="17">
        <f t="shared" si="157"/>
        <v>1.6</v>
      </c>
      <c r="CP177" s="17">
        <f t="shared" si="158"/>
        <v>2.75</v>
      </c>
      <c r="CQ177" s="38">
        <f t="shared" si="173"/>
        <v>4.83</v>
      </c>
      <c r="CR177" s="17">
        <f t="shared" si="159"/>
        <v>5.98</v>
      </c>
      <c r="CS177" s="17">
        <f t="shared" si="160"/>
        <v>8.06</v>
      </c>
      <c r="CT177" s="17">
        <f t="shared" si="161"/>
        <v>9.2100000000000009</v>
      </c>
      <c r="CU177" s="2" cm="1">
        <f t="array" aca="1" ref="CU177" ca="1">MAX(_xlfn._xlws.FILTER(CN177:CT177,CN177:CT177&lt;BP177))</f>
        <v>2.75</v>
      </c>
      <c r="CV177" s="2" cm="1">
        <f t="array" aca="1" ref="CV177" ca="1">MIN(_xlfn._xlws.FILTER($CN177:$CT177,$CN177:$CT177&gt;BP177))</f>
        <v>4.83</v>
      </c>
      <c r="CW177" s="16">
        <f t="shared" ca="1" si="175"/>
        <v>0.75636363636363635</v>
      </c>
      <c r="CX177" s="20">
        <f t="shared" ca="1" si="176"/>
        <v>-0.37818181818181817</v>
      </c>
      <c r="CY177" s="20">
        <f t="shared" ca="1" si="177"/>
        <v>-0.25212121212121213</v>
      </c>
      <c r="CZ177" s="20">
        <f t="shared" ca="1" si="178"/>
        <v>-0.15127272727272728</v>
      </c>
      <c r="DA177" s="20">
        <f t="shared" ca="1" si="179"/>
        <v>-8.404040404040404E-2</v>
      </c>
      <c r="DB177" s="20">
        <f t="shared" ca="1" si="180"/>
        <v>-4.4491978609625671E-2</v>
      </c>
      <c r="DC177" s="20">
        <f t="shared" ca="1" si="181"/>
        <v>-2.2920110192837465E-2</v>
      </c>
      <c r="DD177" s="20">
        <f t="shared" ca="1" si="182"/>
        <v>-1.1636363636363636E-2</v>
      </c>
      <c r="DE177" s="21">
        <f t="shared" ca="1" si="183"/>
        <v>1.1636363636363636E-2</v>
      </c>
      <c r="DF177" s="21">
        <f t="shared" ca="1" si="184"/>
        <v>2.2920110192837465E-2</v>
      </c>
      <c r="DG177" s="21">
        <f t="shared" ca="1" si="185"/>
        <v>4.4491978609625671E-2</v>
      </c>
      <c r="DH177" s="21">
        <f t="shared" ca="1" si="186"/>
        <v>8.404040404040404E-2</v>
      </c>
      <c r="DI177" s="21">
        <f t="shared" ca="1" si="187"/>
        <v>0.15127272727272728</v>
      </c>
      <c r="DJ177" s="21">
        <f t="shared" ca="1" si="188"/>
        <v>0.25212121212121213</v>
      </c>
      <c r="DK177" s="21">
        <f t="shared" ca="1" si="189"/>
        <v>0.37818181818181817</v>
      </c>
      <c r="DM177" s="16" cm="1">
        <f t="array" aca="1" ref="DM177" ca="1">MAX(_xlfn._xlws.FILTER(CX177:DK177,CX177:DK177&lt;BV177))</f>
        <v>-2.2920110192837465E-2</v>
      </c>
      <c r="DN177" s="16" cm="1">
        <f t="array" aca="1" ref="DN177" ca="1">MIN(_xlfn._xlws.FILTER(CX177:DK177,CX177:DK177&gt;BV177))</f>
        <v>-1.1636363636363636E-2</v>
      </c>
      <c r="DO177" s="2" cm="1">
        <f t="array" aca="1" ref="DO177" ca="1">_FV(ED177,"Fechamento anterior",TRUE)</f>
        <v>3.66</v>
      </c>
      <c r="DP177" s="28">
        <f t="shared" ca="1" si="162"/>
        <v>0.33627369364753457</v>
      </c>
      <c r="DQ177" s="15">
        <f t="shared" ca="1" si="190"/>
        <v>3.576112396694215</v>
      </c>
      <c r="DR177" s="15">
        <f t="shared" ca="1" si="191"/>
        <v>3.6174109090909092</v>
      </c>
      <c r="DS177" s="9"/>
      <c r="DT177" s="9"/>
      <c r="DU177" s="9"/>
      <c r="DV177" s="89">
        <v>3.9548425430778369E-2</v>
      </c>
      <c r="DW177" s="89">
        <f t="shared" ca="1" si="163"/>
        <v>1.128374655647383E-2</v>
      </c>
      <c r="DX177" s="72">
        <f t="shared" ca="1" si="164"/>
        <v>-3.0888291284264047</v>
      </c>
      <c r="DY177" s="37"/>
      <c r="DZ177" s="35">
        <f t="shared" si="174"/>
        <v>5.0990195135927875E-2</v>
      </c>
      <c r="EA177" s="56"/>
      <c r="EB177" s="56"/>
      <c r="ED177" s="2" t="e" vm="179">
        <v>#VALUE!</v>
      </c>
      <c r="EF177" s="10" cm="1">
        <f t="array" aca="1" ref="EF177" ca="1">_FV(ED177,"Ações em circulação",TRUE)</f>
        <v>44000000</v>
      </c>
      <c r="EG177" s="18">
        <f>VLOOKUP(BQ177,Fundamentus!A:U,5,FALSE)</f>
        <v>0.13700000000000001</v>
      </c>
      <c r="EH177" s="2">
        <f t="shared" ca="1" si="165"/>
        <v>1152992700.7299268</v>
      </c>
      <c r="EI177" s="17">
        <v>375766.42335766414</v>
      </c>
      <c r="EJ177" s="17">
        <f t="shared" ca="1" si="166"/>
        <v>345897.81021897803</v>
      </c>
      <c r="EL177" s="16">
        <f t="shared" ca="1" si="153"/>
        <v>-7.9487179487179427E-2</v>
      </c>
      <c r="EM177" s="32" t="str">
        <f>IF(VLOOKUP(BQ177,Fundamentus!A:U,3,FALSE)&lt;15,"Bom",IF(VLOOKUP(BQ177,Fundamentus!A:U,3,FALSE)&gt;15,"Ruim","n/a"))</f>
        <v>Bom</v>
      </c>
      <c r="EN177" s="28" t="str">
        <f>IF(VLOOKUP(BQ177,Fundamentus!A:U,4,FALSE)&lt;1,"Baixo",IF(VLOOKUP(BQ177,Fundamentus!A:U,4,FALSE)&lt;1.5,"Moderado",IF(VLOOKUP(BQ177,Fundamentus!A:U,4,FALSE)&gt;1.5,"Alto","n/a")))</f>
        <v>Baixo</v>
      </c>
      <c r="EO177" s="17" t="str">
        <f>IF(VLOOKUP(BQ177,Fundamentus!A:U,8,FALSE)&lt;0,"Risco elevado",IF(VLOOKUP(BQ177,Fundamentus!A:U,8,FALSE)&lt;1,"Saudável",IF(VLOOKUP(BQ177,Fundamentus!A:U,8,FALSE)&lt;3,"Estável",IF(VLOOKUP(BQ177,Fundamentus!A:U,8,FALSE)&gt;3,"Alerta","n/a"))))</f>
        <v>Risco elevado</v>
      </c>
      <c r="EP177" s="28" t="str">
        <f t="shared" si="167"/>
        <v>Ruim</v>
      </c>
      <c r="EQ177" s="17" t="str">
        <f>IF(VLOOKUP(BQ177,Fundamentus!A:U,12,FALSE)&lt;2,"Subvalorizada",IF(VLOOKUP(BQ177,Fundamentus!A:U,12,FALSE)&lt;6,"Muita barata",IF(VLOOKUP(BQ177,Fundamentus!A:U,12,FALSE)&lt;6,"Barata",IF(VLOOKUP(BQ177,Fundamentus!A:U,12,FALSE)&lt;8,"Atrativa",IF(VLOOKUP(BQ177,Fundamentus!A:U,12,FALSE)&gt;8,"Supervalorizada","n/a")))))</f>
        <v>Muita barata</v>
      </c>
      <c r="ES177" s="17" t="str">
        <f>IF(VLOOKUP(BQ177,Fundamentus!A:U,17,FALSE)&lt;0.1,"Fraco retorno",IF(VLOOKUP(BQ177,Fundamentus!A:U,17,FALSE)&gt;0.1,"Bom retorno","n/a"))</f>
        <v>Fraco retorno</v>
      </c>
      <c r="ET177" s="17" t="str">
        <f>IF(VLOOKUP(BQ177,Fundamentus!A:U,16,FALSE)&lt;0.1,"Ineficiente",IF(VLOOKUP(BQ177,Fundamentus!A:U,16,FALSE)&gt;0.1,"Eficiente","n/a"))</f>
        <v>Ineficiente</v>
      </c>
      <c r="EU177" s="33" t="str">
        <f>IF(VLOOKUP(BQ177,Fundamentus!A:U,16,FALSE)&lt;0.1,"Oper. Ineficiente",IF(VLOOKUP(BQ177,Fundamentus!A:U,16,FALSE)&gt;0.1,"Oper.Eficiente","n/a"))</f>
        <v>Oper. Ineficiente</v>
      </c>
      <c r="EV177" s="34">
        <f>VLOOKUP(BQ177,Fundamentus!A:U,14,FALSE)</f>
        <v>2.9999999999999997E-4</v>
      </c>
      <c r="EW177" s="17" t="str">
        <f>IF(VLOOKUP(BQ177,Fundamentus!A:U,21,FALSE)&lt;0,"Negativo",IF(VLOOKUP(BQ177,Fundamentus!A:U,21,FALSE)&lt;0.05,"Fraco",IF(VLOOKUP(BQ177,Fundamentus!A:U,21,FALSE)&lt;0.1,"Bom",IF(VLOOKUP(BQ177,Fundamentus!A:U,21,FALSE)&gt;0.1,"Muito bom","n/a"))))</f>
        <v>Bom</v>
      </c>
      <c r="EY177" s="29" t="str">
        <f>IF(VLOOKUP(BQ177,Fundamentus!A:U,15,FALSE)&gt;1,"Bom",IF(VLOOKUP(BQ177,Fundamentus!A:U,15,FALSE)&lt;1,"Ruim","n/a"))</f>
        <v>Ruim</v>
      </c>
      <c r="EZ177" s="17" t="str">
        <f>IF(VLOOKUP(BQ177,Fundamentus!A:U,20,FALSE)&lt;0.5,"Baixa",IF(VLOOKUP(BQ177,Fundamentus!A:U,20,FALSE)&lt;1,"Moderada",IF(VLOOKUP(BQ177,Fundamentus!A:U,20,FALSE)&lt;2,"Alerta",IF(VLOOKUP(BQ177,Fundamentus!A:U,20,FALSE)&gt;2,"Alta","n/a"))))</f>
        <v>Alerta</v>
      </c>
      <c r="FA177" s="10"/>
    </row>
    <row r="178" spans="1:157" s="2" customFormat="1" ht="11.25" hidden="1" x14ac:dyDescent="0.2">
      <c r="A178" s="4">
        <v>12.03</v>
      </c>
      <c r="B178" s="4">
        <v>11.27</v>
      </c>
      <c r="C178" s="4">
        <v>11.5</v>
      </c>
      <c r="D178" s="4">
        <v>11.38</v>
      </c>
      <c r="E178" s="4">
        <v>10.96</v>
      </c>
      <c r="F178" s="4">
        <v>10.88</v>
      </c>
      <c r="G178" s="4">
        <v>10.7</v>
      </c>
      <c r="H178" s="4">
        <v>10.93</v>
      </c>
      <c r="I178" s="4">
        <v>11.5</v>
      </c>
      <c r="J178" s="4">
        <v>12.42</v>
      </c>
      <c r="K178" s="4">
        <v>12.53</v>
      </c>
      <c r="L178" s="4">
        <v>12</v>
      </c>
      <c r="M178" s="4">
        <v>11.72</v>
      </c>
      <c r="N178" s="4">
        <v>11.18</v>
      </c>
      <c r="O178" s="4">
        <v>11.62</v>
      </c>
      <c r="P178" s="4">
        <v>11</v>
      </c>
      <c r="Q178" s="4">
        <v>11.23</v>
      </c>
      <c r="R178" s="4">
        <v>11.28</v>
      </c>
      <c r="S178" s="4">
        <v>11.25</v>
      </c>
      <c r="T178" s="4">
        <v>11.15</v>
      </c>
      <c r="U178" s="4">
        <v>11.02</v>
      </c>
      <c r="V178" s="4">
        <v>10.52</v>
      </c>
      <c r="W178" s="4">
        <v>10.47</v>
      </c>
      <c r="X178" s="4">
        <v>10.050000000000001</v>
      </c>
      <c r="Y178" s="4">
        <v>9.9499999999999993</v>
      </c>
      <c r="Z178" s="4">
        <v>9.81</v>
      </c>
      <c r="AA178" s="4">
        <v>9.27</v>
      </c>
      <c r="AB178" s="4">
        <v>10.23</v>
      </c>
      <c r="AC178" s="4">
        <v>9.26</v>
      </c>
      <c r="AD178" s="4">
        <v>9.1199999999999992</v>
      </c>
      <c r="AE178" s="4">
        <v>9.17</v>
      </c>
      <c r="AF178" s="4">
        <v>8.85</v>
      </c>
      <c r="AG178" s="4">
        <v>9</v>
      </c>
      <c r="AH178" s="4">
        <v>8.4600000000000009</v>
      </c>
      <c r="AI178" s="4">
        <v>8.24</v>
      </c>
      <c r="AJ178" s="4">
        <v>8.1</v>
      </c>
      <c r="AK178" s="4">
        <v>8.3000000000000007</v>
      </c>
      <c r="AL178" s="4">
        <v>8.14</v>
      </c>
      <c r="AM178" s="4">
        <v>7.98</v>
      </c>
      <c r="AN178" s="4">
        <v>8.06</v>
      </c>
      <c r="AO178" s="4">
        <v>8.09</v>
      </c>
      <c r="AP178" s="4">
        <v>8.58</v>
      </c>
      <c r="AQ178" s="4">
        <v>8.0299999999999994</v>
      </c>
      <c r="AR178" s="4">
        <v>7.99</v>
      </c>
      <c r="AS178" s="4">
        <v>8.16</v>
      </c>
      <c r="AT178" s="4">
        <v>8.08</v>
      </c>
      <c r="AU178" s="4">
        <v>7.9850000000000003</v>
      </c>
      <c r="AV178" s="4">
        <v>8.26</v>
      </c>
      <c r="AW178" s="4">
        <v>8.41</v>
      </c>
      <c r="AX178" s="4">
        <v>8.57</v>
      </c>
      <c r="AY178" s="12">
        <v>9.11</v>
      </c>
      <c r="AZ178" s="12">
        <v>8.92</v>
      </c>
      <c r="BA178" s="12">
        <v>8.48</v>
      </c>
      <c r="BB178" s="15">
        <v>7.84</v>
      </c>
      <c r="BC178" s="52">
        <v>7.8</v>
      </c>
      <c r="BD178" s="52">
        <v>7.77</v>
      </c>
      <c r="BE178" s="52">
        <v>7.7</v>
      </c>
      <c r="BF178" s="52">
        <v>7.22</v>
      </c>
      <c r="BG178" s="67">
        <v>7.18</v>
      </c>
      <c r="BH178" s="52">
        <v>7.13</v>
      </c>
      <c r="BI178" s="52">
        <v>6.82</v>
      </c>
      <c r="BJ178" s="52">
        <v>6.92</v>
      </c>
      <c r="BK178" s="52">
        <v>6.35</v>
      </c>
      <c r="BL178" s="52">
        <v>5.75</v>
      </c>
      <c r="BM178" s="52">
        <v>5.21</v>
      </c>
      <c r="BN178" s="52">
        <v>4.9000000000000004</v>
      </c>
      <c r="BO178" s="52">
        <v>4.5999999999999996</v>
      </c>
      <c r="BP178" s="52" cm="1">
        <f t="array" aca="1" ref="BP178" ca="1">_FV(ED178,"Preço")</f>
        <v>4.6900000000000004</v>
      </c>
      <c r="BQ178" s="69" t="s">
        <v>174</v>
      </c>
      <c r="BR178" s="36" cm="1">
        <f t="array" aca="1" ref="BR178" ca="1">_FV(ED178,"Média de volume",TRUE)</f>
        <v>361070</v>
      </c>
      <c r="BS178" s="36">
        <v>520400</v>
      </c>
      <c r="BT178" s="36" cm="1">
        <f t="array" aca="1" ref="BT178" ca="1">_FV(ED178,"Volume")</f>
        <v>288800</v>
      </c>
      <c r="BU178" s="24" cm="1">
        <f t="array" aca="1" ref="BU178" ca="1">_FV(ED178,"Beta")</f>
        <v>1.2588999999999999</v>
      </c>
      <c r="BV178" s="71" cm="1">
        <f t="array" aca="1" ref="BV178" ca="1">_FV(ED178,"Variação (%)",TRUE)</f>
        <v>-1.4705999999999999E-2</v>
      </c>
      <c r="BX178" s="17" cm="1">
        <f t="array" aca="1" ref="BX178" ca="1">_FV(ED178,"Baixo")</f>
        <v>4.63</v>
      </c>
      <c r="BY178" s="17" cm="1">
        <f t="array" aca="1" ref="BY178" ca="1">_FV(ED178,"Alto")</f>
        <v>4.75</v>
      </c>
      <c r="BZ178" s="24"/>
      <c r="CA178" s="63">
        <f ca="1">SQRT(22.5*(BP178/VLOOKUP(BQ178,Fundamentus!A:U,3,FALSE))*(BP178/VLOOKUP(BQ178,Fundamentus!A:U,4,FALSE)))</f>
        <v>9.4180842031736329</v>
      </c>
      <c r="CC178" s="62">
        <f t="shared" ca="1" si="168"/>
        <v>1.9565217391304512E-2</v>
      </c>
      <c r="CD178" s="8"/>
      <c r="CE178" s="61">
        <f t="shared" si="169"/>
        <v>4.5999999999999996</v>
      </c>
      <c r="CF178" s="61">
        <f t="shared" si="170"/>
        <v>12.53</v>
      </c>
      <c r="CG178" s="61">
        <f t="shared" si="171"/>
        <v>9.1699253731343315</v>
      </c>
      <c r="CH178" s="14"/>
      <c r="CI178" s="35">
        <f t="shared" si="154"/>
        <v>2.9279619091620921</v>
      </c>
      <c r="CJ178" s="15">
        <f t="shared" si="172"/>
        <v>4.1749999999997272</v>
      </c>
      <c r="CK178" s="35">
        <f t="shared" si="155"/>
        <v>5.4220380908373622</v>
      </c>
      <c r="CM178" s="14"/>
      <c r="CN178" s="17">
        <f t="shared" si="156"/>
        <v>-5.9733333333333345</v>
      </c>
      <c r="CO178" s="17">
        <f t="shared" si="157"/>
        <v>-0.68666666666666742</v>
      </c>
      <c r="CP178" s="17">
        <f t="shared" si="158"/>
        <v>1.9566666666666652</v>
      </c>
      <c r="CQ178" s="38">
        <f t="shared" si="173"/>
        <v>7.2433333333333323</v>
      </c>
      <c r="CR178" s="17">
        <f t="shared" si="159"/>
        <v>9.8866666666666649</v>
      </c>
      <c r="CS178" s="17">
        <f t="shared" si="160"/>
        <v>15.173333333333332</v>
      </c>
      <c r="CT178" s="17">
        <f t="shared" si="161"/>
        <v>17.816666666666663</v>
      </c>
      <c r="CU178" s="2" cm="1">
        <f t="array" aca="1" ref="CU178" ca="1">MAX(_xlfn._xlws.FILTER(CN178:CT178,CN178:CT178&lt;BP178))</f>
        <v>1.9566666666666652</v>
      </c>
      <c r="CV178" s="2" cm="1">
        <f t="array" aca="1" ref="CV178" ca="1">MIN(_xlfn._xlws.FILTER($CN178:$CT178,$CN178:$CT178&gt;BP178))</f>
        <v>7.2433333333333323</v>
      </c>
      <c r="CW178" s="16">
        <f t="shared" ca="1" si="175"/>
        <v>2.7018739352640568</v>
      </c>
      <c r="CX178" s="20">
        <f t="shared" ca="1" si="176"/>
        <v>-1.3509369676320284</v>
      </c>
      <c r="CY178" s="20">
        <f t="shared" ca="1" si="177"/>
        <v>-0.90062464508801898</v>
      </c>
      <c r="CZ178" s="20">
        <f t="shared" ca="1" si="178"/>
        <v>-0.54037478705281139</v>
      </c>
      <c r="DA178" s="20">
        <f t="shared" ca="1" si="179"/>
        <v>-0.30020821502933964</v>
      </c>
      <c r="DB178" s="20">
        <f t="shared" ca="1" si="180"/>
        <v>-0.15893376089788569</v>
      </c>
      <c r="DC178" s="20">
        <f t="shared" ca="1" si="181"/>
        <v>-8.1874967735274445E-2</v>
      </c>
      <c r="DD178" s="20">
        <f t="shared" ca="1" si="182"/>
        <v>-4.1567291311754719E-2</v>
      </c>
      <c r="DE178" s="21">
        <f t="shared" ca="1" si="183"/>
        <v>4.1567291311754719E-2</v>
      </c>
      <c r="DF178" s="21">
        <f t="shared" ca="1" si="184"/>
        <v>8.1874967735274445E-2</v>
      </c>
      <c r="DG178" s="21">
        <f t="shared" ca="1" si="185"/>
        <v>0.15893376089788569</v>
      </c>
      <c r="DH178" s="21">
        <f t="shared" ca="1" si="186"/>
        <v>0.30020821502933964</v>
      </c>
      <c r="DI178" s="21">
        <f t="shared" ca="1" si="187"/>
        <v>0.54037478705281139</v>
      </c>
      <c r="DJ178" s="21">
        <f t="shared" ca="1" si="188"/>
        <v>0.90062464508801898</v>
      </c>
      <c r="DK178" s="21">
        <f t="shared" ca="1" si="189"/>
        <v>1.3509369676320284</v>
      </c>
      <c r="DM178" s="16" cm="1">
        <f t="array" aca="1" ref="DM178" ca="1">MAX(_xlfn._xlws.FILTER(CX178:DK178,CX178:DK178&lt;BV178))</f>
        <v>-4.1567291311754719E-2</v>
      </c>
      <c r="DN178" s="16" cm="1">
        <f t="array" aca="1" ref="DN178" ca="1">MIN(_xlfn._xlws.FILTER(CX178:DK178,CX178:DK178&gt;BV178))</f>
        <v>4.1567291311754719E-2</v>
      </c>
      <c r="DO178" s="2" cm="1">
        <f t="array" aca="1" ref="DO178" ca="1">_FV(ED178,"Fechamento anterior",TRUE)</f>
        <v>4.76</v>
      </c>
      <c r="DP178" s="28">
        <f t="shared" ca="1" si="162"/>
        <v>0.32310752169720508</v>
      </c>
      <c r="DQ178" s="15">
        <f t="shared" ca="1" si="190"/>
        <v>4.5621396933560474</v>
      </c>
      <c r="DR178" s="15">
        <f t="shared" ca="1" si="191"/>
        <v>4.9578603066439522</v>
      </c>
      <c r="DS178" s="9"/>
      <c r="DT178" s="9"/>
      <c r="DU178" s="9"/>
      <c r="DV178" s="89">
        <v>4.0307676423519727E-2</v>
      </c>
      <c r="DW178" s="89">
        <f t="shared" ca="1" si="163"/>
        <v>8.3134582623509437E-2</v>
      </c>
      <c r="DX178" s="72">
        <f t="shared" ca="1" si="164"/>
        <v>0.41297856399426253</v>
      </c>
      <c r="DY178" s="37"/>
      <c r="DZ178" s="35">
        <f t="shared" si="174"/>
        <v>0.62351904541881753</v>
      </c>
      <c r="EA178" s="56"/>
      <c r="EB178" s="56"/>
      <c r="ED178" s="2" t="e" vm="180">
        <v>#VALUE!</v>
      </c>
      <c r="EF178" s="10" cm="1">
        <f t="array" aca="1" ref="EF178" ca="1">_FV(ED178,"Ações em circulação",TRUE)</f>
        <v>139297900</v>
      </c>
      <c r="EG178" s="18">
        <f>VLOOKUP(BQ178,Fundamentus!A:U,5,FALSE)</f>
        <v>0.46700000000000003</v>
      </c>
      <c r="EH178" s="2">
        <f t="shared" ca="1" si="165"/>
        <v>1398944648.8222697</v>
      </c>
      <c r="EI178" s="17">
        <v>66546812.612419695</v>
      </c>
      <c r="EJ178" s="17">
        <f t="shared" ca="1" si="166"/>
        <v>67848815.467880085</v>
      </c>
      <c r="EL178" s="16">
        <f t="shared" ca="1" si="153"/>
        <v>1.9565217391304346E-2</v>
      </c>
      <c r="EM178" s="32" t="str">
        <f>IF(VLOOKUP(BQ178,Fundamentus!A:U,3,FALSE)&lt;15,"Bom",IF(VLOOKUP(BQ178,Fundamentus!A:U,3,FALSE)&gt;15,"Ruim","n/a"))</f>
        <v>Bom</v>
      </c>
      <c r="EN178" s="28" t="str">
        <f>IF(VLOOKUP(BQ178,Fundamentus!A:U,4,FALSE)&lt;1,"Baixo",IF(VLOOKUP(BQ178,Fundamentus!A:U,4,FALSE)&lt;1.5,"Moderado",IF(VLOOKUP(BQ178,Fundamentus!A:U,4,FALSE)&gt;1.5,"Alto","n/a")))</f>
        <v>Baixo</v>
      </c>
      <c r="EO178" s="17" t="str">
        <f>IF(VLOOKUP(BQ178,Fundamentus!A:U,8,FALSE)&lt;0,"Risco elevado",IF(VLOOKUP(BQ178,Fundamentus!A:U,8,FALSE)&lt;1,"Saudável",IF(VLOOKUP(BQ178,Fundamentus!A:U,8,FALSE)&lt;3,"Estável",IF(VLOOKUP(BQ178,Fundamentus!A:U,8,FALSE)&gt;3,"Alerta","n/a"))))</f>
        <v>Estável</v>
      </c>
      <c r="EP178" s="28" t="str">
        <f t="shared" si="167"/>
        <v>Ruim</v>
      </c>
      <c r="EQ178" s="17" t="str">
        <f>IF(VLOOKUP(BQ178,Fundamentus!A:U,12,FALSE)&lt;2,"Subvalorizada",IF(VLOOKUP(BQ178,Fundamentus!A:U,12,FALSE)&lt;6,"Muita barata",IF(VLOOKUP(BQ178,Fundamentus!A:U,12,FALSE)&lt;6,"Barata",IF(VLOOKUP(BQ178,Fundamentus!A:U,12,FALSE)&lt;8,"Atrativa",IF(VLOOKUP(BQ178,Fundamentus!A:U,12,FALSE)&gt;8,"Supervalorizada","n/a")))))</f>
        <v>Supervalorizada</v>
      </c>
      <c r="ES178" s="17" t="str">
        <f>IF(VLOOKUP(BQ178,Fundamentus!A:U,17,FALSE)&lt;0.1,"Fraco retorno",IF(VLOOKUP(BQ178,Fundamentus!A:U,17,FALSE)&gt;0.1,"Bom retorno","n/a"))</f>
        <v>Fraco retorno</v>
      </c>
      <c r="ET178" s="17" t="str">
        <f>IF(VLOOKUP(BQ178,Fundamentus!A:U,16,FALSE)&lt;0.1,"Ineficiente",IF(VLOOKUP(BQ178,Fundamentus!A:U,16,FALSE)&gt;0.1,"Eficiente","n/a"))</f>
        <v>Ineficiente</v>
      </c>
      <c r="EU178" s="33" t="str">
        <f>IF(VLOOKUP(BQ178,Fundamentus!A:U,16,FALSE)&lt;0.1,"Oper. Ineficiente",IF(VLOOKUP(BQ178,Fundamentus!A:U,16,FALSE)&gt;0.1,"Oper.Eficiente","n/a"))</f>
        <v>Oper. Ineficiente</v>
      </c>
      <c r="EV178" s="34">
        <f>VLOOKUP(BQ178,Fundamentus!A:U,14,FALSE)</f>
        <v>4.8500000000000001E-2</v>
      </c>
      <c r="EW178" s="17" t="str">
        <f>IF(VLOOKUP(BQ178,Fundamentus!A:U,21,FALSE)&lt;0,"Negativo",IF(VLOOKUP(BQ178,Fundamentus!A:U,21,FALSE)&lt;0.05,"Fraco",IF(VLOOKUP(BQ178,Fundamentus!A:U,21,FALSE)&lt;0.1,"Bom",IF(VLOOKUP(BQ178,Fundamentus!A:U,21,FALSE)&gt;0.1,"Muito bom","n/a"))))</f>
        <v>Negativo</v>
      </c>
      <c r="EY178" s="29" t="str">
        <f>IF(VLOOKUP(BQ178,Fundamentus!A:U,15,FALSE)&gt;1,"Bom",IF(VLOOKUP(BQ178,Fundamentus!A:U,15,FALSE)&lt;1,"Ruim","n/a"))</f>
        <v>Bom</v>
      </c>
      <c r="EZ178" s="17" t="str">
        <f>IF(VLOOKUP(BQ178,Fundamentus!A:U,20,FALSE)&lt;0.5,"Baixa",IF(VLOOKUP(BQ178,Fundamentus!A:U,20,FALSE)&lt;1,"Moderada",IF(VLOOKUP(BQ178,Fundamentus!A:U,20,FALSE)&lt;2,"Alerta",IF(VLOOKUP(BQ178,Fundamentus!A:U,20,FALSE)&gt;2,"Alta","n/a"))))</f>
        <v>Moderada</v>
      </c>
      <c r="FA178" s="10"/>
    </row>
    <row r="179" spans="1:157" s="2" customFormat="1" ht="11.25" hidden="1" x14ac:dyDescent="0.2">
      <c r="A179" s="4">
        <v>6.29</v>
      </c>
      <c r="B179" s="4">
        <v>6.2</v>
      </c>
      <c r="C179" s="4">
        <v>6.1</v>
      </c>
      <c r="D179" s="4">
        <v>6.11</v>
      </c>
      <c r="E179" s="4">
        <v>6.08</v>
      </c>
      <c r="F179" s="4">
        <v>5.73</v>
      </c>
      <c r="G179" s="4">
        <v>5.85</v>
      </c>
      <c r="H179" s="4">
        <v>6.15</v>
      </c>
      <c r="I179" s="4">
        <v>6.19</v>
      </c>
      <c r="J179" s="4">
        <v>6.21</v>
      </c>
      <c r="K179" s="4">
        <v>5.99</v>
      </c>
      <c r="L179" s="4">
        <v>5.92</v>
      </c>
      <c r="M179" s="4">
        <v>5.74</v>
      </c>
      <c r="N179" s="4">
        <v>5.89</v>
      </c>
      <c r="O179" s="4">
        <v>5.4</v>
      </c>
      <c r="P179" s="4">
        <v>5.81</v>
      </c>
      <c r="Q179" s="4">
        <v>5.41</v>
      </c>
      <c r="R179" s="4">
        <v>5.71</v>
      </c>
      <c r="S179" s="4">
        <v>5.75</v>
      </c>
      <c r="T179" s="4">
        <v>5.8</v>
      </c>
      <c r="U179" s="4">
        <v>5.44</v>
      </c>
      <c r="V179" s="4">
        <v>5.59</v>
      </c>
      <c r="W179" s="4">
        <v>5.48</v>
      </c>
      <c r="X179" s="4">
        <v>5.14</v>
      </c>
      <c r="Y179" s="4">
        <v>5.14</v>
      </c>
      <c r="Z179" s="4">
        <v>4.97</v>
      </c>
      <c r="AA179" s="4">
        <v>5.07</v>
      </c>
      <c r="AB179" s="4">
        <v>5.16</v>
      </c>
      <c r="AC179" s="4">
        <v>4.7300000000000004</v>
      </c>
      <c r="AD179" s="4">
        <v>4.68</v>
      </c>
      <c r="AE179" s="4">
        <v>4.59</v>
      </c>
      <c r="AF179" s="4">
        <v>4.1500000000000004</v>
      </c>
      <c r="AG179" s="4">
        <v>4.08</v>
      </c>
      <c r="AH179" s="4">
        <v>3.75</v>
      </c>
      <c r="AI179" s="4">
        <v>3.87</v>
      </c>
      <c r="AJ179" s="4">
        <v>3.77</v>
      </c>
      <c r="AK179" s="4">
        <v>3.86</v>
      </c>
      <c r="AL179" s="4">
        <v>3.45</v>
      </c>
      <c r="AM179" s="4">
        <v>3.52</v>
      </c>
      <c r="AN179" s="4">
        <v>4.3899999999999997</v>
      </c>
      <c r="AO179" s="4">
        <v>4.1500000000000004</v>
      </c>
      <c r="AP179" s="4">
        <v>4</v>
      </c>
      <c r="AQ179" s="4">
        <v>4.3</v>
      </c>
      <c r="AR179" s="4">
        <v>4.0599999999999996</v>
      </c>
      <c r="AS179" s="4">
        <v>4.5</v>
      </c>
      <c r="AT179" s="4">
        <v>4.8</v>
      </c>
      <c r="AU179" s="4">
        <v>4.2750000000000004</v>
      </c>
      <c r="AV179" s="4">
        <v>4.6500000000000004</v>
      </c>
      <c r="AW179" s="4">
        <v>4.3499999999999996</v>
      </c>
      <c r="AX179" s="4">
        <v>4.4400000000000004</v>
      </c>
      <c r="AY179" s="12">
        <v>4.7</v>
      </c>
      <c r="AZ179" s="12">
        <v>4.54</v>
      </c>
      <c r="BA179" s="12">
        <v>4.57</v>
      </c>
      <c r="BB179" s="15">
        <v>4.38</v>
      </c>
      <c r="BC179" s="52">
        <v>4.34</v>
      </c>
      <c r="BD179" s="52">
        <v>4.59</v>
      </c>
      <c r="BE179" s="52">
        <v>4.46</v>
      </c>
      <c r="BF179" s="52">
        <v>4.4800000000000004</v>
      </c>
      <c r="BG179" s="67">
        <v>4.34</v>
      </c>
      <c r="BH179" s="52">
        <v>4.4000000000000004</v>
      </c>
      <c r="BI179" s="52">
        <v>4.12</v>
      </c>
      <c r="BJ179" s="52">
        <v>3.56</v>
      </c>
      <c r="BK179" s="52">
        <v>3.51</v>
      </c>
      <c r="BL179" s="52">
        <v>3.58</v>
      </c>
      <c r="BM179" s="52">
        <v>3.53</v>
      </c>
      <c r="BN179" s="52">
        <v>3.56</v>
      </c>
      <c r="BO179" s="52">
        <v>3.37</v>
      </c>
      <c r="BP179" s="52" cm="1">
        <f t="array" aca="1" ref="BP179" ca="1">_FV(ED179,"Preço")</f>
        <v>3.53</v>
      </c>
      <c r="BQ179" s="69" t="s">
        <v>175</v>
      </c>
      <c r="BR179" s="36" cm="1">
        <f t="array" aca="1" ref="BR179" ca="1">_FV(ED179,"Média de volume",TRUE)</f>
        <v>950</v>
      </c>
      <c r="BS179" s="36">
        <v>500</v>
      </c>
      <c r="BT179" s="36" cm="1">
        <f t="array" aca="1" ref="BT179" ca="1">_FV(ED179,"Volume")</f>
        <v>100</v>
      </c>
      <c r="BU179" s="24" cm="1">
        <f t="array" aca="1" ref="BU179" ca="1">_FV(ED179,"Beta")</f>
        <v>0.45500000000000002</v>
      </c>
      <c r="BV179" s="71" cm="1">
        <f t="array" aca="1" ref="BV179" ca="1">_FV(ED179,"Variação (%)",TRUE)</f>
        <v>5.6979999999999999E-3</v>
      </c>
      <c r="BX179" s="17" cm="1">
        <f t="array" aca="1" ref="BX179" ca="1">_FV(ED179,"Baixo")</f>
        <v>3.53</v>
      </c>
      <c r="BY179" s="17" cm="1">
        <f t="array" aca="1" ref="BY179" ca="1">_FV(ED179,"Alto")</f>
        <v>3.53</v>
      </c>
      <c r="BZ179" s="24"/>
      <c r="CA179" s="63">
        <f ca="1">SQRT(22.5*(BP179/VLOOKUP(BQ179,Fundamentus!A:U,3,FALSE))*(BP179/VLOOKUP(BQ179,Fundamentus!A:U,4,FALSE)))</f>
        <v>207.68698711133689</v>
      </c>
      <c r="CC179" s="62">
        <f t="shared" ca="1" si="168"/>
        <v>4.7477744807121573E-2</v>
      </c>
      <c r="CD179" s="8"/>
      <c r="CE179" s="61">
        <f t="shared" si="169"/>
        <v>3.37</v>
      </c>
      <c r="CF179" s="61">
        <f t="shared" si="170"/>
        <v>6.29</v>
      </c>
      <c r="CG179" s="61">
        <f t="shared" si="171"/>
        <v>4.8166417910447743</v>
      </c>
      <c r="CH179" s="14"/>
      <c r="CI179" s="35">
        <f t="shared" si="154"/>
        <v>3.2119459558134396</v>
      </c>
      <c r="CJ179" s="15">
        <f t="shared" si="172"/>
        <v>3.3600000000000136</v>
      </c>
      <c r="CK179" s="35">
        <f t="shared" si="155"/>
        <v>3.5080540441865877</v>
      </c>
      <c r="CM179" s="14"/>
      <c r="CN179" s="17">
        <f t="shared" si="156"/>
        <v>-0.52333333333333254</v>
      </c>
      <c r="CO179" s="17">
        <f t="shared" si="157"/>
        <v>1.4233333333333338</v>
      </c>
      <c r="CP179" s="17">
        <f t="shared" si="158"/>
        <v>2.3966666666666674</v>
      </c>
      <c r="CQ179" s="38">
        <f t="shared" si="173"/>
        <v>4.3433333333333337</v>
      </c>
      <c r="CR179" s="17">
        <f t="shared" si="159"/>
        <v>5.3166666666666673</v>
      </c>
      <c r="CS179" s="17">
        <f t="shared" si="160"/>
        <v>7.2633333333333336</v>
      </c>
      <c r="CT179" s="17">
        <f t="shared" si="161"/>
        <v>8.2366666666666681</v>
      </c>
      <c r="CU179" s="2" cm="1">
        <f t="array" aca="1" ref="CU179" ca="1">MAX(_xlfn._xlws.FILTER(CN179:CT179,CN179:CT179&lt;BP179))</f>
        <v>2.3966666666666674</v>
      </c>
      <c r="CV179" s="2" cm="1">
        <f t="array" aca="1" ref="CV179" ca="1">MIN(_xlfn._xlws.FILTER($CN179:$CT179,$CN179:$CT179&gt;BP179))</f>
        <v>4.3433333333333337</v>
      </c>
      <c r="CW179" s="16">
        <f t="shared" ref="CW179:CW186" ca="1" si="192">(CV179/CU179)-1</f>
        <v>0.81223922114047253</v>
      </c>
      <c r="CX179" s="20">
        <f t="shared" ref="CX179:CX186" ca="1" si="193">-$CW179/2</f>
        <v>-0.40611961057023627</v>
      </c>
      <c r="CY179" s="20">
        <f t="shared" ref="CY179:CY186" ca="1" si="194">-$CW179/3</f>
        <v>-0.27074640704682418</v>
      </c>
      <c r="CZ179" s="20">
        <f t="shared" ref="CZ179:CZ186" ca="1" si="195">-$CW179/5</f>
        <v>-0.1624478442280945</v>
      </c>
      <c r="DA179" s="20">
        <f t="shared" ref="DA179:DA186" ca="1" si="196">-$CW179/9</f>
        <v>-9.0248802348941393E-2</v>
      </c>
      <c r="DB179" s="20">
        <f t="shared" ref="DB179:DB186" ca="1" si="197">-$CW179/17</f>
        <v>-4.7778777714145446E-2</v>
      </c>
      <c r="DC179" s="20">
        <f t="shared" ref="DC179:DC186" ca="1" si="198">-$CW179/33</f>
        <v>-2.4613309731529472E-2</v>
      </c>
      <c r="DD179" s="20">
        <f t="shared" ref="DD179:DD186" ca="1" si="199">-$CW179/65</f>
        <v>-1.2495988017545732E-2</v>
      </c>
      <c r="DE179" s="21">
        <f t="shared" ref="DE179:DE186" ca="1" si="200">-$CW179/65*-1</f>
        <v>1.2495988017545732E-2</v>
      </c>
      <c r="DF179" s="21">
        <f t="shared" ref="DF179:DF186" ca="1" si="201">-$CW179/33*-1</f>
        <v>2.4613309731529472E-2</v>
      </c>
      <c r="DG179" s="21">
        <f t="shared" ref="DG179:DG186" ca="1" si="202">-$CW179/17*-1</f>
        <v>4.7778777714145446E-2</v>
      </c>
      <c r="DH179" s="21">
        <f t="shared" ref="DH179:DH186" ca="1" si="203">-$CW179/9*-1</f>
        <v>9.0248802348941393E-2</v>
      </c>
      <c r="DI179" s="21">
        <f t="shared" ref="DI179:DI186" ca="1" si="204">-$CW179/5*-1</f>
        <v>0.1624478442280945</v>
      </c>
      <c r="DJ179" s="21">
        <f t="shared" ref="DJ179:DJ186" ca="1" si="205">-$CW179/3*-1</f>
        <v>0.27074640704682418</v>
      </c>
      <c r="DK179" s="21">
        <f t="shared" ref="DK179:DK186" ca="1" si="206">-$CW179/2*-1</f>
        <v>0.40611961057023627</v>
      </c>
      <c r="DM179" s="16" cm="1">
        <f t="array" aca="1" ref="DM179" ca="1">MAX(_xlfn._xlws.FILTER(CX179:DK179,CX179:DK179&lt;BV179))</f>
        <v>-1.2495988017545732E-2</v>
      </c>
      <c r="DN179" s="16" cm="1">
        <f t="array" aca="1" ref="DN179" ca="1">MIN(_xlfn._xlws.FILTER(CX179:DK179,CX179:DK179&gt;BV179))</f>
        <v>1.2495988017545732E-2</v>
      </c>
      <c r="DO179" s="2" cm="1">
        <f t="array" aca="1" ref="DO179" ca="1">_FV(ED179,"Fechamento anterior",TRUE)</f>
        <v>3.51</v>
      </c>
      <c r="DP179" s="28">
        <f t="shared" ca="1" si="162"/>
        <v>0.7279934043632682</v>
      </c>
      <c r="DQ179" s="15">
        <f t="shared" ref="DQ179:DQ186" ca="1" si="207">DO179+(DO179*DM179)</f>
        <v>3.4661390820584144</v>
      </c>
      <c r="DR179" s="15">
        <f t="shared" ref="DR179:DR186" ca="1" si="208">DO179+(DO179*DN179)</f>
        <v>3.5538609179415852</v>
      </c>
      <c r="DS179" s="9"/>
      <c r="DT179" s="9"/>
      <c r="DU179" s="9"/>
      <c r="DV179" s="89">
        <v>2.4991976035091464E-2</v>
      </c>
      <c r="DW179" s="89">
        <f t="shared" ca="1" si="163"/>
        <v>2.4991976035091464E-2</v>
      </c>
      <c r="DX179" s="72">
        <f t="shared" ca="1" si="164"/>
        <v>1.1482293572862914</v>
      </c>
      <c r="DY179" s="37"/>
      <c r="DZ179" s="35">
        <f t="shared" si="174"/>
        <v>7.4027022093286959E-2</v>
      </c>
      <c r="EA179" s="56"/>
      <c r="EB179" s="56"/>
      <c r="ED179" s="2" t="e" vm="181">
        <v>#VALUE!</v>
      </c>
      <c r="EF179" s="10" cm="1">
        <f t="array" aca="1" ref="EF179" ca="1">_FV(ED179,"Ações em circulação",TRUE)</f>
        <v>7716400</v>
      </c>
      <c r="EG179" s="18">
        <f>VLOOKUP(BQ179,Fundamentus!A:U,5,FALSE)</f>
        <v>2.8000000000000001E-2</v>
      </c>
      <c r="EH179" s="2">
        <f t="shared" ca="1" si="165"/>
        <v>972817571.42857146</v>
      </c>
      <c r="EI179" s="17">
        <v>-38727784.842857137</v>
      </c>
      <c r="EJ179" s="17">
        <f t="shared" ca="1" si="166"/>
        <v>-40566492.72857143</v>
      </c>
      <c r="EL179" s="16">
        <f t="shared" ca="1" si="153"/>
        <v>4.7477744807121747E-2</v>
      </c>
      <c r="EM179" s="39" t="str">
        <f>IF(VLOOKUP(BQ179,Fundamentus!A:U,3,FALSE)&lt;15,"Bom",IF(VLOOKUP(BQ179,Fundamentus!A:U,3,FALSE)&gt;15,"Ruim","n/a"))</f>
        <v>Bom</v>
      </c>
      <c r="EN179" s="40" t="str">
        <f>IF(VLOOKUP(BQ179,Fundamentus!A:U,4,FALSE)&lt;1,"Baixo",IF(VLOOKUP(BQ179,Fundamentus!A:U,4,FALSE)&lt;1.5,"Moderado",IF(VLOOKUP(BQ179,Fundamentus!A:U,4,FALSE)&gt;1.5,"Alto","n/a")))</f>
        <v>Baixo</v>
      </c>
      <c r="EO179" s="41" t="str">
        <f>IF(VLOOKUP(BQ179,Fundamentus!A:U,8,FALSE)&lt;0,"Risco elevado",IF(VLOOKUP(BQ179,Fundamentus!A:U,8,FALSE)&lt;1,"Saudável",IF(VLOOKUP(BQ179,Fundamentus!A:U,8,FALSE)&lt;3,"Estável",IF(VLOOKUP(BQ179,Fundamentus!A:U,8,FALSE)&gt;3,"Alerta","n/a"))))</f>
        <v>Risco elevado</v>
      </c>
      <c r="EP179" s="40" t="str">
        <f t="shared" si="167"/>
        <v>Ruim</v>
      </c>
      <c r="EQ179" s="41" t="str">
        <f>IF(VLOOKUP(BQ179,Fundamentus!A:U,12,FALSE)&lt;2,"Subvalorizada",IF(VLOOKUP(BQ179,Fundamentus!A:U,12,FALSE)&lt;6,"Muita barata",IF(VLOOKUP(BQ179,Fundamentus!A:U,12,FALSE)&lt;6,"Barata",IF(VLOOKUP(BQ179,Fundamentus!A:U,12,FALSE)&lt;8,"Atrativa",IF(VLOOKUP(BQ179,Fundamentus!A:U,12,FALSE)&gt;8,"Supervalorizada","n/a")))))</f>
        <v>Muita barata</v>
      </c>
      <c r="ES179" s="41" t="str">
        <f>IF(VLOOKUP(BQ179,Fundamentus!A:U,17,FALSE)&lt;0.1,"Fraco retorno",IF(VLOOKUP(BQ179,Fundamentus!A:U,17,FALSE)&gt;0.1,"Bom retorno","n/a"))</f>
        <v>Fraco retorno</v>
      </c>
      <c r="ET179" s="41" t="str">
        <f>IF(VLOOKUP(BQ179,Fundamentus!A:U,16,FALSE)&lt;0.1,"Ineficiente",IF(VLOOKUP(BQ179,Fundamentus!A:U,16,FALSE)&gt;0.1,"Eficiente","n/a"))</f>
        <v>Ineficiente</v>
      </c>
      <c r="EU179" s="42" t="str">
        <f>IF(VLOOKUP(BQ179,Fundamentus!A:U,16,FALSE)&lt;0.1,"Oper. Ineficiente",IF(VLOOKUP(BQ179,Fundamentus!A:U,16,FALSE)&gt;0.1,"Oper.Eficiente","n/a"))</f>
        <v>Oper. Ineficiente</v>
      </c>
      <c r="EV179" s="43">
        <f>VLOOKUP(BQ179,Fundamentus!A:U,14,FALSE)</f>
        <v>-4.1700000000000001E-2</v>
      </c>
      <c r="EW179" s="41" t="str">
        <f>IF(VLOOKUP(BQ179,Fundamentus!A:U,21,FALSE)&lt;0,"Negativo",IF(VLOOKUP(BQ179,Fundamentus!A:U,21,FALSE)&lt;0.05,"Fraco",IF(VLOOKUP(BQ179,Fundamentus!A:U,21,FALSE)&lt;0.1,"Bom",IF(VLOOKUP(BQ179,Fundamentus!A:U,21,FALSE)&gt;0.1,"Muito bom","n/a"))))</f>
        <v>Muito bom</v>
      </c>
      <c r="EY179" s="44" t="str">
        <f>IF(VLOOKUP(BQ179,Fundamentus!A:U,15,FALSE)&gt;1,"Bom",IF(VLOOKUP(BQ179,Fundamentus!A:U,15,FALSE)&lt;1,"Ruim","n/a"))</f>
        <v>Ruim</v>
      </c>
      <c r="EZ179" s="41" t="str">
        <f>IF(VLOOKUP(BQ179,Fundamentus!A:U,20,FALSE)&lt;0.5,"Baixa",IF(VLOOKUP(BQ179,Fundamentus!A:U,20,FALSE)&lt;1,"Moderada",IF(VLOOKUP(BQ179,Fundamentus!A:U,20,FALSE)&lt;2,"Alerta",IF(VLOOKUP(BQ179,Fundamentus!A:U,20,FALSE)&gt;2,"Alta","n/a"))))</f>
        <v>Baixa</v>
      </c>
      <c r="FA179" s="10"/>
    </row>
    <row r="180" spans="1:157" s="2" customFormat="1" ht="11.25" hidden="1" x14ac:dyDescent="0.2">
      <c r="A180" s="4">
        <v>9.32</v>
      </c>
      <c r="B180" s="4">
        <v>9.27</v>
      </c>
      <c r="C180" s="4">
        <v>8.91</v>
      </c>
      <c r="D180" s="4">
        <v>8.8800000000000008</v>
      </c>
      <c r="E180" s="4">
        <v>8.7899999999999991</v>
      </c>
      <c r="F180" s="4">
        <v>8.41</v>
      </c>
      <c r="G180" s="4">
        <v>7.94</v>
      </c>
      <c r="H180" s="4">
        <v>8.0399999999999991</v>
      </c>
      <c r="I180" s="4">
        <v>8.59</v>
      </c>
      <c r="J180" s="4">
        <v>8.8800000000000008</v>
      </c>
      <c r="K180" s="4">
        <v>9.41</v>
      </c>
      <c r="L180" s="4">
        <v>9.18</v>
      </c>
      <c r="M180" s="4">
        <v>8.99</v>
      </c>
      <c r="N180" s="4">
        <v>9.02</v>
      </c>
      <c r="O180" s="4">
        <v>8.6</v>
      </c>
      <c r="P180" s="4">
        <v>8.5500000000000007</v>
      </c>
      <c r="Q180" s="4">
        <v>8.75</v>
      </c>
      <c r="R180" s="4">
        <v>8.3000000000000007</v>
      </c>
      <c r="S180" s="4">
        <v>8.51</v>
      </c>
      <c r="T180" s="4">
        <v>8.74</v>
      </c>
      <c r="U180" s="4">
        <v>8.2899999999999991</v>
      </c>
      <c r="V180" s="4">
        <v>8</v>
      </c>
      <c r="W180" s="4">
        <v>8.08</v>
      </c>
      <c r="X180" s="4">
        <v>8.1</v>
      </c>
      <c r="Y180" s="4">
        <v>8.0299999999999994</v>
      </c>
      <c r="Z180" s="4">
        <v>8.1300000000000008</v>
      </c>
      <c r="AA180" s="4">
        <v>8.2100000000000009</v>
      </c>
      <c r="AB180" s="4">
        <v>8.85</v>
      </c>
      <c r="AC180" s="4">
        <v>9.17</v>
      </c>
      <c r="AD180" s="4">
        <v>8.44</v>
      </c>
      <c r="AE180" s="4">
        <v>8.06</v>
      </c>
      <c r="AF180" s="4">
        <v>8</v>
      </c>
      <c r="AG180" s="4">
        <v>7.91</v>
      </c>
      <c r="AH180" s="4">
        <v>7.58</v>
      </c>
      <c r="AI180" s="4">
        <v>7.55</v>
      </c>
      <c r="AJ180" s="4">
        <v>7.13</v>
      </c>
      <c r="AK180" s="4">
        <v>7.06</v>
      </c>
      <c r="AL180" s="4">
        <v>7.24</v>
      </c>
      <c r="AM180" s="4">
        <v>7.87</v>
      </c>
      <c r="AN180" s="4">
        <v>8.68</v>
      </c>
      <c r="AO180" s="4">
        <v>8.9600000000000009</v>
      </c>
      <c r="AP180" s="4">
        <v>8.85</v>
      </c>
      <c r="AQ180" s="4">
        <v>8.7799999999999994</v>
      </c>
      <c r="AR180" s="4">
        <v>8.6</v>
      </c>
      <c r="AS180" s="4">
        <v>9.1</v>
      </c>
      <c r="AT180" s="4">
        <v>9.4700000000000006</v>
      </c>
      <c r="AU180" s="4">
        <v>9.58</v>
      </c>
      <c r="AV180" s="4">
        <v>9.5299999999999994</v>
      </c>
      <c r="AW180" s="4">
        <v>9.33</v>
      </c>
      <c r="AX180" s="4">
        <v>9.5399999999999991</v>
      </c>
      <c r="AY180" s="12">
        <v>9.6999999999999993</v>
      </c>
      <c r="AZ180" s="12">
        <v>10.050000000000001</v>
      </c>
      <c r="BA180" s="12">
        <v>10.44</v>
      </c>
      <c r="BB180" s="15">
        <v>10.89</v>
      </c>
      <c r="BC180" s="52">
        <v>10.99</v>
      </c>
      <c r="BD180" s="52">
        <v>11.25</v>
      </c>
      <c r="BE180" s="52">
        <v>11.6</v>
      </c>
      <c r="BF180" s="52">
        <v>11.92</v>
      </c>
      <c r="BG180" s="67">
        <v>11.84</v>
      </c>
      <c r="BH180" s="52">
        <v>12.02</v>
      </c>
      <c r="BI180" s="52">
        <v>12.1</v>
      </c>
      <c r="BJ180" s="52">
        <v>12.61</v>
      </c>
      <c r="BK180" s="52">
        <v>12.65</v>
      </c>
      <c r="BL180" s="52">
        <v>12.07</v>
      </c>
      <c r="BM180" s="52">
        <v>11.87</v>
      </c>
      <c r="BN180" s="52">
        <v>12.39</v>
      </c>
      <c r="BO180" s="52">
        <v>12.54</v>
      </c>
      <c r="BP180" s="52" cm="1">
        <f t="array" aca="1" ref="BP180" ca="1">_FV(ED180,"Preço")</f>
        <v>12.12</v>
      </c>
      <c r="BQ180" s="66" t="s">
        <v>89</v>
      </c>
      <c r="BR180" s="36" cm="1">
        <f t="array" aca="1" ref="BR180" ca="1">_FV(ED180,"Média de volume",TRUE)</f>
        <v>417190</v>
      </c>
      <c r="BS180" s="36">
        <v>753500</v>
      </c>
      <c r="BT180" s="36" cm="1">
        <f t="array" aca="1" ref="BT180" ca="1">_FV(ED180,"Volume")</f>
        <v>512600</v>
      </c>
      <c r="BU180" s="24" cm="1">
        <f t="array" aca="1" ref="BU180" ca="1">_FV(ED180,"Beta")</f>
        <v>1.1553</v>
      </c>
      <c r="BV180" s="71" cm="1">
        <f t="array" aca="1" ref="BV180" ca="1">_FV(ED180,"Variação (%)",TRUE)</f>
        <v>-7.3709999999999999E-3</v>
      </c>
      <c r="BX180" s="17" cm="1">
        <f t="array" aca="1" ref="BX180" ca="1">_FV(ED180,"Baixo")</f>
        <v>11.96</v>
      </c>
      <c r="BY180" s="17" cm="1">
        <f t="array" aca="1" ref="BY180" ca="1">_FV(ED180,"Alto")</f>
        <v>12.7</v>
      </c>
      <c r="BZ180" s="24"/>
      <c r="CA180" s="17">
        <f ca="1">SQRT(22.5*(BP180/VLOOKUP(BQ180,Fundamentus!A:U,3,FALSE))*(BP180/VLOOKUP(BQ180,Fundamentus!A:U,4,FALSE)))</f>
        <v>18.081900569495676</v>
      </c>
      <c r="CC180" s="62">
        <f t="shared" ca="1" si="168"/>
        <v>-3.3492822966507171E-2</v>
      </c>
      <c r="CD180" s="8"/>
      <c r="CE180" s="61">
        <f t="shared" si="169"/>
        <v>7.06</v>
      </c>
      <c r="CF180" s="61">
        <f t="shared" si="170"/>
        <v>12.65</v>
      </c>
      <c r="CG180" s="61">
        <f t="shared" si="171"/>
        <v>9.3153731343283592</v>
      </c>
      <c r="CH180" s="14"/>
      <c r="CI180" s="35">
        <f t="shared" si="154"/>
        <v>12.116274036897268</v>
      </c>
      <c r="CJ180" s="15">
        <f t="shared" si="172"/>
        <v>12.699999999999818</v>
      </c>
      <c r="CK180" s="35">
        <f t="shared" si="155"/>
        <v>13.283725963102368</v>
      </c>
      <c r="CM180" s="14"/>
      <c r="CN180" s="17">
        <f t="shared" si="156"/>
        <v>3.2599999999999989</v>
      </c>
      <c r="CO180" s="17">
        <f t="shared" si="157"/>
        <v>5.1599999999999993</v>
      </c>
      <c r="CP180" s="17">
        <f t="shared" si="158"/>
        <v>8.85</v>
      </c>
      <c r="CQ180" s="38">
        <f t="shared" si="173"/>
        <v>10.75</v>
      </c>
      <c r="CR180" s="17">
        <f t="shared" si="159"/>
        <v>14.440000000000001</v>
      </c>
      <c r="CS180" s="17">
        <f t="shared" si="160"/>
        <v>16.34</v>
      </c>
      <c r="CT180" s="17">
        <f t="shared" si="161"/>
        <v>20.03</v>
      </c>
      <c r="CU180" s="2" cm="1">
        <f t="array" aca="1" ref="CU180" ca="1">MAX(_xlfn._xlws.FILTER(CN180:CT180,CN180:CT180&lt;BP180))</f>
        <v>10.75</v>
      </c>
      <c r="CV180" s="2" cm="1">
        <f t="array" aca="1" ref="CV180" ca="1">MIN(_xlfn._xlws.FILTER($CN180:$CT180,$CN180:$CT180&gt;BP180))</f>
        <v>14.440000000000001</v>
      </c>
      <c r="CW180" s="16">
        <f t="shared" ca="1" si="192"/>
        <v>0.34325581395348848</v>
      </c>
      <c r="CX180" s="20">
        <f t="shared" ca="1" si="193"/>
        <v>-0.17162790697674424</v>
      </c>
      <c r="CY180" s="20">
        <f t="shared" ca="1" si="194"/>
        <v>-0.11441860465116283</v>
      </c>
      <c r="CZ180" s="20">
        <f t="shared" ca="1" si="195"/>
        <v>-6.865116279069769E-2</v>
      </c>
      <c r="DA180" s="20">
        <f t="shared" ca="1" si="196"/>
        <v>-3.8139534883720939E-2</v>
      </c>
      <c r="DB180" s="20">
        <f t="shared" ca="1" si="197"/>
        <v>-2.0191518467852262E-2</v>
      </c>
      <c r="DC180" s="20">
        <f t="shared" ca="1" si="198"/>
        <v>-1.0401691331923894E-2</v>
      </c>
      <c r="DD180" s="20">
        <f t="shared" ca="1" si="199"/>
        <v>-5.2808586762075147E-3</v>
      </c>
      <c r="DE180" s="21">
        <f t="shared" ca="1" si="200"/>
        <v>5.2808586762075147E-3</v>
      </c>
      <c r="DF180" s="21">
        <f t="shared" ca="1" si="201"/>
        <v>1.0401691331923894E-2</v>
      </c>
      <c r="DG180" s="21">
        <f t="shared" ca="1" si="202"/>
        <v>2.0191518467852262E-2</v>
      </c>
      <c r="DH180" s="21">
        <f t="shared" ca="1" si="203"/>
        <v>3.8139534883720939E-2</v>
      </c>
      <c r="DI180" s="21">
        <f t="shared" ca="1" si="204"/>
        <v>6.865116279069769E-2</v>
      </c>
      <c r="DJ180" s="21">
        <f t="shared" ca="1" si="205"/>
        <v>0.11441860465116283</v>
      </c>
      <c r="DK180" s="21">
        <f t="shared" ca="1" si="206"/>
        <v>0.17162790697674424</v>
      </c>
      <c r="DM180" s="16" cm="1">
        <f t="array" aca="1" ref="DM180" ca="1">MAX(_xlfn._xlws.FILTER(CX180:DK180,CX180:DK180&lt;BV180))</f>
        <v>-1.0401691331923894E-2</v>
      </c>
      <c r="DN180" s="16" cm="1">
        <f t="array" aca="1" ref="DN180" ca="1">MIN(_xlfn._xlws.FILTER(CX180:DK180,CX180:DK180&gt;BV180))</f>
        <v>-5.2808586762075147E-3</v>
      </c>
      <c r="DO180" s="2" cm="1">
        <f t="array" aca="1" ref="DO180" ca="1">_FV(ED180,"Fechamento anterior",TRUE)</f>
        <v>12.21</v>
      </c>
      <c r="DP180" s="28">
        <f t="shared" ca="1" si="162"/>
        <v>0.59183421226102073</v>
      </c>
      <c r="DQ180" s="15">
        <f t="shared" ca="1" si="207"/>
        <v>12.08299534883721</v>
      </c>
      <c r="DR180" s="15">
        <f t="shared" ca="1" si="208"/>
        <v>12.145520715563507</v>
      </c>
      <c r="DS180" s="9"/>
      <c r="DT180" s="9"/>
      <c r="DU180" s="9"/>
      <c r="DV180" s="89">
        <v>9.7898271359283685E-3</v>
      </c>
      <c r="DW180" s="89">
        <f t="shared" ca="1" si="163"/>
        <v>5.1208326557163793E-3</v>
      </c>
      <c r="DX180" s="75">
        <f t="shared" ca="1" si="164"/>
        <v>-0.99361693099459325</v>
      </c>
      <c r="DY180" s="37"/>
      <c r="DZ180" s="35">
        <f t="shared" si="174"/>
        <v>0.29186298155127532</v>
      </c>
      <c r="EA180" s="56"/>
      <c r="EB180" s="56"/>
      <c r="ED180" s="2" t="e" vm="182">
        <v>#VALUE!</v>
      </c>
      <c r="EF180" s="10" cm="1">
        <f t="array" aca="1" ref="EF180" ca="1">_FV(ED180,"Ações em circulação",TRUE)</f>
        <v>195434400</v>
      </c>
      <c r="EG180" s="18">
        <f>VLOOKUP(BQ180,Fundamentus!A:U,5,FALSE)</f>
        <v>1.4570000000000001</v>
      </c>
      <c r="EH180" s="2">
        <f t="shared" ca="1" si="165"/>
        <v>1625713746.0535345</v>
      </c>
      <c r="EI180" s="17">
        <v>438342324.08071375</v>
      </c>
      <c r="EJ180" s="17">
        <f t="shared" ca="1" si="166"/>
        <v>423661002.22155106</v>
      </c>
      <c r="EL180" s="16">
        <f t="shared" ca="1" si="153"/>
        <v>-3.3492822966507241E-2</v>
      </c>
      <c r="EM180" s="32" t="str">
        <f>IF(VLOOKUP(BQ180,Fundamentus!A:U,3,FALSE)&lt;15,"Bom",IF(VLOOKUP(BQ180,Fundamentus!A:U,3,FALSE)&gt;15,"Ruim","n/a"))</f>
        <v>Bom</v>
      </c>
      <c r="EN180" s="28" t="str">
        <f>IF(VLOOKUP(BQ180,Fundamentus!A:U,4,FALSE)&lt;1,"Baixo",IF(VLOOKUP(BQ180,Fundamentus!A:U,4,FALSE)&lt;1.5,"Moderado",IF(VLOOKUP(BQ180,Fundamentus!A:U,4,FALSE)&gt;1.5,"Alto","n/a")))</f>
        <v>Alto</v>
      </c>
      <c r="EO180" s="17" t="str">
        <f>IF(VLOOKUP(BQ180,Fundamentus!A:U,8,FALSE)&lt;0,"Risco elevado",IF(VLOOKUP(BQ180,Fundamentus!A:U,8,FALSE)&lt;1,"Saudável",IF(VLOOKUP(BQ180,Fundamentus!A:U,8,FALSE)&lt;3,"Estável",IF(VLOOKUP(BQ180,Fundamentus!A:U,8,FALSE)&gt;3,"Alerta","n/a"))))</f>
        <v>Estável</v>
      </c>
      <c r="EP180" s="28" t="str">
        <f t="shared" si="167"/>
        <v>Bom</v>
      </c>
      <c r="EQ180" s="17" t="str">
        <f>IF(VLOOKUP(BQ180,Fundamentus!A:U,12,FALSE)&lt;2,"Subvalorizada",IF(VLOOKUP(BQ180,Fundamentus!A:U,12,FALSE)&lt;6,"Muita barata",IF(VLOOKUP(BQ180,Fundamentus!A:U,12,FALSE)&lt;6,"Barata",IF(VLOOKUP(BQ180,Fundamentus!A:U,12,FALSE)&lt;8,"Atrativa",IF(VLOOKUP(BQ180,Fundamentus!A:U,12,FALSE)&gt;8,"Supervalorizada","n/a")))))</f>
        <v>Atrativa</v>
      </c>
      <c r="ES180" s="17" t="str">
        <f>IF(VLOOKUP(BQ180,Fundamentus!A:U,17,FALSE)&lt;0.1,"Fraco retorno",IF(VLOOKUP(BQ180,Fundamentus!A:U,17,FALSE)&gt;0.1,"Bom retorno","n/a"))</f>
        <v>Bom retorno</v>
      </c>
      <c r="ET180" s="17" t="str">
        <f>IF(VLOOKUP(BQ180,Fundamentus!A:U,16,FALSE)&lt;0.1,"Ineficiente",IF(VLOOKUP(BQ180,Fundamentus!A:U,16,FALSE)&gt;0.1,"Eficiente","n/a"))</f>
        <v>Eficiente</v>
      </c>
      <c r="EU180" s="33" t="str">
        <f>IF(VLOOKUP(BQ180,Fundamentus!A:U,16,FALSE)&lt;0.1,"Oper. Ineficiente",IF(VLOOKUP(BQ180,Fundamentus!A:U,16,FALSE)&gt;0.1,"Oper.Eficiente","n/a"))</f>
        <v>Oper.Eficiente</v>
      </c>
      <c r="EV180" s="34">
        <f>VLOOKUP(BQ180,Fundamentus!A:U,14,FALSE)</f>
        <v>0.2606</v>
      </c>
      <c r="EW180" s="17" t="str">
        <f>IF(VLOOKUP(BQ180,Fundamentus!A:U,21,FALSE)&lt;0,"Negativo",IF(VLOOKUP(BQ180,Fundamentus!A:U,21,FALSE)&lt;0.05,"Fraco",IF(VLOOKUP(BQ180,Fundamentus!A:U,21,FALSE)&lt;0.1,"Bom",IF(VLOOKUP(BQ180,Fundamentus!A:U,21,FALSE)&gt;0.1,"Muito bom","n/a"))))</f>
        <v>Muito bom</v>
      </c>
      <c r="EY180" s="29" t="str">
        <f>IF(VLOOKUP(BQ180,Fundamentus!A:U,15,FALSE)&gt;1,"Bom",IF(VLOOKUP(BQ180,Fundamentus!A:U,15,FALSE)&lt;1,"Ruim","n/a"))</f>
        <v>Bom</v>
      </c>
      <c r="EZ180" s="17" t="str">
        <f>IF(VLOOKUP(BQ180,Fundamentus!A:U,20,FALSE)&lt;0.5,"Baixa",IF(VLOOKUP(BQ180,Fundamentus!A:U,20,FALSE)&lt;1,"Moderada",IF(VLOOKUP(BQ180,Fundamentus!A:U,20,FALSE)&lt;2,"Alerta",IF(VLOOKUP(BQ180,Fundamentus!A:U,20,FALSE)&gt;2,"Alta","n/a"))))</f>
        <v>Baixa</v>
      </c>
      <c r="FA180" s="10"/>
    </row>
    <row r="181" spans="1:157" s="2" customFormat="1" ht="11.25" hidden="1" x14ac:dyDescent="0.2">
      <c r="A181" s="4">
        <v>10.1</v>
      </c>
      <c r="B181" s="4">
        <v>9.7799999999999994</v>
      </c>
      <c r="C181" s="4">
        <v>10.25</v>
      </c>
      <c r="D181" s="4">
        <v>10.23</v>
      </c>
      <c r="E181" s="4">
        <v>9.51</v>
      </c>
      <c r="F181" s="4">
        <v>9.52</v>
      </c>
      <c r="G181" s="4">
        <v>9.2799999999999994</v>
      </c>
      <c r="H181" s="4">
        <v>9.11</v>
      </c>
      <c r="I181" s="4">
        <v>9.9499999999999993</v>
      </c>
      <c r="J181" s="4">
        <v>9.24</v>
      </c>
      <c r="K181" s="4">
        <v>9.09</v>
      </c>
      <c r="L181" s="4">
        <v>9.1300000000000008</v>
      </c>
      <c r="M181" s="4">
        <v>8.32</v>
      </c>
      <c r="N181" s="4">
        <v>8.24</v>
      </c>
      <c r="O181" s="4">
        <v>8</v>
      </c>
      <c r="P181" s="4">
        <v>7.74</v>
      </c>
      <c r="Q181" s="4">
        <v>7.74</v>
      </c>
      <c r="R181" s="4">
        <v>7.84</v>
      </c>
      <c r="S181" s="4">
        <v>7.72</v>
      </c>
      <c r="T181" s="4">
        <v>7.45</v>
      </c>
      <c r="U181" s="4">
        <v>7.3</v>
      </c>
      <c r="V181" s="4">
        <v>7</v>
      </c>
      <c r="W181" s="4">
        <v>6.95</v>
      </c>
      <c r="X181" s="4">
        <v>6.74</v>
      </c>
      <c r="Y181" s="4">
        <v>6.56</v>
      </c>
      <c r="Z181" s="4">
        <v>6.49</v>
      </c>
      <c r="AA181" s="4">
        <v>6.3</v>
      </c>
      <c r="AB181" s="4">
        <v>6.33</v>
      </c>
      <c r="AC181" s="4">
        <v>6.01</v>
      </c>
      <c r="AD181" s="4">
        <v>6.23</v>
      </c>
      <c r="AE181" s="4">
        <v>6.1</v>
      </c>
      <c r="AF181" s="4">
        <v>5.94</v>
      </c>
      <c r="AG181" s="4">
        <v>5.94</v>
      </c>
      <c r="AH181" s="4">
        <v>5.81</v>
      </c>
      <c r="AI181" s="4">
        <v>5.87</v>
      </c>
      <c r="AJ181" s="4">
        <v>5.86</v>
      </c>
      <c r="AK181" s="4">
        <v>5.94</v>
      </c>
      <c r="AL181" s="4">
        <v>5.99</v>
      </c>
      <c r="AM181" s="4">
        <v>5.86</v>
      </c>
      <c r="AN181" s="4">
        <v>5.86</v>
      </c>
      <c r="AO181" s="4">
        <v>6.41</v>
      </c>
      <c r="AP181" s="4">
        <v>7.14</v>
      </c>
      <c r="AQ181" s="4">
        <v>6.34</v>
      </c>
      <c r="AR181" s="4">
        <v>6.5</v>
      </c>
      <c r="AS181" s="4">
        <v>6.73</v>
      </c>
      <c r="AT181" s="4">
        <v>7.01</v>
      </c>
      <c r="AU181" s="4">
        <v>6.9849999999999994</v>
      </c>
      <c r="AV181" s="4">
        <v>6.4</v>
      </c>
      <c r="AW181" s="4">
        <v>7.14</v>
      </c>
      <c r="AX181" s="4">
        <v>7.4</v>
      </c>
      <c r="AY181" s="12">
        <v>7.5</v>
      </c>
      <c r="AZ181" s="12">
        <v>7.19</v>
      </c>
      <c r="BA181" s="12">
        <v>6.95</v>
      </c>
      <c r="BB181" s="15">
        <v>6.95</v>
      </c>
      <c r="BC181" s="52">
        <v>7.95</v>
      </c>
      <c r="BD181" s="52">
        <v>8.98</v>
      </c>
      <c r="BE181" s="52">
        <v>8.9499999999999993</v>
      </c>
      <c r="BF181" s="52">
        <v>8.6999999999999993</v>
      </c>
      <c r="BG181" s="67">
        <v>9.18</v>
      </c>
      <c r="BH181" s="52">
        <v>8.64</v>
      </c>
      <c r="BI181" s="52">
        <v>8.73</v>
      </c>
      <c r="BJ181" s="52">
        <v>8.6</v>
      </c>
      <c r="BK181" s="52">
        <v>8.09</v>
      </c>
      <c r="BL181" s="52">
        <v>7.5</v>
      </c>
      <c r="BM181" s="52">
        <v>7.64</v>
      </c>
      <c r="BN181" s="52">
        <v>7.35</v>
      </c>
      <c r="BO181" s="52">
        <v>8.4499999999999993</v>
      </c>
      <c r="BP181" s="52" cm="1">
        <f t="array" aca="1" ref="BP181" ca="1">_FV(ED181,"Preço")</f>
        <v>8.58</v>
      </c>
      <c r="BQ181" s="69" t="s">
        <v>177</v>
      </c>
      <c r="BR181" s="36" cm="1">
        <f t="array" aca="1" ref="BR181" ca="1">_FV(ED181,"Média de volume",TRUE)</f>
        <v>2415310</v>
      </c>
      <c r="BS181" s="36">
        <v>47900</v>
      </c>
      <c r="BT181" s="36" cm="1">
        <f t="array" aca="1" ref="BT181" ca="1">_FV(ED181,"Volume")</f>
        <v>4300</v>
      </c>
      <c r="BU181" s="24" cm="1">
        <f t="array" aca="1" ref="BU181" ca="1">_FV(ED181,"Beta")</f>
        <v>1.0237000000000001</v>
      </c>
      <c r="BV181" s="71" cm="1">
        <f t="array" aca="1" ref="BV181" ca="1">_FV(ED181,"Variação (%)",TRUE)</f>
        <v>-3.9194E-2</v>
      </c>
      <c r="BX181" s="17" cm="1">
        <f t="array" aca="1" ref="BX181" ca="1">_FV(ED181,"Baixo")</f>
        <v>8.51</v>
      </c>
      <c r="BY181" s="17" cm="1">
        <f t="array" aca="1" ref="BY181" ca="1">_FV(ED181,"Alto")</f>
        <v>8.9</v>
      </c>
      <c r="BZ181" s="24"/>
      <c r="CA181" s="63">
        <f ca="1">SQRT(22.5*(BP181/VLOOKUP(BQ181,Fundamentus!A:U,3,FALSE))*(BP181/VLOOKUP(BQ181,Fundamentus!A:U,4,FALSE)))</f>
        <v>6.9360051169097261</v>
      </c>
      <c r="CC181" s="62">
        <f t="shared" ca="1" si="168"/>
        <v>1.5384615384615479E-2</v>
      </c>
      <c r="CD181" s="8"/>
      <c r="CE181" s="61">
        <f t="shared" si="169"/>
        <v>5.81</v>
      </c>
      <c r="CF181" s="61">
        <f t="shared" si="170"/>
        <v>10.25</v>
      </c>
      <c r="CG181" s="61">
        <f t="shared" si="171"/>
        <v>7.5929104477611942</v>
      </c>
      <c r="CH181" s="14"/>
      <c r="CI181" s="35">
        <f t="shared" si="154"/>
        <v>7.5628325295851848</v>
      </c>
      <c r="CJ181" s="15">
        <f t="shared" si="172"/>
        <v>8.375</v>
      </c>
      <c r="CK181" s="35">
        <f t="shared" si="155"/>
        <v>9.1871674704148152</v>
      </c>
      <c r="CM181" s="14"/>
      <c r="CN181" s="17">
        <f t="shared" si="156"/>
        <v>1.6499999999999995</v>
      </c>
      <c r="CO181" s="17">
        <f t="shared" si="157"/>
        <v>3.7299999999999995</v>
      </c>
      <c r="CP181" s="17">
        <f t="shared" si="158"/>
        <v>6.09</v>
      </c>
      <c r="CQ181" s="38">
        <f t="shared" si="173"/>
        <v>8.17</v>
      </c>
      <c r="CR181" s="17">
        <f t="shared" si="159"/>
        <v>10.530000000000001</v>
      </c>
      <c r="CS181" s="17">
        <f t="shared" si="160"/>
        <v>12.61</v>
      </c>
      <c r="CT181" s="17">
        <f t="shared" si="161"/>
        <v>14.97</v>
      </c>
      <c r="CU181" s="2" cm="1">
        <f t="array" aca="1" ref="CU181" ca="1">MAX(_xlfn._xlws.FILTER(CN181:CT181,CN181:CT181&lt;BP181))</f>
        <v>8.17</v>
      </c>
      <c r="CV181" s="2" cm="1">
        <f t="array" aca="1" ref="CV181" ca="1">MIN(_xlfn._xlws.FILTER($CN181:$CT181,$CN181:$CT181&gt;BP181))</f>
        <v>10.530000000000001</v>
      </c>
      <c r="CW181" s="16">
        <f t="shared" ca="1" si="192"/>
        <v>0.28886168910648724</v>
      </c>
      <c r="CX181" s="20">
        <f t="shared" ca="1" si="193"/>
        <v>-0.14443084455324362</v>
      </c>
      <c r="CY181" s="20">
        <f t="shared" ca="1" si="194"/>
        <v>-9.6287229702162414E-2</v>
      </c>
      <c r="CZ181" s="20">
        <f t="shared" ca="1" si="195"/>
        <v>-5.7772337821297447E-2</v>
      </c>
      <c r="DA181" s="20">
        <f t="shared" ca="1" si="196"/>
        <v>-3.209574323405414E-2</v>
      </c>
      <c r="DB181" s="20">
        <f t="shared" ca="1" si="197"/>
        <v>-1.6991864065087486E-2</v>
      </c>
      <c r="DC181" s="20">
        <f t="shared" ca="1" si="198"/>
        <v>-8.7533845183784004E-3</v>
      </c>
      <c r="DD181" s="20">
        <f t="shared" ca="1" si="199"/>
        <v>-4.4440259862536498E-3</v>
      </c>
      <c r="DE181" s="21">
        <f t="shared" ca="1" si="200"/>
        <v>4.4440259862536498E-3</v>
      </c>
      <c r="DF181" s="21">
        <f t="shared" ca="1" si="201"/>
        <v>8.7533845183784004E-3</v>
      </c>
      <c r="DG181" s="21">
        <f t="shared" ca="1" si="202"/>
        <v>1.6991864065087486E-2</v>
      </c>
      <c r="DH181" s="21">
        <f t="shared" ca="1" si="203"/>
        <v>3.209574323405414E-2</v>
      </c>
      <c r="DI181" s="21">
        <f t="shared" ca="1" si="204"/>
        <v>5.7772337821297447E-2</v>
      </c>
      <c r="DJ181" s="21">
        <f t="shared" ca="1" si="205"/>
        <v>9.6287229702162414E-2</v>
      </c>
      <c r="DK181" s="21">
        <f t="shared" ca="1" si="206"/>
        <v>0.14443084455324362</v>
      </c>
      <c r="DM181" s="16" cm="1">
        <f t="array" aca="1" ref="DM181" ca="1">MAX(_xlfn._xlws.FILTER(CX181:DK181,CX181:DK181&lt;BV181))</f>
        <v>-5.7772337821297447E-2</v>
      </c>
      <c r="DN181" s="16" cm="1">
        <f t="array" aca="1" ref="DN181" ca="1">MIN(_xlfn._xlws.FILTER(CX181:DK181,CX181:DK181&gt;BV181))</f>
        <v>-3.209574323405414E-2</v>
      </c>
      <c r="DO181" s="2" cm="1">
        <f t="array" aca="1" ref="DO181" ca="1">_FV(ED181,"Fechamento anterior",TRUE)</f>
        <v>8.93</v>
      </c>
      <c r="DP181" s="28">
        <f t="shared" ca="1" si="162"/>
        <v>0.72356202668590186</v>
      </c>
      <c r="DQ181" s="15">
        <f t="shared" ca="1" si="207"/>
        <v>8.4140930232558127</v>
      </c>
      <c r="DR181" s="15">
        <f t="shared" ca="1" si="208"/>
        <v>8.6433850129198966</v>
      </c>
      <c r="DS181" s="9"/>
      <c r="DT181" s="9"/>
      <c r="DU181" s="9"/>
      <c r="DV181" s="89">
        <v>4.8143614851081207E-2</v>
      </c>
      <c r="DW181" s="89">
        <f t="shared" ca="1" si="163"/>
        <v>2.5676594587243307E-2</v>
      </c>
      <c r="DX181" s="72">
        <f t="shared" ca="1" si="164"/>
        <v>0.25241099584460847</v>
      </c>
      <c r="DY181" s="37"/>
      <c r="DZ181" s="35">
        <f t="shared" si="174"/>
        <v>0.40608373520740754</v>
      </c>
      <c r="EA181" s="56"/>
      <c r="EB181" s="56"/>
      <c r="ED181" s="2" t="e" vm="183">
        <v>#VALUE!</v>
      </c>
      <c r="EF181" s="10" cm="1">
        <f t="array" aca="1" ref="EF181" ca="1">_FV(ED181,"Ações em circulação",TRUE)</f>
        <v>683062200</v>
      </c>
      <c r="EG181" s="18">
        <f>VLOOKUP(BQ181,Fundamentus!A:U,5,FALSE)</f>
        <v>1.222</v>
      </c>
      <c r="EH181" s="2">
        <f t="shared" ca="1" si="165"/>
        <v>4795968638.2978725</v>
      </c>
      <c r="EI181" s="17">
        <v>215854921.8191489</v>
      </c>
      <c r="EJ181" s="17">
        <f t="shared" ca="1" si="166"/>
        <v>219175766.77021277</v>
      </c>
      <c r="EL181" s="16">
        <f t="shared" ca="1" si="153"/>
        <v>1.5384615384615552E-2</v>
      </c>
      <c r="EM181" s="45" t="str">
        <f>IF(VLOOKUP(BQ181,Fundamentus!A:U,3,FALSE)&lt;15,"Bom",IF(VLOOKUP(BQ181,Fundamentus!A:U,3,FALSE)&gt;15,"Ruim","n/a"))</f>
        <v>Ruim</v>
      </c>
      <c r="EN181" s="46" t="str">
        <f>IF(VLOOKUP(BQ181,Fundamentus!A:U,4,FALSE)&lt;1,"Baixo",IF(VLOOKUP(BQ181,Fundamentus!A:U,4,FALSE)&lt;1.5,"Moderado",IF(VLOOKUP(BQ181,Fundamentus!A:U,4,FALSE)&gt;1.5,"Alto","n/a")))</f>
        <v>Moderado</v>
      </c>
      <c r="EO181" s="30" t="str">
        <f>IF(VLOOKUP(BQ181,Fundamentus!A:U,8,FALSE)&lt;0,"Risco elevado",IF(VLOOKUP(BQ181,Fundamentus!A:U,8,FALSE)&lt;1,"Saudável",IF(VLOOKUP(BQ181,Fundamentus!A:U,8,FALSE)&lt;3,"Estável",IF(VLOOKUP(BQ181,Fundamentus!A:U,8,FALSE)&gt;3,"Alerta","n/a"))))</f>
        <v>Alerta</v>
      </c>
      <c r="EP181" s="46" t="str">
        <f t="shared" si="167"/>
        <v>Bom</v>
      </c>
      <c r="EQ181" s="30" t="str">
        <f>IF(VLOOKUP(BQ181,Fundamentus!A:U,12,FALSE)&lt;2,"Subvalorizada",IF(VLOOKUP(BQ181,Fundamentus!A:U,12,FALSE)&lt;6,"Muita barata",IF(VLOOKUP(BQ181,Fundamentus!A:U,12,FALSE)&lt;6,"Barata",IF(VLOOKUP(BQ181,Fundamentus!A:U,12,FALSE)&lt;8,"Atrativa",IF(VLOOKUP(BQ181,Fundamentus!A:U,12,FALSE)&gt;8,"Supervalorizada","n/a")))))</f>
        <v>Supervalorizada</v>
      </c>
      <c r="ES181" s="30" t="str">
        <f>IF(VLOOKUP(BQ181,Fundamentus!A:U,17,FALSE)&lt;0.1,"Fraco retorno",IF(VLOOKUP(BQ181,Fundamentus!A:U,17,FALSE)&gt;0.1,"Bom retorno","n/a"))</f>
        <v>Fraco retorno</v>
      </c>
      <c r="ET181" s="30" t="str">
        <f>IF(VLOOKUP(BQ181,Fundamentus!A:U,16,FALSE)&lt;0.1,"Ineficiente",IF(VLOOKUP(BQ181,Fundamentus!A:U,16,FALSE)&gt;0.1,"Eficiente","n/a"))</f>
        <v>Ineficiente</v>
      </c>
      <c r="EU181" s="49" t="str">
        <f>IF(VLOOKUP(BQ181,Fundamentus!A:U,16,FALSE)&lt;0.1,"Oper. Ineficiente",IF(VLOOKUP(BQ181,Fundamentus!A:U,16,FALSE)&gt;0.1,"Oper.Eficiente","n/a"))</f>
        <v>Oper. Ineficiente</v>
      </c>
      <c r="EV181" s="48">
        <f>VLOOKUP(BQ181,Fundamentus!A:U,14,FALSE)</f>
        <v>4.5699999999999998E-2</v>
      </c>
      <c r="EW181" s="30" t="str">
        <f>IF(VLOOKUP(BQ181,Fundamentus!A:U,21,FALSE)&lt;0,"Negativo",IF(VLOOKUP(BQ181,Fundamentus!A:U,21,FALSE)&lt;0.05,"Fraco",IF(VLOOKUP(BQ181,Fundamentus!A:U,21,FALSE)&lt;0.1,"Bom",IF(VLOOKUP(BQ181,Fundamentus!A:U,21,FALSE)&gt;0.1,"Muito bom","n/a"))))</f>
        <v>Fraco</v>
      </c>
      <c r="EY181" s="31" t="str">
        <f>IF(VLOOKUP(BQ181,Fundamentus!A:U,15,FALSE)&gt;1,"Bom",IF(VLOOKUP(BQ181,Fundamentus!A:U,15,FALSE)&lt;1,"Ruim","n/a"))</f>
        <v>Bom</v>
      </c>
      <c r="EZ181" s="30" t="str">
        <f>IF(VLOOKUP(BQ181,Fundamentus!A:U,20,FALSE)&lt;0.5,"Baixa",IF(VLOOKUP(BQ181,Fundamentus!A:U,20,FALSE)&lt;1,"Moderada",IF(VLOOKUP(BQ181,Fundamentus!A:U,20,FALSE)&lt;2,"Alerta",IF(VLOOKUP(BQ181,Fundamentus!A:U,20,FALSE)&gt;2,"Alta","n/a"))))</f>
        <v>Baixa</v>
      </c>
      <c r="FA181" s="10"/>
    </row>
    <row r="182" spans="1:157" s="2" customFormat="1" ht="11.25" hidden="1" x14ac:dyDescent="0.2">
      <c r="A182" s="4">
        <v>3.89</v>
      </c>
      <c r="B182" s="4">
        <v>4</v>
      </c>
      <c r="C182" s="4">
        <v>4.26</v>
      </c>
      <c r="D182" s="4">
        <v>3.95</v>
      </c>
      <c r="E182" s="4">
        <v>3.81</v>
      </c>
      <c r="F182" s="4">
        <v>3.76</v>
      </c>
      <c r="G182" s="4">
        <v>3.36</v>
      </c>
      <c r="H182" s="4">
        <v>3.42</v>
      </c>
      <c r="I182" s="4">
        <v>3.57</v>
      </c>
      <c r="J182" s="4">
        <v>3.52</v>
      </c>
      <c r="K182" s="4">
        <v>3.71</v>
      </c>
      <c r="L182" s="4">
        <v>3.54</v>
      </c>
      <c r="M182" s="4">
        <v>3.44</v>
      </c>
      <c r="N182" s="4">
        <v>3.44</v>
      </c>
      <c r="O182" s="4">
        <v>4.05</v>
      </c>
      <c r="P182" s="4">
        <v>3.86</v>
      </c>
      <c r="Q182" s="4">
        <v>3.89</v>
      </c>
      <c r="R182" s="4">
        <v>3.69</v>
      </c>
      <c r="S182" s="4">
        <v>3.82</v>
      </c>
      <c r="T182" s="4">
        <v>4.07</v>
      </c>
      <c r="U182" s="4">
        <v>3.9</v>
      </c>
      <c r="V182" s="4">
        <v>4.04</v>
      </c>
      <c r="W182" s="4">
        <v>3.82</v>
      </c>
      <c r="X182" s="4">
        <v>3.73</v>
      </c>
      <c r="Y182" s="4">
        <v>3.74</v>
      </c>
      <c r="Z182" s="4">
        <v>3.61</v>
      </c>
      <c r="AA182" s="4">
        <v>3.55</v>
      </c>
      <c r="AB182" s="4">
        <v>3.44</v>
      </c>
      <c r="AC182" s="4">
        <v>3.4</v>
      </c>
      <c r="AD182" s="4">
        <v>3.23</v>
      </c>
      <c r="AE182" s="4">
        <v>3</v>
      </c>
      <c r="AF182" s="4">
        <v>2.8</v>
      </c>
      <c r="AG182" s="4">
        <v>2.48</v>
      </c>
      <c r="AH182" s="4">
        <v>2.52</v>
      </c>
      <c r="AI182" s="4">
        <v>2.2999999999999998</v>
      </c>
      <c r="AJ182" s="4">
        <v>2.2999999999999998</v>
      </c>
      <c r="AK182" s="4">
        <v>2.33</v>
      </c>
      <c r="AL182" s="4">
        <v>2.2999999999999998</v>
      </c>
      <c r="AM182" s="4">
        <v>2.23</v>
      </c>
      <c r="AN182" s="4">
        <v>2.2200000000000002</v>
      </c>
      <c r="AO182" s="4">
        <v>2.2000000000000002</v>
      </c>
      <c r="AP182" s="4">
        <v>2.2599999999999998</v>
      </c>
      <c r="AQ182" s="4">
        <v>2.19</v>
      </c>
      <c r="AR182" s="4">
        <v>2.2000000000000002</v>
      </c>
      <c r="AS182" s="4">
        <v>2.25</v>
      </c>
      <c r="AT182" s="4">
        <v>2.4500000000000002</v>
      </c>
      <c r="AU182" s="4">
        <v>2.665</v>
      </c>
      <c r="AV182" s="4">
        <v>3.03</v>
      </c>
      <c r="AW182" s="4">
        <v>2.78</v>
      </c>
      <c r="AX182" s="4">
        <v>2.77</v>
      </c>
      <c r="AY182" s="12">
        <v>2.93</v>
      </c>
      <c r="AZ182" s="12">
        <v>2.95</v>
      </c>
      <c r="BA182" s="12">
        <v>2.75</v>
      </c>
      <c r="BB182" s="15">
        <v>3.1</v>
      </c>
      <c r="BC182" s="52">
        <v>3.07</v>
      </c>
      <c r="BD182" s="52">
        <v>3.04</v>
      </c>
      <c r="BE182" s="52">
        <v>3.4</v>
      </c>
      <c r="BF182" s="52">
        <v>3.21</v>
      </c>
      <c r="BG182" s="67">
        <v>3.86</v>
      </c>
      <c r="BH182" s="52">
        <v>3.71</v>
      </c>
      <c r="BI182" s="52">
        <v>3.6</v>
      </c>
      <c r="BJ182" s="52">
        <v>3.71</v>
      </c>
      <c r="BK182" s="52">
        <v>3.5</v>
      </c>
      <c r="BL182" s="52">
        <v>3.6</v>
      </c>
      <c r="BM182" s="52">
        <v>3.57</v>
      </c>
      <c r="BN182" s="52">
        <v>3.45</v>
      </c>
      <c r="BO182" s="52">
        <v>3.72</v>
      </c>
      <c r="BP182" s="52" cm="1">
        <f t="array" aca="1" ref="BP182" ca="1">_FV(ED182,"Preço")</f>
        <v>3.27</v>
      </c>
      <c r="BQ182" s="69" t="s">
        <v>178</v>
      </c>
      <c r="BR182" s="36" cm="1">
        <f t="array" aca="1" ref="BR182" ca="1">_FV(ED182,"Média de volume",TRUE)</f>
        <v>35880</v>
      </c>
      <c r="BS182" s="36">
        <v>10900</v>
      </c>
      <c r="BT182" s="36" cm="1">
        <f t="array" aca="1" ref="BT182" ca="1">_FV(ED182,"Volume")</f>
        <v>10500</v>
      </c>
      <c r="BU182" s="24" cm="1">
        <f t="array" aca="1" ref="BU182" ca="1">_FV(ED182,"Beta")</f>
        <v>1.48</v>
      </c>
      <c r="BV182" s="71" cm="1">
        <f t="array" aca="1" ref="BV182" ca="1">_FV(ED182,"Variação (%)",TRUE)</f>
        <v>3.1545999999999998E-2</v>
      </c>
      <c r="BX182" s="17" cm="1">
        <f t="array" aca="1" ref="BX182" ca="1">_FV(ED182,"Baixo")</f>
        <v>3.18</v>
      </c>
      <c r="BY182" s="17" cm="1">
        <f t="array" aca="1" ref="BY182" ca="1">_FV(ED182,"Alto")</f>
        <v>3.27</v>
      </c>
      <c r="BZ182" s="24"/>
      <c r="CA182" s="63">
        <f ca="1">SQRT(22.5*(BP182/VLOOKUP(BQ182,Fundamentus!A:U,3,FALSE))*(BP182/VLOOKUP(BQ182,Fundamentus!A:U,4,FALSE)))</f>
        <v>9.7574512637382078</v>
      </c>
      <c r="CC182" s="62">
        <f t="shared" ca="1" si="168"/>
        <v>-0.12096774193548392</v>
      </c>
      <c r="CD182" s="8"/>
      <c r="CE182" s="61">
        <f t="shared" si="169"/>
        <v>2.19</v>
      </c>
      <c r="CF182" s="61">
        <f t="shared" si="170"/>
        <v>4.26</v>
      </c>
      <c r="CG182" s="61">
        <f t="shared" si="171"/>
        <v>3.2530597014925364</v>
      </c>
      <c r="CH182" s="14"/>
      <c r="CI182" s="35">
        <f t="shared" si="154"/>
        <v>3.4602190486007927</v>
      </c>
      <c r="CJ182" s="15">
        <f t="shared" si="172"/>
        <v>3.6450000000000102</v>
      </c>
      <c r="CK182" s="35">
        <f t="shared" si="155"/>
        <v>3.8297809513992278</v>
      </c>
      <c r="CM182" s="14"/>
      <c r="CN182" s="17">
        <f t="shared" si="156"/>
        <v>0.45000000000000062</v>
      </c>
      <c r="CO182" s="17">
        <f t="shared" si="157"/>
        <v>1.3200000000000003</v>
      </c>
      <c r="CP182" s="17">
        <f t="shared" si="158"/>
        <v>2.5200000000000005</v>
      </c>
      <c r="CQ182" s="38">
        <f t="shared" si="173"/>
        <v>3.39</v>
      </c>
      <c r="CR182" s="17">
        <f t="shared" si="159"/>
        <v>4.59</v>
      </c>
      <c r="CS182" s="17">
        <f t="shared" si="160"/>
        <v>5.46</v>
      </c>
      <c r="CT182" s="17">
        <f t="shared" si="161"/>
        <v>6.66</v>
      </c>
      <c r="CU182" s="2" cm="1">
        <f t="array" aca="1" ref="CU182" ca="1">MAX(_xlfn._xlws.FILTER(CN182:CT182,CN182:CT182&lt;BP182))</f>
        <v>2.5200000000000005</v>
      </c>
      <c r="CV182" s="2" cm="1">
        <f t="array" aca="1" ref="CV182" ca="1">MIN(_xlfn._xlws.FILTER($CN182:$CT182,$CN182:$CT182&gt;BP182))</f>
        <v>3.39</v>
      </c>
      <c r="CW182" s="16">
        <f t="shared" ca="1" si="192"/>
        <v>0.34523809523809512</v>
      </c>
      <c r="CX182" s="20">
        <f t="shared" ca="1" si="193"/>
        <v>-0.17261904761904756</v>
      </c>
      <c r="CY182" s="20">
        <f t="shared" ca="1" si="194"/>
        <v>-0.11507936507936505</v>
      </c>
      <c r="CZ182" s="20">
        <f t="shared" ca="1" si="195"/>
        <v>-6.9047619047619024E-2</v>
      </c>
      <c r="DA182" s="20">
        <f t="shared" ca="1" si="196"/>
        <v>-3.8359788359788344E-2</v>
      </c>
      <c r="DB182" s="20">
        <f t="shared" ca="1" si="197"/>
        <v>-2.0308123249299714E-2</v>
      </c>
      <c r="DC182" s="20">
        <f t="shared" ca="1" si="198"/>
        <v>-1.0461760461760458E-2</v>
      </c>
      <c r="DD182" s="20">
        <f t="shared" ca="1" si="199"/>
        <v>-5.3113553113553098E-3</v>
      </c>
      <c r="DE182" s="21">
        <f t="shared" ca="1" si="200"/>
        <v>5.3113553113553098E-3</v>
      </c>
      <c r="DF182" s="21">
        <f t="shared" ca="1" si="201"/>
        <v>1.0461760461760458E-2</v>
      </c>
      <c r="DG182" s="21">
        <f t="shared" ca="1" si="202"/>
        <v>2.0308123249299714E-2</v>
      </c>
      <c r="DH182" s="21">
        <f t="shared" ca="1" si="203"/>
        <v>3.8359788359788344E-2</v>
      </c>
      <c r="DI182" s="21">
        <f t="shared" ca="1" si="204"/>
        <v>6.9047619047619024E-2</v>
      </c>
      <c r="DJ182" s="21">
        <f t="shared" ca="1" si="205"/>
        <v>0.11507936507936505</v>
      </c>
      <c r="DK182" s="21">
        <f t="shared" ca="1" si="206"/>
        <v>0.17261904761904756</v>
      </c>
      <c r="DM182" s="16" cm="1">
        <f t="array" aca="1" ref="DM182" ca="1">MAX(_xlfn._xlws.FILTER(CX182:DK182,CX182:DK182&lt;BV182))</f>
        <v>2.0308123249299714E-2</v>
      </c>
      <c r="DN182" s="16" cm="1">
        <f t="array" aca="1" ref="DN182" ca="1">MIN(_xlfn._xlws.FILTER(CX182:DK182,CX182:DK182&gt;BV182))</f>
        <v>3.8359788359788344E-2</v>
      </c>
      <c r="DO182" s="2" cm="1">
        <f t="array" aca="1" ref="DO182" ca="1">_FV(ED182,"Fechamento anterior",TRUE)</f>
        <v>3.17</v>
      </c>
      <c r="DP182" s="28">
        <f t="shared" ca="1" si="162"/>
        <v>0.62252529098227194</v>
      </c>
      <c r="DQ182" s="15">
        <f t="shared" ca="1" si="207"/>
        <v>3.2343767507002799</v>
      </c>
      <c r="DR182" s="15">
        <f t="shared" ca="1" si="208"/>
        <v>3.291600529100529</v>
      </c>
      <c r="DS182" s="9"/>
      <c r="DT182" s="9"/>
      <c r="DU182" s="9"/>
      <c r="DV182" s="89">
        <v>1.009575189689713E-2</v>
      </c>
      <c r="DW182" s="89">
        <f t="shared" ca="1" si="163"/>
        <v>1.805166511048863E-2</v>
      </c>
      <c r="DX182" s="72">
        <f t="shared" ca="1" si="164"/>
        <v>-2.0294299664570192</v>
      </c>
      <c r="DY182" s="37"/>
      <c r="DZ182" s="35">
        <f t="shared" si="174"/>
        <v>9.2390475699608801E-2</v>
      </c>
      <c r="EA182" s="56"/>
      <c r="EB182" s="56"/>
      <c r="ED182" s="2" t="e" vm="184">
        <v>#VALUE!</v>
      </c>
      <c r="EF182" s="10" cm="1">
        <f t="array" aca="1" ref="EF182" ca="1">_FV(ED182,"Ações em circulação",TRUE)</f>
        <v>63461460</v>
      </c>
      <c r="EG182" s="18">
        <f>VLOOKUP(BQ182,Fundamentus!A:U,5,FALSE)</f>
        <v>0.27500000000000002</v>
      </c>
      <c r="EH182" s="2">
        <f t="shared" ca="1" si="165"/>
        <v>754614451.63636351</v>
      </c>
      <c r="EI182" s="17">
        <v>32707344.177163638</v>
      </c>
      <c r="EJ182" s="17">
        <f t="shared" ca="1" si="166"/>
        <v>28750810.607345451</v>
      </c>
      <c r="EL182" s="16">
        <f t="shared" ca="1" si="153"/>
        <v>-0.12096774193548399</v>
      </c>
      <c r="EM182" s="32" t="str">
        <f>IF(VLOOKUP(BQ182,Fundamentus!A:U,3,FALSE)&lt;15,"Bom",IF(VLOOKUP(BQ182,Fundamentus!A:U,3,FALSE)&gt;15,"Ruim","n/a"))</f>
        <v>Bom</v>
      </c>
      <c r="EN182" s="28" t="str">
        <f>IF(VLOOKUP(BQ182,Fundamentus!A:U,4,FALSE)&lt;1,"Baixo",IF(VLOOKUP(BQ182,Fundamentus!A:U,4,FALSE)&lt;1.5,"Moderado",IF(VLOOKUP(BQ182,Fundamentus!A:U,4,FALSE)&gt;1.5,"Alto","n/a")))</f>
        <v>Baixo</v>
      </c>
      <c r="EO182" s="17" t="str">
        <f>IF(VLOOKUP(BQ182,Fundamentus!A:U,8,FALSE)&lt;0,"Risco elevado",IF(VLOOKUP(BQ182,Fundamentus!A:U,8,FALSE)&lt;1,"Saudável",IF(VLOOKUP(BQ182,Fundamentus!A:U,8,FALSE)&lt;3,"Estável",IF(VLOOKUP(BQ182,Fundamentus!A:U,8,FALSE)&gt;3,"Alerta","n/a"))))</f>
        <v>Saudável</v>
      </c>
      <c r="EP182" s="28" t="str">
        <f t="shared" si="167"/>
        <v>Ruim</v>
      </c>
      <c r="EQ182" s="17" t="str">
        <f>IF(VLOOKUP(BQ182,Fundamentus!A:U,12,FALSE)&lt;2,"Subvalorizada",IF(VLOOKUP(BQ182,Fundamentus!A:U,12,FALSE)&lt;6,"Muita barata",IF(VLOOKUP(BQ182,Fundamentus!A:U,12,FALSE)&lt;6,"Barata",IF(VLOOKUP(BQ182,Fundamentus!A:U,12,FALSE)&lt;8,"Atrativa",IF(VLOOKUP(BQ182,Fundamentus!A:U,12,FALSE)&gt;8,"Supervalorizada","n/a")))))</f>
        <v>Subvalorizada</v>
      </c>
      <c r="ES182" s="17" t="str">
        <f>IF(VLOOKUP(BQ182,Fundamentus!A:U,17,FALSE)&lt;0.1,"Fraco retorno",IF(VLOOKUP(BQ182,Fundamentus!A:U,17,FALSE)&gt;0.1,"Bom retorno","n/a"))</f>
        <v>Fraco retorno</v>
      </c>
      <c r="ET182" s="17" t="str">
        <f>IF(VLOOKUP(BQ182,Fundamentus!A:U,16,FALSE)&lt;0.1,"Ineficiente",IF(VLOOKUP(BQ182,Fundamentus!A:U,16,FALSE)&gt;0.1,"Eficiente","n/a"))</f>
        <v>Eficiente</v>
      </c>
      <c r="EU182" s="33" t="str">
        <f>IF(VLOOKUP(BQ182,Fundamentus!A:U,16,FALSE)&lt;0.1,"Oper. Ineficiente",IF(VLOOKUP(BQ182,Fundamentus!A:U,16,FALSE)&gt;0.1,"Oper.Eficiente","n/a"))</f>
        <v>Oper.Eficiente</v>
      </c>
      <c r="EV182" s="34">
        <f>VLOOKUP(BQ182,Fundamentus!A:U,14,FALSE)</f>
        <v>3.8100000000000002E-2</v>
      </c>
      <c r="EW182" s="17" t="str">
        <f>IF(VLOOKUP(BQ182,Fundamentus!A:U,21,FALSE)&lt;0,"Negativo",IF(VLOOKUP(BQ182,Fundamentus!A:U,21,FALSE)&lt;0.05,"Fraco",IF(VLOOKUP(BQ182,Fundamentus!A:U,21,FALSE)&lt;0.1,"Bom",IF(VLOOKUP(BQ182,Fundamentus!A:U,21,FALSE)&gt;0.1,"Muito bom","n/a"))))</f>
        <v>Negativo</v>
      </c>
      <c r="EY182" s="29" t="str">
        <f>IF(VLOOKUP(BQ182,Fundamentus!A:U,15,FALSE)&gt;1,"Bom",IF(VLOOKUP(BQ182,Fundamentus!A:U,15,FALSE)&lt;1,"Ruim","n/a"))</f>
        <v>Bom</v>
      </c>
      <c r="EZ182" s="17" t="str">
        <f>IF(VLOOKUP(BQ182,Fundamentus!A:U,20,FALSE)&lt;0.5,"Baixa",IF(VLOOKUP(BQ182,Fundamentus!A:U,20,FALSE)&lt;1,"Moderada",IF(VLOOKUP(BQ182,Fundamentus!A:U,20,FALSE)&lt;2,"Alerta",IF(VLOOKUP(BQ182,Fundamentus!A:U,20,FALSE)&gt;2,"Alta","n/a"))))</f>
        <v>Baixa</v>
      </c>
      <c r="FA182" s="10"/>
    </row>
    <row r="183" spans="1:157" s="2" customFormat="1" ht="11.25" hidden="1" x14ac:dyDescent="0.2">
      <c r="A183" s="4">
        <v>6.24</v>
      </c>
      <c r="B183" s="4">
        <v>6.24</v>
      </c>
      <c r="C183" s="4">
        <v>6.87</v>
      </c>
      <c r="D183" s="4">
        <v>6.55</v>
      </c>
      <c r="E183" s="4">
        <v>6.19</v>
      </c>
      <c r="F183" s="4">
        <v>6.1</v>
      </c>
      <c r="G183" s="4">
        <v>6.16</v>
      </c>
      <c r="H183" s="4">
        <v>6.45</v>
      </c>
      <c r="I183" s="4">
        <v>6.63</v>
      </c>
      <c r="J183" s="4">
        <v>6.86</v>
      </c>
      <c r="K183" s="4">
        <v>6.82</v>
      </c>
      <c r="L183" s="4">
        <v>6.55</v>
      </c>
      <c r="M183" s="4">
        <v>6.32</v>
      </c>
      <c r="N183" s="4">
        <v>6.47</v>
      </c>
      <c r="O183" s="4">
        <v>7.51</v>
      </c>
      <c r="P183" s="4">
        <v>7.42</v>
      </c>
      <c r="Q183" s="4">
        <v>7.95</v>
      </c>
      <c r="R183" s="4">
        <v>7.49</v>
      </c>
      <c r="S183" s="4">
        <v>7</v>
      </c>
      <c r="T183" s="4">
        <v>6.91</v>
      </c>
      <c r="U183" s="4">
        <v>6.53</v>
      </c>
      <c r="V183" s="4">
        <v>6.49</v>
      </c>
      <c r="W183" s="4">
        <v>6.38</v>
      </c>
      <c r="X183" s="4">
        <v>5.54</v>
      </c>
      <c r="Y183" s="4">
        <v>5.49</v>
      </c>
      <c r="Z183" s="4">
        <v>5.49</v>
      </c>
      <c r="AA183" s="4">
        <v>5.76</v>
      </c>
      <c r="AB183" s="4">
        <v>5.38</v>
      </c>
      <c r="AC183" s="4">
        <v>5.71</v>
      </c>
      <c r="AD183" s="4">
        <v>5.64</v>
      </c>
      <c r="AE183" s="4">
        <v>5.83</v>
      </c>
      <c r="AF183" s="4">
        <v>5.91</v>
      </c>
      <c r="AG183" s="4">
        <v>5.73</v>
      </c>
      <c r="AH183" s="4">
        <v>5.44</v>
      </c>
      <c r="AI183" s="4">
        <v>5.18</v>
      </c>
      <c r="AJ183" s="4">
        <v>4.76</v>
      </c>
      <c r="AK183" s="4">
        <v>5.08</v>
      </c>
      <c r="AL183" s="4">
        <v>5.0199999999999996</v>
      </c>
      <c r="AM183" s="4">
        <v>4.4400000000000004</v>
      </c>
      <c r="AN183" s="4">
        <v>4.84</v>
      </c>
      <c r="AO183" s="4">
        <v>4.4400000000000004</v>
      </c>
      <c r="AP183" s="4">
        <v>4.5199999999999996</v>
      </c>
      <c r="AQ183" s="4">
        <v>4.55</v>
      </c>
      <c r="AR183" s="4">
        <v>4.42</v>
      </c>
      <c r="AS183" s="4">
        <v>4.79</v>
      </c>
      <c r="AT183" s="4">
        <v>5.37</v>
      </c>
      <c r="AU183" s="4">
        <v>5.9749999999999996</v>
      </c>
      <c r="AV183" s="4">
        <v>6.21</v>
      </c>
      <c r="AW183" s="4">
        <v>6.47</v>
      </c>
      <c r="AX183" s="4">
        <v>6.97</v>
      </c>
      <c r="AY183" s="12">
        <v>7.41</v>
      </c>
      <c r="AZ183" s="12">
        <v>7.83</v>
      </c>
      <c r="BA183" s="12">
        <v>5.91</v>
      </c>
      <c r="BB183" s="15">
        <v>5.16</v>
      </c>
      <c r="BC183" s="52">
        <v>5.14</v>
      </c>
      <c r="BD183" s="52">
        <v>5.17</v>
      </c>
      <c r="BE183" s="52">
        <v>5.04</v>
      </c>
      <c r="BF183" s="52">
        <v>4.9000000000000004</v>
      </c>
      <c r="BG183" s="67">
        <v>4.8600000000000003</v>
      </c>
      <c r="BH183" s="52">
        <v>4.87</v>
      </c>
      <c r="BI183" s="52">
        <v>4.82</v>
      </c>
      <c r="BJ183" s="52">
        <v>5.17</v>
      </c>
      <c r="BK183" s="52">
        <v>5.37</v>
      </c>
      <c r="BL183" s="52">
        <v>5.12</v>
      </c>
      <c r="BM183" s="52">
        <v>5.09</v>
      </c>
      <c r="BN183" s="52">
        <v>4.9400000000000004</v>
      </c>
      <c r="BO183" s="52">
        <v>5</v>
      </c>
      <c r="BP183" s="52" cm="1">
        <f t="array" aca="1" ref="BP183" ca="1">_FV(ED183,"Preço")</f>
        <v>4.91</v>
      </c>
      <c r="BQ183" s="69" t="s">
        <v>179</v>
      </c>
      <c r="BR183" s="36" cm="1">
        <f t="array" aca="1" ref="BR183" ca="1">_FV(ED183,"Média de volume",TRUE)</f>
        <v>14338290</v>
      </c>
      <c r="BS183" s="36">
        <v>9919000</v>
      </c>
      <c r="BT183" s="36" cm="1">
        <f t="array" aca="1" ref="BT183" ca="1">_FV(ED183,"Volume")</f>
        <v>8681200</v>
      </c>
      <c r="BU183" s="24" cm="1">
        <f t="array" aca="1" ref="BU183" ca="1">_FV(ED183,"Beta")</f>
        <v>0.77549999999999997</v>
      </c>
      <c r="BV183" s="71" cm="1">
        <f t="array" aca="1" ref="BV183" ca="1">_FV(ED183,"Variação (%)",TRUE)</f>
        <v>2.5051999999999998E-2</v>
      </c>
      <c r="BX183" s="17" cm="1">
        <f t="array" aca="1" ref="BX183" ca="1">_FV(ED183,"Baixo")</f>
        <v>4.75</v>
      </c>
      <c r="BY183" s="17" cm="1">
        <f t="array" aca="1" ref="BY183" ca="1">_FV(ED183,"Alto")</f>
        <v>4.92</v>
      </c>
      <c r="BZ183" s="24"/>
      <c r="CA183" s="63">
        <f ca="1">SQRT(22.5*(BP183/VLOOKUP(BQ183,Fundamentus!A:U,3,FALSE))*(BP183/VLOOKUP(BQ183,Fundamentus!A:U,4,FALSE)))</f>
        <v>3.9501321806756287</v>
      </c>
      <c r="CC183" s="62">
        <f t="shared" ca="1" si="168"/>
        <v>-1.7999999999999971E-2</v>
      </c>
      <c r="CD183" s="8"/>
      <c r="CE183" s="61">
        <f t="shared" si="169"/>
        <v>4.42</v>
      </c>
      <c r="CF183" s="61">
        <f t="shared" si="170"/>
        <v>7.95</v>
      </c>
      <c r="CG183" s="61">
        <f t="shared" si="171"/>
        <v>5.8341044776119437</v>
      </c>
      <c r="CH183" s="14"/>
      <c r="CI183" s="35">
        <f t="shared" si="154"/>
        <v>4.6148119243601036</v>
      </c>
      <c r="CJ183" s="15">
        <f t="shared" si="172"/>
        <v>4.910000000000025</v>
      </c>
      <c r="CK183" s="35">
        <f t="shared" si="155"/>
        <v>5.2051880756399465</v>
      </c>
      <c r="CM183" s="14"/>
      <c r="CN183" s="17">
        <f t="shared" si="156"/>
        <v>9.9999999999999645E-2</v>
      </c>
      <c r="CO183" s="17">
        <f t="shared" si="157"/>
        <v>2.2599999999999998</v>
      </c>
      <c r="CP183" s="17">
        <f t="shared" si="158"/>
        <v>3.63</v>
      </c>
      <c r="CQ183" s="38">
        <f t="shared" si="173"/>
        <v>5.79</v>
      </c>
      <c r="CR183" s="17">
        <f t="shared" si="159"/>
        <v>7.16</v>
      </c>
      <c r="CS183" s="17">
        <f t="shared" si="160"/>
        <v>9.32</v>
      </c>
      <c r="CT183" s="17">
        <f t="shared" si="161"/>
        <v>10.690000000000001</v>
      </c>
      <c r="CU183" s="2" cm="1">
        <f t="array" aca="1" ref="CU183" ca="1">MAX(_xlfn._xlws.FILTER(CN183:CT183,CN183:CT183&lt;BP183))</f>
        <v>3.63</v>
      </c>
      <c r="CV183" s="2" cm="1">
        <f t="array" aca="1" ref="CV183" ca="1">MIN(_xlfn._xlws.FILTER($CN183:$CT183,$CN183:$CT183&gt;BP183))</f>
        <v>5.79</v>
      </c>
      <c r="CW183" s="16">
        <f t="shared" ca="1" si="192"/>
        <v>0.5950413223140496</v>
      </c>
      <c r="CX183" s="20">
        <f t="shared" ca="1" si="193"/>
        <v>-0.2975206611570248</v>
      </c>
      <c r="CY183" s="20">
        <f t="shared" ca="1" si="194"/>
        <v>-0.19834710743801653</v>
      </c>
      <c r="CZ183" s="20">
        <f t="shared" ca="1" si="195"/>
        <v>-0.11900826446280992</v>
      </c>
      <c r="DA183" s="20">
        <f t="shared" ca="1" si="196"/>
        <v>-6.6115702479338845E-2</v>
      </c>
      <c r="DB183" s="20">
        <f t="shared" ca="1" si="197"/>
        <v>-3.5002430724355861E-2</v>
      </c>
      <c r="DC183" s="20">
        <f t="shared" ca="1" si="198"/>
        <v>-1.8031555221637866E-2</v>
      </c>
      <c r="DD183" s="20">
        <f t="shared" ca="1" si="199"/>
        <v>-9.1544818817546093E-3</v>
      </c>
      <c r="DE183" s="21">
        <f t="shared" ca="1" si="200"/>
        <v>9.1544818817546093E-3</v>
      </c>
      <c r="DF183" s="21">
        <f t="shared" ca="1" si="201"/>
        <v>1.8031555221637866E-2</v>
      </c>
      <c r="DG183" s="21">
        <f t="shared" ca="1" si="202"/>
        <v>3.5002430724355861E-2</v>
      </c>
      <c r="DH183" s="21">
        <f t="shared" ca="1" si="203"/>
        <v>6.6115702479338845E-2</v>
      </c>
      <c r="DI183" s="21">
        <f t="shared" ca="1" si="204"/>
        <v>0.11900826446280992</v>
      </c>
      <c r="DJ183" s="21">
        <f t="shared" ca="1" si="205"/>
        <v>0.19834710743801653</v>
      </c>
      <c r="DK183" s="21">
        <f t="shared" ca="1" si="206"/>
        <v>0.2975206611570248</v>
      </c>
      <c r="DM183" s="16" cm="1">
        <f t="array" aca="1" ref="DM183" ca="1">MAX(_xlfn._xlws.FILTER(CX183:DK183,CX183:DK183&lt;BV183))</f>
        <v>1.8031555221637866E-2</v>
      </c>
      <c r="DN183" s="16" cm="1">
        <f t="array" aca="1" ref="DN183" ca="1">MIN(_xlfn._xlws.FILTER(CX183:DK183,CX183:DK183&gt;BV183))</f>
        <v>3.5002430724355861E-2</v>
      </c>
      <c r="DO183" s="2" cm="1">
        <f t="array" aca="1" ref="DO183" ca="1">_FV(ED183,"Fechamento anterior",TRUE)</f>
        <v>4.79</v>
      </c>
      <c r="DP183" s="28">
        <f t="shared" ca="1" si="162"/>
        <v>0.4136873695198317</v>
      </c>
      <c r="DQ183" s="15">
        <f t="shared" ca="1" si="207"/>
        <v>4.8763711495116455</v>
      </c>
      <c r="DR183" s="15">
        <f t="shared" ca="1" si="208"/>
        <v>4.957661643169665</v>
      </c>
      <c r="DS183" s="9"/>
      <c r="DT183" s="9"/>
      <c r="DU183" s="9"/>
      <c r="DV183" s="89">
        <v>1.8308963763509219E-2</v>
      </c>
      <c r="DW183" s="89">
        <f t="shared" ca="1" si="163"/>
        <v>1.6970875502717996E-2</v>
      </c>
      <c r="DX183" s="72">
        <f t="shared" ca="1" si="164"/>
        <v>-8.4247968681293871E-14</v>
      </c>
      <c r="DY183" s="37"/>
      <c r="DZ183" s="35">
        <f t="shared" si="174"/>
        <v>0.14759403781996069</v>
      </c>
      <c r="EA183" s="56"/>
      <c r="EB183" s="56"/>
      <c r="ED183" s="2" t="e" vm="185">
        <v>#VALUE!</v>
      </c>
      <c r="EF183" s="10" cm="1">
        <f t="array" aca="1" ref="EF183" ca="1">_FV(ED183,"Ações em circulação",TRUE)</f>
        <v>994489400</v>
      </c>
      <c r="EG183" s="18">
        <f>VLOOKUP(BQ183,Fundamentus!A:U,5,FALSE)</f>
        <v>0.13700000000000001</v>
      </c>
      <c r="EH183" s="2">
        <f t="shared" ca="1" si="165"/>
        <v>35641919372.262772</v>
      </c>
      <c r="EI183" s="17">
        <v>-1136040810.948905</v>
      </c>
      <c r="EJ183" s="17">
        <f t="shared" ca="1" si="166"/>
        <v>-1115592076.3518248</v>
      </c>
      <c r="EL183" s="16">
        <f t="shared" ca="1" si="153"/>
        <v>-1.7999999999999905E-2</v>
      </c>
      <c r="EM183" s="32" t="str">
        <f>IF(VLOOKUP(BQ183,Fundamentus!A:U,3,FALSE)&lt;15,"Bom",IF(VLOOKUP(BQ183,Fundamentus!A:U,3,FALSE)&gt;15,"Ruim","n/a"))</f>
        <v>Bom</v>
      </c>
      <c r="EN183" s="28" t="str">
        <f>IF(VLOOKUP(BQ183,Fundamentus!A:U,4,FALSE)&lt;1,"Baixo",IF(VLOOKUP(BQ183,Fundamentus!A:U,4,FALSE)&lt;1.5,"Moderado",IF(VLOOKUP(BQ183,Fundamentus!A:U,4,FALSE)&gt;1.5,"Alto","n/a")))</f>
        <v>Baixo</v>
      </c>
      <c r="EO183" s="17" t="str">
        <f>IF(VLOOKUP(BQ183,Fundamentus!A:U,8,FALSE)&lt;0,"Risco elevado",IF(VLOOKUP(BQ183,Fundamentus!A:U,8,FALSE)&lt;1,"Saudável",IF(VLOOKUP(BQ183,Fundamentus!A:U,8,FALSE)&lt;3,"Estável",IF(VLOOKUP(BQ183,Fundamentus!A:U,8,FALSE)&gt;3,"Alerta","n/a"))))</f>
        <v>Saudável</v>
      </c>
      <c r="EP183" s="28" t="str">
        <f t="shared" si="167"/>
        <v>Ruim</v>
      </c>
      <c r="EQ183" s="17" t="str">
        <f>IF(VLOOKUP(BQ183,Fundamentus!A:U,12,FALSE)&lt;2,"Subvalorizada",IF(VLOOKUP(BQ183,Fundamentus!A:U,12,FALSE)&lt;6,"Muita barata",IF(VLOOKUP(BQ183,Fundamentus!A:U,12,FALSE)&lt;6,"Barata",IF(VLOOKUP(BQ183,Fundamentus!A:U,12,FALSE)&lt;8,"Atrativa",IF(VLOOKUP(BQ183,Fundamentus!A:U,12,FALSE)&gt;8,"Supervalorizada","n/a")))))</f>
        <v>Atrativa</v>
      </c>
      <c r="ES183" s="17" t="str">
        <f>IF(VLOOKUP(BQ183,Fundamentus!A:U,17,FALSE)&lt;0.1,"Fraco retorno",IF(VLOOKUP(BQ183,Fundamentus!A:U,17,FALSE)&gt;0.1,"Bom retorno","n/a"))</f>
        <v>Bom retorno</v>
      </c>
      <c r="ET183" s="17" t="str">
        <f>IF(VLOOKUP(BQ183,Fundamentus!A:U,16,FALSE)&lt;0.1,"Ineficiente",IF(VLOOKUP(BQ183,Fundamentus!A:U,16,FALSE)&gt;0.1,"Eficiente","n/a"))</f>
        <v>Eficiente</v>
      </c>
      <c r="EU183" s="33" t="str">
        <f>IF(VLOOKUP(BQ183,Fundamentus!A:U,16,FALSE)&lt;0.1,"Oper. Ineficiente",IF(VLOOKUP(BQ183,Fundamentus!A:U,16,FALSE)&gt;0.1,"Oper.Eficiente","n/a"))</f>
        <v>Oper.Eficiente</v>
      </c>
      <c r="EV183" s="34">
        <f>VLOOKUP(BQ183,Fundamentus!A:U,14,FALSE)</f>
        <v>-3.1300000000000001E-2</v>
      </c>
      <c r="EW183" s="17" t="str">
        <f>IF(VLOOKUP(BQ183,Fundamentus!A:U,21,FALSE)&lt;0,"Negativo",IF(VLOOKUP(BQ183,Fundamentus!A:U,21,FALSE)&lt;0.05,"Fraco",IF(VLOOKUP(BQ183,Fundamentus!A:U,21,FALSE)&lt;0.1,"Bom",IF(VLOOKUP(BQ183,Fundamentus!A:U,21,FALSE)&gt;0.1,"Muito bom","n/a"))))</f>
        <v>Muito bom</v>
      </c>
      <c r="EY183" s="29" t="str">
        <f>IF(VLOOKUP(BQ183,Fundamentus!A:U,15,FALSE)&gt;1,"Bom",IF(VLOOKUP(BQ183,Fundamentus!A:U,15,FALSE)&lt;1,"Ruim","n/a"))</f>
        <v>Bom</v>
      </c>
      <c r="EZ183" s="17" t="str">
        <f>IF(VLOOKUP(BQ183,Fundamentus!A:U,20,FALSE)&lt;0.5,"Baixa",IF(VLOOKUP(BQ183,Fundamentus!A:U,20,FALSE)&lt;1,"Moderada",IF(VLOOKUP(BQ183,Fundamentus!A:U,20,FALSE)&lt;2,"Alerta",IF(VLOOKUP(BQ183,Fundamentus!A:U,20,FALSE)&gt;2,"Alta","n/a"))))</f>
        <v>Baixa</v>
      </c>
      <c r="FA183" s="10"/>
    </row>
    <row r="184" spans="1:157" s="2" customFormat="1" ht="11.25" hidden="1" x14ac:dyDescent="0.2">
      <c r="A184" s="4">
        <v>9.7799999999999994</v>
      </c>
      <c r="B184" s="4">
        <v>9.9600000000000009</v>
      </c>
      <c r="C184" s="4">
        <v>9.93</v>
      </c>
      <c r="D184" s="4">
        <v>9.74</v>
      </c>
      <c r="E184" s="4">
        <v>9.56</v>
      </c>
      <c r="F184" s="4">
        <v>9.5299999999999994</v>
      </c>
      <c r="G184" s="4">
        <v>9.15</v>
      </c>
      <c r="H184" s="4">
        <v>8.85</v>
      </c>
      <c r="I184" s="4">
        <v>9.1199999999999992</v>
      </c>
      <c r="J184" s="4">
        <v>9.34</v>
      </c>
      <c r="K184" s="4">
        <v>9.31</v>
      </c>
      <c r="L184" s="4">
        <v>8.8699999999999992</v>
      </c>
      <c r="M184" s="4">
        <v>8.66</v>
      </c>
      <c r="N184" s="4">
        <v>8.58</v>
      </c>
      <c r="O184" s="4">
        <v>8.35</v>
      </c>
      <c r="P184" s="4">
        <v>8.06</v>
      </c>
      <c r="Q184" s="4">
        <v>8.27</v>
      </c>
      <c r="R184" s="4">
        <v>7.7</v>
      </c>
      <c r="S184" s="4">
        <v>7.42</v>
      </c>
      <c r="T184" s="4">
        <v>7.4</v>
      </c>
      <c r="U184" s="4">
        <v>7.05</v>
      </c>
      <c r="V184" s="4">
        <v>7.11</v>
      </c>
      <c r="W184" s="4">
        <v>7.05</v>
      </c>
      <c r="X184" s="4">
        <v>6.89</v>
      </c>
      <c r="Y184" s="4">
        <v>7</v>
      </c>
      <c r="Z184" s="4">
        <v>7.13</v>
      </c>
      <c r="AA184" s="4">
        <v>7.22</v>
      </c>
      <c r="AB184" s="4">
        <v>6.52</v>
      </c>
      <c r="AC184" s="4">
        <v>6.77</v>
      </c>
      <c r="AD184" s="4">
        <v>6.86</v>
      </c>
      <c r="AE184" s="4">
        <v>6.29</v>
      </c>
      <c r="AF184" s="4">
        <v>6</v>
      </c>
      <c r="AG184" s="4">
        <v>6.18</v>
      </c>
      <c r="AH184" s="4">
        <v>6.18</v>
      </c>
      <c r="AI184" s="4">
        <v>6.32</v>
      </c>
      <c r="AJ184" s="4">
        <v>6.41</v>
      </c>
      <c r="AK184" s="4">
        <v>6.24</v>
      </c>
      <c r="AL184" s="4">
        <v>6.21</v>
      </c>
      <c r="AM184" s="4">
        <v>6.13</v>
      </c>
      <c r="AN184" s="4">
        <v>6.2</v>
      </c>
      <c r="AO184" s="4">
        <v>6.37</v>
      </c>
      <c r="AP184" s="4">
        <v>6.74</v>
      </c>
      <c r="AQ184" s="4">
        <v>6.75</v>
      </c>
      <c r="AR184" s="4">
        <v>6.33</v>
      </c>
      <c r="AS184" s="4">
        <v>6.64</v>
      </c>
      <c r="AT184" s="4">
        <v>6.9</v>
      </c>
      <c r="AU184" s="4">
        <v>6.875</v>
      </c>
      <c r="AV184" s="4">
        <v>7.03</v>
      </c>
      <c r="AW184" s="4">
        <v>7.23</v>
      </c>
      <c r="AX184" s="4">
        <v>7.28</v>
      </c>
      <c r="AY184" s="12">
        <v>7.23</v>
      </c>
      <c r="AZ184" s="12">
        <v>7.39</v>
      </c>
      <c r="BA184" s="12">
        <v>7.4</v>
      </c>
      <c r="BB184" s="15">
        <v>8.11</v>
      </c>
      <c r="BC184" s="52">
        <v>9.14</v>
      </c>
      <c r="BD184" s="52">
        <v>9.08</v>
      </c>
      <c r="BE184" s="52">
        <v>9.18</v>
      </c>
      <c r="BF184" s="52">
        <v>8.93</v>
      </c>
      <c r="BG184" s="67">
        <v>9.15</v>
      </c>
      <c r="BH184" s="52">
        <v>9.06</v>
      </c>
      <c r="BI184" s="52">
        <v>9.23</v>
      </c>
      <c r="BJ184" s="52">
        <v>8.94</v>
      </c>
      <c r="BK184" s="52">
        <v>8.56</v>
      </c>
      <c r="BL184" s="52">
        <v>8.5299999999999994</v>
      </c>
      <c r="BM184" s="52">
        <v>8.49</v>
      </c>
      <c r="BN184" s="52">
        <v>8.64</v>
      </c>
      <c r="BO184" s="52">
        <v>9.75</v>
      </c>
      <c r="BP184" s="52" cm="1">
        <f t="array" aca="1" ref="BP184" ca="1">_FV(ED184,"Preço")</f>
        <v>9.4</v>
      </c>
      <c r="BQ184" s="69" t="s">
        <v>67</v>
      </c>
      <c r="BR184" s="36" cm="1">
        <f t="array" aca="1" ref="BR184" ca="1">_FV(ED184,"Média de volume",TRUE)</f>
        <v>2415310</v>
      </c>
      <c r="BS184" s="36">
        <v>5435100</v>
      </c>
      <c r="BT184" s="36" cm="1">
        <f t="array" aca="1" ref="BT184" ca="1">_FV(ED184,"Volume")</f>
        <v>998800</v>
      </c>
      <c r="BU184" s="24" cm="1">
        <f t="array" aca="1" ref="BU184" ca="1">_FV(ED184,"Beta")</f>
        <v>1.0237000000000001</v>
      </c>
      <c r="BV184" s="71" cm="1">
        <f t="array" aca="1" ref="BV184" ca="1">_FV(ED184,"Variação (%)",TRUE)</f>
        <v>-8.4390000000000003E-3</v>
      </c>
      <c r="BX184" s="17" cm="1">
        <f t="array" aca="1" ref="BX184" ca="1">_FV(ED184,"Baixo")</f>
        <v>9.27</v>
      </c>
      <c r="BY184" s="17" cm="1">
        <f t="array" aca="1" ref="BY184" ca="1">_FV(ED184,"Alto")</f>
        <v>9.5399999999999991</v>
      </c>
      <c r="BZ184" s="24"/>
      <c r="CA184" s="63">
        <f ca="1">SQRT(22.5*(BP184/VLOOKUP(BQ184,Fundamentus!A:U,3,FALSE))*(BP184/VLOOKUP(BQ184,Fundamentus!A:U,4,FALSE)))</f>
        <v>6.7559300978630965</v>
      </c>
      <c r="CC184" s="62">
        <f t="shared" ca="1" si="168"/>
        <v>-3.589743589743586E-2</v>
      </c>
      <c r="CD184" s="8"/>
      <c r="CE184" s="61">
        <f t="shared" si="169"/>
        <v>6</v>
      </c>
      <c r="CF184" s="61">
        <f t="shared" si="170"/>
        <v>9.9600000000000009</v>
      </c>
      <c r="CG184" s="61">
        <f t="shared" si="171"/>
        <v>7.8252985074626862</v>
      </c>
      <c r="CH184" s="14"/>
      <c r="CI184" s="35">
        <f t="shared" si="154"/>
        <v>8.8439505735913926</v>
      </c>
      <c r="CJ184" s="15">
        <f t="shared" si="172"/>
        <v>9.8049999999998363</v>
      </c>
      <c r="CK184" s="35">
        <f t="shared" si="155"/>
        <v>10.76604942640828</v>
      </c>
      <c r="CM184" s="14"/>
      <c r="CN184" s="17">
        <f t="shared" si="156"/>
        <v>3.2199999999999989</v>
      </c>
      <c r="CO184" s="17">
        <f t="shared" si="157"/>
        <v>4.6099999999999994</v>
      </c>
      <c r="CP184" s="17">
        <f t="shared" si="158"/>
        <v>7.18</v>
      </c>
      <c r="CQ184" s="38">
        <f t="shared" si="173"/>
        <v>8.57</v>
      </c>
      <c r="CR184" s="17">
        <f t="shared" si="159"/>
        <v>11.14</v>
      </c>
      <c r="CS184" s="17">
        <f t="shared" si="160"/>
        <v>12.530000000000001</v>
      </c>
      <c r="CT184" s="17">
        <f t="shared" si="161"/>
        <v>15.100000000000001</v>
      </c>
      <c r="CU184" s="2" cm="1">
        <f t="array" aca="1" ref="CU184" ca="1">MAX(_xlfn._xlws.FILTER(CN184:CT184,CN184:CT184&lt;BP184))</f>
        <v>8.57</v>
      </c>
      <c r="CV184" s="2" cm="1">
        <f t="array" aca="1" ref="CV184" ca="1">MIN(_xlfn._xlws.FILTER($CN184:$CT184,$CN184:$CT184&gt;BP184))</f>
        <v>11.14</v>
      </c>
      <c r="CW184" s="16">
        <f t="shared" ca="1" si="192"/>
        <v>0.2998833138856476</v>
      </c>
      <c r="CX184" s="20">
        <f t="shared" ca="1" si="193"/>
        <v>-0.1499416569428238</v>
      </c>
      <c r="CY184" s="20">
        <f t="shared" ca="1" si="194"/>
        <v>-9.9961104628549194E-2</v>
      </c>
      <c r="CZ184" s="20">
        <f t="shared" ca="1" si="195"/>
        <v>-5.997666277712952E-2</v>
      </c>
      <c r="DA184" s="20">
        <f t="shared" ca="1" si="196"/>
        <v>-3.33203682095164E-2</v>
      </c>
      <c r="DB184" s="20">
        <f t="shared" ca="1" si="197"/>
        <v>-1.7640194934449859E-2</v>
      </c>
      <c r="DC184" s="20">
        <f t="shared" ca="1" si="198"/>
        <v>-9.0873731480499275E-3</v>
      </c>
      <c r="DD184" s="20">
        <f t="shared" ca="1" si="199"/>
        <v>-4.613589444394578E-3</v>
      </c>
      <c r="DE184" s="21">
        <f t="shared" ca="1" si="200"/>
        <v>4.613589444394578E-3</v>
      </c>
      <c r="DF184" s="21">
        <f t="shared" ca="1" si="201"/>
        <v>9.0873731480499275E-3</v>
      </c>
      <c r="DG184" s="21">
        <f t="shared" ca="1" si="202"/>
        <v>1.7640194934449859E-2</v>
      </c>
      <c r="DH184" s="21">
        <f t="shared" ca="1" si="203"/>
        <v>3.33203682095164E-2</v>
      </c>
      <c r="DI184" s="21">
        <f t="shared" ca="1" si="204"/>
        <v>5.997666277712952E-2</v>
      </c>
      <c r="DJ184" s="21">
        <f t="shared" ca="1" si="205"/>
        <v>9.9961104628549194E-2</v>
      </c>
      <c r="DK184" s="21">
        <f t="shared" ca="1" si="206"/>
        <v>0.1499416569428238</v>
      </c>
      <c r="DM184" s="16" cm="1">
        <f t="array" aca="1" ref="DM184" ca="1">MAX(_xlfn._xlws.FILTER(CX184:DK184,CX184:DK184&lt;BV184))</f>
        <v>-9.0873731480499275E-3</v>
      </c>
      <c r="DN184" s="16" cm="1">
        <f t="array" aca="1" ref="DN184" ca="1">MIN(_xlfn._xlws.FILTER(CX184:DK184,CX184:DK184&gt;BV184))</f>
        <v>-4.613589444394578E-3</v>
      </c>
      <c r="DO184" s="2" cm="1">
        <f t="array" aca="1" ref="DO184" ca="1">_FV(ED184,"Fechamento anterior",TRUE)</f>
        <v>9.48</v>
      </c>
      <c r="DP184" s="28">
        <f t="shared" ca="1" si="162"/>
        <v>0.14496780032506915</v>
      </c>
      <c r="DQ184" s="15">
        <f t="shared" ca="1" si="207"/>
        <v>9.3938517025564874</v>
      </c>
      <c r="DR184" s="15">
        <f t="shared" ca="1" si="208"/>
        <v>9.4362631720671395</v>
      </c>
      <c r="DS184" s="9"/>
      <c r="DT184" s="9"/>
      <c r="DU184" s="9"/>
      <c r="DV184" s="89">
        <v>3.9984441851419673E-2</v>
      </c>
      <c r="DW184" s="89">
        <f t="shared" ca="1" si="163"/>
        <v>4.4737837036553495E-3</v>
      </c>
      <c r="DX184" s="72">
        <f t="shared" ca="1" si="164"/>
        <v>-0.42141432986789162</v>
      </c>
      <c r="DY184" s="37"/>
      <c r="DZ184" s="35">
        <f t="shared" si="174"/>
        <v>0.48052471320422213</v>
      </c>
      <c r="EA184" s="56"/>
      <c r="EB184" s="56"/>
      <c r="ED184" s="2" t="e" vm="186">
        <v>#VALUE!</v>
      </c>
      <c r="EF184" s="10" cm="1">
        <f t="array" aca="1" ref="EF184" ca="1">_FV(ED184,"Ações em circulação",TRUE)</f>
        <v>683062200</v>
      </c>
      <c r="EG184" s="18">
        <f>VLOOKUP(BQ184,Fundamentus!A:U,5,FALSE)</f>
        <v>1.3759999999999999</v>
      </c>
      <c r="EH184" s="2">
        <f t="shared" ca="1" si="165"/>
        <v>4666267936.0465117</v>
      </c>
      <c r="EI184" s="17">
        <v>221188546.34084305</v>
      </c>
      <c r="EJ184" s="17">
        <f t="shared" ca="1" si="166"/>
        <v>213248444.67732558</v>
      </c>
      <c r="EL184" s="16">
        <f t="shared" ca="1" si="153"/>
        <v>-3.5897435897435992E-2</v>
      </c>
      <c r="EM184" s="32" t="str">
        <f>IF(VLOOKUP(BQ184,Fundamentus!A:U,3,FALSE)&lt;15,"Bom",IF(VLOOKUP(BQ184,Fundamentus!A:U,3,FALSE)&gt;15,"Ruim","n/a"))</f>
        <v>Ruim</v>
      </c>
      <c r="EN184" s="28" t="str">
        <f>IF(VLOOKUP(BQ184,Fundamentus!A:U,4,FALSE)&lt;1,"Baixo",IF(VLOOKUP(BQ184,Fundamentus!A:U,4,FALSE)&lt;1.5,"Moderado",IF(VLOOKUP(BQ184,Fundamentus!A:U,4,FALSE)&gt;1.5,"Alto","n/a")))</f>
        <v>Moderado</v>
      </c>
      <c r="EO184" s="17" t="str">
        <f>IF(VLOOKUP(BQ184,Fundamentus!A:U,8,FALSE)&lt;0,"Risco elevado",IF(VLOOKUP(BQ184,Fundamentus!A:U,8,FALSE)&lt;1,"Saudável",IF(VLOOKUP(BQ184,Fundamentus!A:U,8,FALSE)&lt;3,"Estável",IF(VLOOKUP(BQ184,Fundamentus!A:U,8,FALSE)&gt;3,"Alerta","n/a"))))</f>
        <v>Alerta</v>
      </c>
      <c r="EP184" s="28" t="str">
        <f t="shared" si="167"/>
        <v>Bom</v>
      </c>
      <c r="EQ184" s="17" t="str">
        <f>IF(VLOOKUP(BQ184,Fundamentus!A:U,12,FALSE)&lt;2,"Subvalorizada",IF(VLOOKUP(BQ184,Fundamentus!A:U,12,FALSE)&lt;6,"Muita barata",IF(VLOOKUP(BQ184,Fundamentus!A:U,12,FALSE)&lt;6,"Barata",IF(VLOOKUP(BQ184,Fundamentus!A:U,12,FALSE)&lt;8,"Atrativa",IF(VLOOKUP(BQ184,Fundamentus!A:U,12,FALSE)&gt;8,"Supervalorizada","n/a")))))</f>
        <v>Supervalorizada</v>
      </c>
      <c r="ES184" s="17" t="str">
        <f>IF(VLOOKUP(BQ184,Fundamentus!A:U,17,FALSE)&lt;0.1,"Fraco retorno",IF(VLOOKUP(BQ184,Fundamentus!A:U,17,FALSE)&gt;0.1,"Bom retorno","n/a"))</f>
        <v>Fraco retorno</v>
      </c>
      <c r="ET184" s="17" t="str">
        <f>IF(VLOOKUP(BQ184,Fundamentus!A:U,16,FALSE)&lt;0.1,"Ineficiente",IF(VLOOKUP(BQ184,Fundamentus!A:U,16,FALSE)&gt;0.1,"Eficiente","n/a"))</f>
        <v>Ineficiente</v>
      </c>
      <c r="EU184" s="33" t="str">
        <f>IF(VLOOKUP(BQ184,Fundamentus!A:U,16,FALSE)&lt;0.1,"Oper. Ineficiente",IF(VLOOKUP(BQ184,Fundamentus!A:U,16,FALSE)&gt;0.1,"Oper.Eficiente","n/a"))</f>
        <v>Oper. Ineficiente</v>
      </c>
      <c r="EV184" s="34">
        <f>VLOOKUP(BQ184,Fundamentus!A:U,14,FALSE)</f>
        <v>4.5699999999999998E-2</v>
      </c>
      <c r="EW184" s="17" t="str">
        <f>IF(VLOOKUP(BQ184,Fundamentus!A:U,21,FALSE)&lt;0,"Negativo",IF(VLOOKUP(BQ184,Fundamentus!A:U,21,FALSE)&lt;0.05,"Fraco",IF(VLOOKUP(BQ184,Fundamentus!A:U,21,FALSE)&lt;0.1,"Bom",IF(VLOOKUP(BQ184,Fundamentus!A:U,21,FALSE)&gt;0.1,"Muito bom","n/a"))))</f>
        <v>Fraco</v>
      </c>
      <c r="EY184" s="29" t="str">
        <f>IF(VLOOKUP(BQ184,Fundamentus!A:U,15,FALSE)&gt;1,"Bom",IF(VLOOKUP(BQ184,Fundamentus!A:U,15,FALSE)&lt;1,"Ruim","n/a"))</f>
        <v>Bom</v>
      </c>
      <c r="EZ184" s="17" t="str">
        <f>IF(VLOOKUP(BQ184,Fundamentus!A:U,20,FALSE)&lt;0.5,"Baixa",IF(VLOOKUP(BQ184,Fundamentus!A:U,20,FALSE)&lt;1,"Moderada",IF(VLOOKUP(BQ184,Fundamentus!A:U,20,FALSE)&lt;2,"Alerta",IF(VLOOKUP(BQ184,Fundamentus!A:U,20,FALSE)&gt;2,"Alta","n/a"))))</f>
        <v>Baixa</v>
      </c>
      <c r="FA184" s="10"/>
    </row>
    <row r="185" spans="1:157" s="5" customFormat="1" ht="11.25" hidden="1" x14ac:dyDescent="0.2">
      <c r="A185" s="4">
        <v>2.09</v>
      </c>
      <c r="B185" s="4">
        <v>1.98</v>
      </c>
      <c r="C185" s="4">
        <v>2.17</v>
      </c>
      <c r="D185" s="4">
        <v>2.16</v>
      </c>
      <c r="E185" s="4">
        <v>2.13</v>
      </c>
      <c r="F185" s="4">
        <v>2.06</v>
      </c>
      <c r="G185" s="4">
        <v>1.99</v>
      </c>
      <c r="H185" s="4">
        <v>1.91</v>
      </c>
      <c r="I185" s="4">
        <v>1.97</v>
      </c>
      <c r="J185" s="4">
        <v>2.1800000000000002</v>
      </c>
      <c r="K185" s="4">
        <v>2.1800000000000002</v>
      </c>
      <c r="L185" s="4">
        <v>1.96</v>
      </c>
      <c r="M185" s="4">
        <v>1.99</v>
      </c>
      <c r="N185" s="4">
        <v>1.95</v>
      </c>
      <c r="O185" s="4">
        <v>2.12</v>
      </c>
      <c r="P185" s="4">
        <v>1.79</v>
      </c>
      <c r="Q185" s="4">
        <v>2</v>
      </c>
      <c r="R185" s="4">
        <v>1.86</v>
      </c>
      <c r="S185" s="4">
        <v>1.84</v>
      </c>
      <c r="T185" s="4">
        <v>1.82</v>
      </c>
      <c r="U185" s="4">
        <v>1.59</v>
      </c>
      <c r="V185" s="4">
        <v>1.64</v>
      </c>
      <c r="W185" s="4">
        <v>1.65</v>
      </c>
      <c r="X185" s="4">
        <v>1.61</v>
      </c>
      <c r="Y185" s="4">
        <v>1.55</v>
      </c>
      <c r="Z185" s="4">
        <v>1.62</v>
      </c>
      <c r="AA185" s="4">
        <v>1.59</v>
      </c>
      <c r="AB185" s="4">
        <v>1.51</v>
      </c>
      <c r="AC185" s="4">
        <v>1.46</v>
      </c>
      <c r="AD185" s="4">
        <v>1.44</v>
      </c>
      <c r="AE185" s="4">
        <v>1.27</v>
      </c>
      <c r="AF185" s="4">
        <v>1.17</v>
      </c>
      <c r="AG185" s="4">
        <v>1.1399999999999999</v>
      </c>
      <c r="AH185" s="4">
        <v>1.1000000000000001</v>
      </c>
      <c r="AI185" s="4">
        <v>1.06</v>
      </c>
      <c r="AJ185" s="4">
        <v>1.05</v>
      </c>
      <c r="AK185" s="4">
        <v>1.1499999999999999</v>
      </c>
      <c r="AL185" s="4">
        <v>1.1399999999999999</v>
      </c>
      <c r="AM185" s="4">
        <v>1.0900000000000001</v>
      </c>
      <c r="AN185" s="4">
        <v>1.24</v>
      </c>
      <c r="AO185" s="4">
        <v>1.1599999999999999</v>
      </c>
      <c r="AP185" s="4">
        <v>1.27</v>
      </c>
      <c r="AQ185" s="4">
        <v>1.24</v>
      </c>
      <c r="AR185" s="4">
        <v>1.1299999999999999</v>
      </c>
      <c r="AS185" s="4">
        <v>1.1599999999999999</v>
      </c>
      <c r="AT185" s="4">
        <v>1.21</v>
      </c>
      <c r="AU185" s="4">
        <v>1.2050000000000001</v>
      </c>
      <c r="AV185" s="4">
        <v>1.26</v>
      </c>
      <c r="AW185" s="4">
        <v>1.22</v>
      </c>
      <c r="AX185" s="4">
        <v>1.18</v>
      </c>
      <c r="AY185" s="12">
        <v>1.23</v>
      </c>
      <c r="AZ185" s="12">
        <v>1.3</v>
      </c>
      <c r="BA185" s="12">
        <v>1.22</v>
      </c>
      <c r="BB185" s="15">
        <v>1.29</v>
      </c>
      <c r="BC185" s="52">
        <v>1.26</v>
      </c>
      <c r="BD185" s="52">
        <v>1</v>
      </c>
      <c r="BE185" s="52">
        <v>1.04</v>
      </c>
      <c r="BF185" s="52">
        <v>1.07</v>
      </c>
      <c r="BG185" s="67">
        <v>1.07</v>
      </c>
      <c r="BH185" s="52">
        <v>1.08</v>
      </c>
      <c r="BI185" s="52">
        <v>1.08</v>
      </c>
      <c r="BJ185" s="52">
        <v>1.07</v>
      </c>
      <c r="BK185" s="52">
        <v>1.04</v>
      </c>
      <c r="BL185" s="52">
        <v>1.05</v>
      </c>
      <c r="BM185" s="52">
        <v>1.03</v>
      </c>
      <c r="BN185" s="52">
        <v>1</v>
      </c>
      <c r="BO185" s="52">
        <v>1.07</v>
      </c>
      <c r="BP185" s="52" cm="1">
        <f t="array" aca="1" ref="BP185" ca="1">_FV(ED185,"Preço")</f>
        <v>1.01</v>
      </c>
      <c r="BQ185" s="69" t="s">
        <v>181</v>
      </c>
      <c r="BR185" s="36" cm="1">
        <f t="array" aca="1" ref="BR185" ca="1">_FV(ED185,"Média de volume",TRUE)</f>
        <v>1206550</v>
      </c>
      <c r="BS185" s="36">
        <v>475400</v>
      </c>
      <c r="BT185" s="36" cm="1">
        <f t="array" aca="1" ref="BT185" ca="1">_FV(ED185,"Volume")</f>
        <v>1322700</v>
      </c>
      <c r="BU185" s="24" cm="1">
        <f t="array" aca="1" ref="BU185" ca="1">_FV(ED185,"Beta")</f>
        <v>1.8257000000000001</v>
      </c>
      <c r="BV185" s="71" cm="1">
        <f t="array" aca="1" ref="BV185" ca="1">_FV(ED185,"Variação (%)",TRUE)</f>
        <v>0</v>
      </c>
      <c r="BX185" s="17" cm="1">
        <f t="array" aca="1" ref="BX185" ca="1">_FV(ED185,"Baixo")</f>
        <v>0.99</v>
      </c>
      <c r="BY185" s="17" cm="1">
        <f t="array" aca="1" ref="BY185" ca="1">_FV(ED185,"Alto")</f>
        <v>1.01</v>
      </c>
      <c r="BZ185" s="24"/>
      <c r="CA185" s="63" t="e">
        <f ca="1">SQRT(22.5*(BP185/VLOOKUP(BQ185,Fundamentus!A:U,3,FALSE))*(BP185/VLOOKUP(BQ185,Fundamentus!A:U,4,FALSE)))</f>
        <v>#NUM!</v>
      </c>
      <c r="CC185" s="62">
        <f t="shared" ca="1" si="168"/>
        <v>-5.6074766355140235E-2</v>
      </c>
      <c r="CD185" s="8"/>
      <c r="CE185" s="61">
        <f t="shared" si="169"/>
        <v>1</v>
      </c>
      <c r="CF185" s="61">
        <f t="shared" si="170"/>
        <v>2.1800000000000002</v>
      </c>
      <c r="CG185" s="61">
        <f t="shared" si="171"/>
        <v>1.4649999999999996</v>
      </c>
      <c r="CH185" s="14"/>
      <c r="CI185" s="35">
        <f t="shared" si="154"/>
        <v>0.99869665238884076</v>
      </c>
      <c r="CJ185" s="15">
        <f t="shared" si="172"/>
        <v>1.0450000000000017</v>
      </c>
      <c r="CK185" s="35">
        <f t="shared" si="155"/>
        <v>1.0913033476111627</v>
      </c>
      <c r="CM185" s="14"/>
      <c r="CN185" s="17">
        <f t="shared" si="156"/>
        <v>-0.52666666666666684</v>
      </c>
      <c r="CO185" s="17">
        <f t="shared" si="157"/>
        <v>0.23666666666666658</v>
      </c>
      <c r="CP185" s="17">
        <f t="shared" si="158"/>
        <v>0.65333333333333332</v>
      </c>
      <c r="CQ185" s="38">
        <f t="shared" si="173"/>
        <v>1.4166666666666667</v>
      </c>
      <c r="CR185" s="17">
        <f t="shared" si="159"/>
        <v>1.8333333333333335</v>
      </c>
      <c r="CS185" s="17">
        <f t="shared" si="160"/>
        <v>2.5966666666666667</v>
      </c>
      <c r="CT185" s="17">
        <f t="shared" si="161"/>
        <v>3.0133333333333336</v>
      </c>
      <c r="CU185" s="2" cm="1">
        <f t="array" aca="1" ref="CU185" ca="1">MAX(_xlfn._xlws.FILTER(CN185:CT185,CN185:CT185&lt;BP185))</f>
        <v>0.65333333333333332</v>
      </c>
      <c r="CV185" s="2" cm="1">
        <f t="array" aca="1" ref="CV185" ca="1">MIN(_xlfn._xlws.FILTER($CN185:$CT185,$CN185:$CT185&gt;BP185))</f>
        <v>1.4166666666666667</v>
      </c>
      <c r="CW185" s="16">
        <f t="shared" ca="1" si="192"/>
        <v>1.1683673469387759</v>
      </c>
      <c r="CX185" s="20">
        <f t="shared" ca="1" si="193"/>
        <v>-0.58418367346938793</v>
      </c>
      <c r="CY185" s="20">
        <f t="shared" ca="1" si="194"/>
        <v>-0.38945578231292527</v>
      </c>
      <c r="CZ185" s="20">
        <f t="shared" ca="1" si="195"/>
        <v>-0.23367346938775518</v>
      </c>
      <c r="DA185" s="20">
        <f t="shared" ca="1" si="196"/>
        <v>-0.12981859410430843</v>
      </c>
      <c r="DB185" s="20">
        <f t="shared" ca="1" si="197"/>
        <v>-6.8727490996398577E-2</v>
      </c>
      <c r="DC185" s="20">
        <f t="shared" ca="1" si="198"/>
        <v>-3.5405071119356847E-2</v>
      </c>
      <c r="DD185" s="20">
        <f t="shared" ca="1" si="199"/>
        <v>-1.7974882260596552E-2</v>
      </c>
      <c r="DE185" s="21">
        <f t="shared" ca="1" si="200"/>
        <v>1.7974882260596552E-2</v>
      </c>
      <c r="DF185" s="21">
        <f t="shared" ca="1" si="201"/>
        <v>3.5405071119356847E-2</v>
      </c>
      <c r="DG185" s="21">
        <f t="shared" ca="1" si="202"/>
        <v>6.8727490996398577E-2</v>
      </c>
      <c r="DH185" s="21">
        <f t="shared" ca="1" si="203"/>
        <v>0.12981859410430843</v>
      </c>
      <c r="DI185" s="21">
        <f t="shared" ca="1" si="204"/>
        <v>0.23367346938775518</v>
      </c>
      <c r="DJ185" s="21">
        <f t="shared" ca="1" si="205"/>
        <v>0.38945578231292527</v>
      </c>
      <c r="DK185" s="21">
        <f t="shared" ca="1" si="206"/>
        <v>0.58418367346938793</v>
      </c>
      <c r="DM185" s="16" cm="1">
        <f t="array" aca="1" ref="DM185" ca="1">MAX(_xlfn._xlws.FILTER(CX185:DK185,CX185:DK185&lt;BV185))</f>
        <v>-1.7974882260596552E-2</v>
      </c>
      <c r="DN185" s="16" cm="1">
        <f t="array" aca="1" ref="DN185" ca="1">MIN(_xlfn._xlws.FILTER(CX185:DK185,CX185:DK185&gt;BV185))</f>
        <v>1.7974882260596552E-2</v>
      </c>
      <c r="DO185" s="2" cm="1">
        <f t="array" aca="1" ref="DO185" ca="1">_FV(ED185,"Fechamento anterior",TRUE)</f>
        <v>1.01</v>
      </c>
      <c r="DP185" s="28">
        <f t="shared" ca="1" si="162"/>
        <v>0.49999999999999845</v>
      </c>
      <c r="DQ185" s="15">
        <f t="shared" ca="1" si="207"/>
        <v>0.99184536891679753</v>
      </c>
      <c r="DR185" s="15">
        <f t="shared" ca="1" si="208"/>
        <v>1.0281546310832026</v>
      </c>
      <c r="DS185" s="9"/>
      <c r="DT185" s="9"/>
      <c r="DU185" s="9"/>
      <c r="DV185" s="89">
        <v>3.5949764521193105E-2</v>
      </c>
      <c r="DW185" s="89">
        <f t="shared" ca="1" si="163"/>
        <v>3.5949764521193105E-2</v>
      </c>
      <c r="DX185" s="72">
        <f t="shared" ca="1" si="164"/>
        <v>-0.75588487238372593</v>
      </c>
      <c r="DY185" s="37"/>
      <c r="DZ185" s="35">
        <f t="shared" si="174"/>
        <v>2.3151673805580471E-2</v>
      </c>
      <c r="EA185" s="56"/>
      <c r="EB185" s="56"/>
      <c r="ED185" s="5" t="e" vm="187">
        <v>#VALUE!</v>
      </c>
      <c r="EF185" s="10" cm="1">
        <f t="array" aca="1" ref="EF185" ca="1">_FV(ED185,"Ações em circulação",TRUE)</f>
        <v>820539200</v>
      </c>
      <c r="EG185" s="18">
        <f>VLOOKUP(BQ185,Fundamentus!A:U,5,FALSE)</f>
        <v>0.252</v>
      </c>
      <c r="EH185" s="2">
        <f t="shared" ca="1" si="165"/>
        <v>3288669015.8730159</v>
      </c>
      <c r="EI185" s="17">
        <v>-190925144.96507937</v>
      </c>
      <c r="EJ185" s="17">
        <f t="shared" ca="1" si="166"/>
        <v>-180219062.06984127</v>
      </c>
      <c r="EK185" s="2"/>
      <c r="EL185" s="16">
        <f t="shared" ca="1" si="153"/>
        <v>-5.6074766355140193E-2</v>
      </c>
      <c r="EM185" s="32" t="str">
        <f>IF(VLOOKUP(BQ185,Fundamentus!A:U,3,FALSE)&lt;15,"Bom",IF(VLOOKUP(BQ185,Fundamentus!A:U,3,FALSE)&gt;15,"Ruim","n/a"))</f>
        <v>Bom</v>
      </c>
      <c r="EN185" s="28" t="str">
        <f>IF(VLOOKUP(BQ185,Fundamentus!A:U,4,FALSE)&lt;1,"Baixo",IF(VLOOKUP(BQ185,Fundamentus!A:U,4,FALSE)&lt;1.5,"Moderado",IF(VLOOKUP(BQ185,Fundamentus!A:U,4,FALSE)&gt;1.5,"Alto","n/a")))</f>
        <v>Baixo</v>
      </c>
      <c r="EO185" s="17" t="str">
        <f>IF(VLOOKUP(BQ185,Fundamentus!A:U,8,FALSE)&lt;0,"Risco elevado",IF(VLOOKUP(BQ185,Fundamentus!A:U,8,FALSE)&lt;1,"Saudável",IF(VLOOKUP(BQ185,Fundamentus!A:U,8,FALSE)&lt;3,"Estável",IF(VLOOKUP(BQ185,Fundamentus!A:U,8,FALSE)&gt;3,"Alerta","n/a"))))</f>
        <v>Saudável</v>
      </c>
      <c r="EP185" s="28" t="str">
        <f t="shared" si="167"/>
        <v>Ruim</v>
      </c>
      <c r="EQ185" s="17" t="str">
        <f>IF(VLOOKUP(BQ185,Fundamentus!A:U,12,FALSE)&lt;2,"Subvalorizada",IF(VLOOKUP(BQ185,Fundamentus!A:U,12,FALSE)&lt;6,"Muita barata",IF(VLOOKUP(BQ185,Fundamentus!A:U,12,FALSE)&lt;6,"Barata",IF(VLOOKUP(BQ185,Fundamentus!A:U,12,FALSE)&lt;8,"Atrativa",IF(VLOOKUP(BQ185,Fundamentus!A:U,12,FALSE)&gt;8,"Supervalorizada","n/a")))))</f>
        <v>Subvalorizada</v>
      </c>
      <c r="ER185" s="2"/>
      <c r="ES185" s="17" t="str">
        <f>IF(VLOOKUP(BQ185,Fundamentus!A:U,17,FALSE)&lt;0.1,"Fraco retorno",IF(VLOOKUP(BQ185,Fundamentus!A:U,17,FALSE)&gt;0.1,"Bom retorno","n/a"))</f>
        <v>Fraco retorno</v>
      </c>
      <c r="ET185" s="17" t="str">
        <f>IF(VLOOKUP(BQ185,Fundamentus!A:U,16,FALSE)&lt;0.1,"Ineficiente",IF(VLOOKUP(BQ185,Fundamentus!A:U,16,FALSE)&gt;0.1,"Eficiente","n/a"))</f>
        <v>Ineficiente</v>
      </c>
      <c r="EU185" s="33" t="str">
        <f>IF(VLOOKUP(BQ185,Fundamentus!A:U,16,FALSE)&lt;0.1,"Oper. Ineficiente",IF(VLOOKUP(BQ185,Fundamentus!A:U,16,FALSE)&gt;0.1,"Oper.Eficiente","n/a"))</f>
        <v>Oper. Ineficiente</v>
      </c>
      <c r="EV185" s="34">
        <f>VLOOKUP(BQ185,Fundamentus!A:U,14,FALSE)</f>
        <v>-5.4800000000000001E-2</v>
      </c>
      <c r="EW185" s="17" t="str">
        <f>IF(VLOOKUP(BQ185,Fundamentus!A:U,21,FALSE)&lt;0,"Negativo",IF(VLOOKUP(BQ185,Fundamentus!A:U,21,FALSE)&lt;0.05,"Fraco",IF(VLOOKUP(BQ185,Fundamentus!A:U,21,FALSE)&lt;0.1,"Bom",IF(VLOOKUP(BQ185,Fundamentus!A:U,21,FALSE)&gt;0.1,"Muito bom","n/a"))))</f>
        <v>Negativo</v>
      </c>
      <c r="EY185" s="29" t="str">
        <f>IF(VLOOKUP(BQ185,Fundamentus!A:U,15,FALSE)&gt;1,"Bom",IF(VLOOKUP(BQ185,Fundamentus!A:U,15,FALSE)&lt;1,"Ruim","n/a"))</f>
        <v>Bom</v>
      </c>
      <c r="EZ185" s="17" t="str">
        <f>IF(VLOOKUP(BQ185,Fundamentus!A:U,20,FALSE)&lt;0.5,"Baixa",IF(VLOOKUP(BQ185,Fundamentus!A:U,20,FALSE)&lt;1,"Moderada",IF(VLOOKUP(BQ185,Fundamentus!A:U,20,FALSE)&lt;2,"Alerta",IF(VLOOKUP(BQ185,Fundamentus!A:U,20,FALSE)&gt;2,"Alta","n/a"))))</f>
        <v>Baixa</v>
      </c>
      <c r="FA185" s="10"/>
    </row>
    <row r="186" spans="1:157" s="2" customFormat="1" ht="11.25" hidden="1" x14ac:dyDescent="0.2">
      <c r="A186" s="4">
        <v>15.7</v>
      </c>
      <c r="B186" s="4">
        <v>14.16</v>
      </c>
      <c r="C186" s="4">
        <v>13.8</v>
      </c>
      <c r="D186" s="4">
        <v>13.81</v>
      </c>
      <c r="E186" s="4">
        <v>13.67</v>
      </c>
      <c r="F186" s="4">
        <v>14.56</v>
      </c>
      <c r="G186" s="4">
        <v>14.31</v>
      </c>
      <c r="H186" s="4">
        <v>14.73</v>
      </c>
      <c r="I186" s="4">
        <v>14.99</v>
      </c>
      <c r="J186" s="4">
        <v>15.55</v>
      </c>
      <c r="K186" s="4">
        <v>16.350000000000001</v>
      </c>
      <c r="L186" s="4">
        <v>16.149999999999999</v>
      </c>
      <c r="M186" s="4">
        <v>15.64</v>
      </c>
      <c r="N186" s="4">
        <v>14.85</v>
      </c>
      <c r="O186" s="4">
        <v>15.44</v>
      </c>
      <c r="P186" s="4">
        <v>15.52</v>
      </c>
      <c r="Q186" s="4">
        <v>15.98</v>
      </c>
      <c r="R186" s="4">
        <v>15.65</v>
      </c>
      <c r="S186" s="4">
        <v>16.28</v>
      </c>
      <c r="T186" s="4">
        <v>16.25</v>
      </c>
      <c r="U186" s="4">
        <v>15.78</v>
      </c>
      <c r="V186" s="4">
        <v>15.54</v>
      </c>
      <c r="W186" s="4">
        <v>15.6</v>
      </c>
      <c r="X186" s="4">
        <v>15</v>
      </c>
      <c r="Y186" s="4">
        <v>14.4</v>
      </c>
      <c r="Z186" s="4">
        <v>14.26</v>
      </c>
      <c r="AA186" s="4">
        <v>14.21</v>
      </c>
      <c r="AB186" s="4">
        <v>14.06</v>
      </c>
      <c r="AC186" s="4">
        <v>14</v>
      </c>
      <c r="AD186" s="4">
        <v>13.92</v>
      </c>
      <c r="AE186" s="4">
        <v>13.44</v>
      </c>
      <c r="AF186" s="4">
        <v>13.77</v>
      </c>
      <c r="AG186" s="4">
        <v>13.81</v>
      </c>
      <c r="AH186" s="4">
        <v>13.89</v>
      </c>
      <c r="AI186" s="4">
        <v>13.65</v>
      </c>
      <c r="AJ186" s="4">
        <v>13.31</v>
      </c>
      <c r="AK186" s="4">
        <v>13.33</v>
      </c>
      <c r="AL186" s="4">
        <v>13.41</v>
      </c>
      <c r="AM186" s="4">
        <v>13.6</v>
      </c>
      <c r="AN186" s="4">
        <v>13.41</v>
      </c>
      <c r="AO186" s="4">
        <v>13.35</v>
      </c>
      <c r="AP186" s="4">
        <v>13.5</v>
      </c>
      <c r="AQ186" s="4">
        <v>13.35</v>
      </c>
      <c r="AR186" s="4">
        <v>12.25</v>
      </c>
      <c r="AS186" s="4">
        <v>12.97</v>
      </c>
      <c r="AT186" s="4">
        <v>12.95</v>
      </c>
      <c r="AU186" s="4">
        <v>12.785</v>
      </c>
      <c r="AV186" s="4">
        <v>12.3</v>
      </c>
      <c r="AW186" s="4">
        <v>12.1</v>
      </c>
      <c r="AX186" s="4">
        <v>12.35</v>
      </c>
      <c r="AY186" s="12">
        <v>12.54</v>
      </c>
      <c r="AZ186" s="12">
        <v>12.5</v>
      </c>
      <c r="BA186" s="12">
        <v>12.57</v>
      </c>
      <c r="BB186" s="15">
        <v>13.75</v>
      </c>
      <c r="BC186" s="52">
        <v>15.28</v>
      </c>
      <c r="BD186" s="52">
        <v>17.989999999999998</v>
      </c>
      <c r="BE186" s="52">
        <v>18.79</v>
      </c>
      <c r="BF186" s="52">
        <v>18.8</v>
      </c>
      <c r="BG186" s="67">
        <v>18.399999999999999</v>
      </c>
      <c r="BH186" s="52">
        <v>18.39</v>
      </c>
      <c r="BI186" s="52">
        <v>18.7</v>
      </c>
      <c r="BJ186" s="52">
        <v>18.760000000000002</v>
      </c>
      <c r="BK186" s="52">
        <v>17.170000000000002</v>
      </c>
      <c r="BL186" s="52">
        <v>17.18</v>
      </c>
      <c r="BM186" s="52">
        <v>17.2</v>
      </c>
      <c r="BN186" s="52">
        <v>17.399999999999999</v>
      </c>
      <c r="BO186" s="52">
        <v>17.68</v>
      </c>
      <c r="BP186" s="52" cm="1">
        <f t="array" aca="1" ref="BP186" ca="1">_FV(ED186,"Preço")</f>
        <v>17.600000000000001</v>
      </c>
      <c r="BQ186" s="69" t="s">
        <v>11</v>
      </c>
      <c r="BR186" s="36" cm="1">
        <f t="array" aca="1" ref="BR186" ca="1">_FV(ED186,"Média de volume",TRUE)</f>
        <v>34920</v>
      </c>
      <c r="BS186" s="36">
        <v>43800</v>
      </c>
      <c r="BT186" s="36" cm="1">
        <f t="array" aca="1" ref="BT186" ca="1">_FV(ED186,"Volume")</f>
        <v>20100</v>
      </c>
      <c r="BU186" s="24" cm="1">
        <f t="array" aca="1" ref="BU186" ca="1">_FV(ED186,"Beta")</f>
        <v>1.0196000000000001</v>
      </c>
      <c r="BV186" s="71" cm="1">
        <f t="array" aca="1" ref="BV186" ca="1">_FV(ED186,"Variação (%)",TRUE)</f>
        <v>1.4409E-2</v>
      </c>
      <c r="BX186" s="17" cm="1">
        <f t="array" aca="1" ref="BX186" ca="1">_FV(ED186,"Baixo")</f>
        <v>17.350000000000001</v>
      </c>
      <c r="BY186" s="17" cm="1">
        <f t="array" aca="1" ref="BY186" ca="1">_FV(ED186,"Alto")</f>
        <v>17.600000000000001</v>
      </c>
      <c r="BZ186" s="24"/>
      <c r="CA186" s="17">
        <f ca="1">SQRT(22.5*(BP186/VLOOKUP(BQ186,Fundamentus!A:U,3,FALSE))*(BP186/VLOOKUP(BQ186,Fundamentus!A:U,4,FALSE)))</f>
        <v>42.016062929229207</v>
      </c>
      <c r="CC186" s="62">
        <f t="shared" ca="1" si="168"/>
        <v>-4.5248868778279576E-3</v>
      </c>
      <c r="CD186" s="8"/>
      <c r="CE186" s="61">
        <f t="shared" si="169"/>
        <v>12.1</v>
      </c>
      <c r="CF186" s="61">
        <f t="shared" si="170"/>
        <v>18.8</v>
      </c>
      <c r="CG186" s="61">
        <f t="shared" si="171"/>
        <v>14.877388059701488</v>
      </c>
      <c r="CH186" s="14"/>
      <c r="CI186" s="35">
        <f t="shared" si="154"/>
        <v>17.397755178491764</v>
      </c>
      <c r="CJ186" s="15">
        <f t="shared" si="172"/>
        <v>17.789999999999964</v>
      </c>
      <c r="CK186" s="35">
        <f t="shared" si="155"/>
        <v>18.182244821508164</v>
      </c>
      <c r="CM186" s="14"/>
      <c r="CN186" s="17">
        <f t="shared" si="156"/>
        <v>6.8866666666666614</v>
      </c>
      <c r="CO186" s="17">
        <f t="shared" si="157"/>
        <v>9.4933333333333305</v>
      </c>
      <c r="CP186" s="17">
        <f t="shared" si="158"/>
        <v>13.586666666666662</v>
      </c>
      <c r="CQ186" s="38">
        <f t="shared" si="173"/>
        <v>16.193333333333332</v>
      </c>
      <c r="CR186" s="17">
        <f t="shared" si="159"/>
        <v>20.286666666666662</v>
      </c>
      <c r="CS186" s="17">
        <f t="shared" si="160"/>
        <v>22.893333333333331</v>
      </c>
      <c r="CT186" s="17">
        <f t="shared" si="161"/>
        <v>26.986666666666665</v>
      </c>
      <c r="CU186" s="2" cm="1">
        <f t="array" aca="1" ref="CU186" ca="1">MAX(_xlfn._xlws.FILTER(CN186:CT186,CN186:CT186&lt;BP186))</f>
        <v>16.193333333333332</v>
      </c>
      <c r="CV186" s="2" cm="1">
        <f t="array" aca="1" ref="CV186" ca="1">MIN(_xlfn._xlws.FILTER($CN186:$CT186,$CN186:$CT186&gt;BP186))</f>
        <v>20.286666666666662</v>
      </c>
      <c r="CW186" s="16">
        <f t="shared" ca="1" si="192"/>
        <v>0.25277892136681746</v>
      </c>
      <c r="CX186" s="20">
        <f t="shared" ca="1" si="193"/>
        <v>-0.12638946068340873</v>
      </c>
      <c r="CY186" s="20">
        <f t="shared" ca="1" si="194"/>
        <v>-8.4259640455605814E-2</v>
      </c>
      <c r="CZ186" s="20">
        <f t="shared" ca="1" si="195"/>
        <v>-5.0555784273363491E-2</v>
      </c>
      <c r="DA186" s="20">
        <f t="shared" ca="1" si="196"/>
        <v>-2.8086546818535271E-2</v>
      </c>
      <c r="DB186" s="20">
        <f t="shared" ca="1" si="197"/>
        <v>-1.4869348315695145E-2</v>
      </c>
      <c r="DC186" s="20">
        <f t="shared" ca="1" si="198"/>
        <v>-7.6599673141459837E-3</v>
      </c>
      <c r="DD186" s="20">
        <f t="shared" ca="1" si="199"/>
        <v>-3.8889064825664223E-3</v>
      </c>
      <c r="DE186" s="21">
        <f t="shared" ca="1" si="200"/>
        <v>3.8889064825664223E-3</v>
      </c>
      <c r="DF186" s="21">
        <f t="shared" ca="1" si="201"/>
        <v>7.6599673141459837E-3</v>
      </c>
      <c r="DG186" s="21">
        <f t="shared" ca="1" si="202"/>
        <v>1.4869348315695145E-2</v>
      </c>
      <c r="DH186" s="21">
        <f t="shared" ca="1" si="203"/>
        <v>2.8086546818535271E-2</v>
      </c>
      <c r="DI186" s="21">
        <f t="shared" ca="1" si="204"/>
        <v>5.0555784273363491E-2</v>
      </c>
      <c r="DJ186" s="21">
        <f t="shared" ca="1" si="205"/>
        <v>8.4259640455605814E-2</v>
      </c>
      <c r="DK186" s="21">
        <f t="shared" ca="1" si="206"/>
        <v>0.12638946068340873</v>
      </c>
      <c r="DM186" s="16" cm="1">
        <f t="array" aca="1" ref="DM186" ca="1">MAX(_xlfn._xlws.FILTER(CX186:DK186,CX186:DK186&lt;BV186))</f>
        <v>7.6599673141459837E-3</v>
      </c>
      <c r="DN186" s="16" cm="1">
        <f t="array" aca="1" ref="DN186" ca="1">MIN(_xlfn._xlws.FILTER(CX186:DK186,CX186:DK186&gt;BV186))</f>
        <v>1.4869348315695145E-2</v>
      </c>
      <c r="DO186" s="2" cm="1">
        <f t="array" aca="1" ref="DO186" ca="1">_FV(ED186,"Fechamento anterior",TRUE)</f>
        <v>17.350000000000001</v>
      </c>
      <c r="DP186" s="28">
        <f t="shared" ca="1" si="162"/>
        <v>0.9361767100977143</v>
      </c>
      <c r="DQ186" s="15">
        <f t="shared" ca="1" si="207"/>
        <v>17.482900432900433</v>
      </c>
      <c r="DR186" s="15">
        <f t="shared" ca="1" si="208"/>
        <v>17.607983193277313</v>
      </c>
      <c r="DS186" s="9"/>
      <c r="DT186" s="9"/>
      <c r="DU186" s="9"/>
      <c r="DV186" s="89">
        <v>7.7778129651328446E-3</v>
      </c>
      <c r="DW186" s="89">
        <f t="shared" ca="1" si="163"/>
        <v>7.2093810015491609E-3</v>
      </c>
      <c r="DX186" s="75">
        <f t="shared" ca="1" si="164"/>
        <v>-0.48439135351590668</v>
      </c>
      <c r="DY186" s="37"/>
      <c r="DZ186" s="35">
        <f t="shared" si="174"/>
        <v>0.19612241075409986</v>
      </c>
      <c r="EA186" s="56"/>
      <c r="EB186" s="56"/>
      <c r="ED186" s="2" t="e" vm="188">
        <v>#VALUE!</v>
      </c>
      <c r="EF186" s="10" cm="1">
        <f t="array" aca="1" ref="EF186" ca="1">_FV(ED186,"Ações em circulação",TRUE)</f>
        <v>92619260</v>
      </c>
      <c r="EG186" s="18">
        <f>VLOOKUP(BQ186,Fundamentus!A:U,5,FALSE)</f>
        <v>0.53500000000000003</v>
      </c>
      <c r="EH186" s="2">
        <f t="shared" ca="1" si="165"/>
        <v>3046913973.8317761</v>
      </c>
      <c r="EI186" s="17">
        <v>248840079.28194389</v>
      </c>
      <c r="EJ186" s="17">
        <f t="shared" ca="1" si="166"/>
        <v>247714106.07252339</v>
      </c>
      <c r="EL186" s="16">
        <f t="shared" ca="1" si="153"/>
        <v>-4.5248868778278162E-3</v>
      </c>
      <c r="EM186" s="32" t="str">
        <f>IF(VLOOKUP(BQ186,Fundamentus!A:U,3,FALSE)&lt;15,"Bom",IF(VLOOKUP(BQ186,Fundamentus!A:U,3,FALSE)&gt;15,"Ruim","n/a"))</f>
        <v>Bom</v>
      </c>
      <c r="EN186" s="28" t="str">
        <f>IF(VLOOKUP(BQ186,Fundamentus!A:U,4,FALSE)&lt;1,"Baixo",IF(VLOOKUP(BQ186,Fundamentus!A:U,4,FALSE)&lt;1.5,"Moderado",IF(VLOOKUP(BQ186,Fundamentus!A:U,4,FALSE)&gt;1.5,"Alto","n/a")))</f>
        <v>Baixo</v>
      </c>
      <c r="EO186" s="17" t="str">
        <f>IF(VLOOKUP(BQ186,Fundamentus!A:U,8,FALSE)&lt;0,"Risco elevado",IF(VLOOKUP(BQ186,Fundamentus!A:U,8,FALSE)&lt;1,"Saudável",IF(VLOOKUP(BQ186,Fundamentus!A:U,8,FALSE)&lt;3,"Estável",IF(VLOOKUP(BQ186,Fundamentus!A:U,8,FALSE)&gt;3,"Alerta","n/a"))))</f>
        <v>Estável</v>
      </c>
      <c r="EP186" s="28" t="str">
        <f t="shared" si="167"/>
        <v>Ruim</v>
      </c>
      <c r="EQ186" s="17" t="str">
        <f>IF(VLOOKUP(BQ186,Fundamentus!A:U,12,FALSE)&lt;2,"Subvalorizada",IF(VLOOKUP(BQ186,Fundamentus!A:U,12,FALSE)&lt;6,"Muita barata",IF(VLOOKUP(BQ186,Fundamentus!A:U,12,FALSE)&lt;6,"Barata",IF(VLOOKUP(BQ186,Fundamentus!A:U,12,FALSE)&lt;8,"Atrativa",IF(VLOOKUP(BQ186,Fundamentus!A:U,12,FALSE)&gt;8,"Supervalorizada","n/a")))))</f>
        <v>Muita barata</v>
      </c>
      <c r="ES186" s="17" t="str">
        <f>IF(VLOOKUP(BQ186,Fundamentus!A:U,17,FALSE)&lt;0.1,"Fraco retorno",IF(VLOOKUP(BQ186,Fundamentus!A:U,17,FALSE)&gt;0.1,"Bom retorno","n/a"))</f>
        <v>Fraco retorno</v>
      </c>
      <c r="ET186" s="17" t="str">
        <f>IF(VLOOKUP(BQ186,Fundamentus!A:U,16,FALSE)&lt;0.1,"Ineficiente",IF(VLOOKUP(BQ186,Fundamentus!A:U,16,FALSE)&gt;0.1,"Eficiente","n/a"))</f>
        <v>Eficiente</v>
      </c>
      <c r="EU186" s="33" t="str">
        <f>IF(VLOOKUP(BQ186,Fundamentus!A:U,16,FALSE)&lt;0.1,"Oper. Ineficiente",IF(VLOOKUP(BQ186,Fundamentus!A:U,16,FALSE)&gt;0.1,"Oper.Eficiente","n/a"))</f>
        <v>Oper.Eficiente</v>
      </c>
      <c r="EV186" s="34">
        <f>VLOOKUP(BQ186,Fundamentus!A:U,14,FALSE)</f>
        <v>8.1299999999999997E-2</v>
      </c>
      <c r="EW186" s="17" t="str">
        <f>IF(VLOOKUP(BQ186,Fundamentus!A:U,21,FALSE)&lt;0,"Negativo",IF(VLOOKUP(BQ186,Fundamentus!A:U,21,FALSE)&lt;0.05,"Fraco",IF(VLOOKUP(BQ186,Fundamentus!A:U,21,FALSE)&lt;0.1,"Bom",IF(VLOOKUP(BQ186,Fundamentus!A:U,21,FALSE)&gt;0.1,"Muito bom","n/a"))))</f>
        <v>Bom</v>
      </c>
      <c r="EY186" s="29" t="str">
        <f>IF(VLOOKUP(BQ186,Fundamentus!A:U,15,FALSE)&gt;1,"Bom",IF(VLOOKUP(BQ186,Fundamentus!A:U,15,FALSE)&lt;1,"Ruim","n/a"))</f>
        <v>Bom</v>
      </c>
      <c r="EZ186" s="17" t="str">
        <f>IF(VLOOKUP(BQ186,Fundamentus!A:U,20,FALSE)&lt;0.5,"Baixa",IF(VLOOKUP(BQ186,Fundamentus!A:U,20,FALSE)&lt;1,"Moderada",IF(VLOOKUP(BQ186,Fundamentus!A:U,20,FALSE)&lt;2,"Alerta",IF(VLOOKUP(BQ186,Fundamentus!A:U,20,FALSE)&gt;2,"Alta","n/a"))))</f>
        <v>Baixa</v>
      </c>
      <c r="FA186" s="10">
        <v>1</v>
      </c>
    </row>
    <row r="187" spans="1:157" s="2" customFormat="1" ht="11.25" hidden="1" x14ac:dyDescent="0.2">
      <c r="A187" s="4">
        <v>11.39</v>
      </c>
      <c r="B187" s="4">
        <v>11.21</v>
      </c>
      <c r="C187" s="4">
        <v>11.42</v>
      </c>
      <c r="D187" s="4">
        <v>11.15</v>
      </c>
      <c r="E187" s="4">
        <v>10.67</v>
      </c>
      <c r="F187" s="4">
        <v>10.75</v>
      </c>
      <c r="G187" s="4">
        <v>10.37</v>
      </c>
      <c r="H187" s="4">
        <v>10.39</v>
      </c>
      <c r="I187" s="4">
        <v>10.24</v>
      </c>
      <c r="J187" s="4">
        <v>10.52</v>
      </c>
      <c r="K187" s="4">
        <v>11.51</v>
      </c>
      <c r="L187" s="4">
        <v>11.17</v>
      </c>
      <c r="M187" s="4">
        <v>10.95</v>
      </c>
      <c r="N187" s="4">
        <v>10.86</v>
      </c>
      <c r="O187" s="4">
        <v>12.02</v>
      </c>
      <c r="P187" s="4">
        <v>12.5</v>
      </c>
      <c r="Q187" s="4">
        <v>12.74</v>
      </c>
      <c r="R187" s="4">
        <v>12.68</v>
      </c>
      <c r="S187" s="4">
        <v>12.23</v>
      </c>
      <c r="T187" s="4">
        <v>12.13</v>
      </c>
      <c r="U187" s="4">
        <v>11.6</v>
      </c>
      <c r="V187" s="4">
        <v>10.73</v>
      </c>
      <c r="W187" s="4">
        <v>10.75</v>
      </c>
      <c r="X187" s="4">
        <v>10.69</v>
      </c>
      <c r="Y187" s="4">
        <v>10.58</v>
      </c>
      <c r="Z187" s="4">
        <v>10.71</v>
      </c>
      <c r="AA187" s="4">
        <v>10.42</v>
      </c>
      <c r="AB187" s="4">
        <v>10.3</v>
      </c>
      <c r="AC187" s="4">
        <v>10.27</v>
      </c>
      <c r="AD187" s="4">
        <v>10.02</v>
      </c>
      <c r="AE187" s="4">
        <v>9.26</v>
      </c>
      <c r="AF187" s="4">
        <v>9.93</v>
      </c>
      <c r="AG187" s="4">
        <v>10.220000000000001</v>
      </c>
      <c r="AH187" s="4">
        <v>10.26</v>
      </c>
      <c r="AI187" s="4">
        <v>10.36</v>
      </c>
      <c r="AJ187" s="4">
        <v>10.1</v>
      </c>
      <c r="AK187" s="4">
        <v>9.8000000000000007</v>
      </c>
      <c r="AL187" s="4">
        <v>10.35</v>
      </c>
      <c r="AM187" s="4">
        <v>10.37</v>
      </c>
      <c r="AN187" s="4">
        <v>11.19</v>
      </c>
      <c r="AO187" s="4">
        <v>10.96</v>
      </c>
      <c r="AP187" s="4">
        <v>11.59</v>
      </c>
      <c r="AQ187" s="4">
        <v>11.22</v>
      </c>
      <c r="AR187" s="4">
        <v>10.4</v>
      </c>
      <c r="AS187" s="4">
        <v>10.7</v>
      </c>
      <c r="AT187" s="4">
        <v>12.87</v>
      </c>
      <c r="AU187" s="4">
        <v>12.45</v>
      </c>
      <c r="AV187" s="4">
        <v>12.24</v>
      </c>
      <c r="AW187" s="4">
        <v>12.05</v>
      </c>
      <c r="AX187" s="4">
        <v>11.94</v>
      </c>
      <c r="AY187" s="12">
        <v>12.18</v>
      </c>
      <c r="AZ187" s="12">
        <v>13.39</v>
      </c>
      <c r="BA187" s="12">
        <v>13.49</v>
      </c>
      <c r="BB187" s="15">
        <v>14.25</v>
      </c>
      <c r="BC187" s="52">
        <v>14.77</v>
      </c>
      <c r="BD187" s="52">
        <v>14.39</v>
      </c>
      <c r="BE187" s="52">
        <v>13.95</v>
      </c>
      <c r="BF187" s="52">
        <v>13.57</v>
      </c>
      <c r="BG187" s="67">
        <v>13.05</v>
      </c>
      <c r="BH187" s="52">
        <v>13.62</v>
      </c>
      <c r="BI187" s="52">
        <v>14.12</v>
      </c>
      <c r="BJ187" s="52">
        <v>14.71</v>
      </c>
      <c r="BK187" s="52">
        <v>13.71</v>
      </c>
      <c r="BL187" s="52">
        <v>12.97</v>
      </c>
      <c r="BM187" s="52">
        <v>13.07</v>
      </c>
      <c r="BN187" s="52">
        <v>12.59</v>
      </c>
      <c r="BO187" s="52">
        <v>12.85</v>
      </c>
      <c r="BP187" s="52" cm="1">
        <f t="array" aca="1" ref="BP187" ca="1">_FV(ED187,"Preço")</f>
        <v>13.15</v>
      </c>
      <c r="BQ187" s="69" t="s">
        <v>183</v>
      </c>
      <c r="BR187" s="36" cm="1">
        <f t="array" aca="1" ref="BR187" ca="1">_FV(ED187,"Média de volume",TRUE)</f>
        <v>27917670</v>
      </c>
      <c r="BS187" s="36">
        <v>30494500</v>
      </c>
      <c r="BT187" s="36" cm="1">
        <f t="array" aca="1" ref="BT187" ca="1">_FV(ED187,"Volume")</f>
        <v>25138200</v>
      </c>
      <c r="BU187" s="24" cm="1">
        <f t="array" aca="1" ref="BU187" ca="1">_FV(ED187,"Beta")</f>
        <v>1.5052000000000001</v>
      </c>
      <c r="BV187" s="71" cm="1">
        <f t="array" aca="1" ref="BV187" ca="1">_FV(ED187,"Variação (%)",TRUE)</f>
        <v>2.3345999999999999E-2</v>
      </c>
      <c r="BX187" s="17" cm="1">
        <f t="array" aca="1" ref="BX187" ca="1">_FV(ED187,"Baixo")</f>
        <v>12.77</v>
      </c>
      <c r="BY187" s="17" cm="1">
        <f t="array" aca="1" ref="BY187" ca="1">_FV(ED187,"Alto")</f>
        <v>13.16</v>
      </c>
      <c r="BZ187" s="24"/>
      <c r="CA187" s="63">
        <f ca="1">SQRT(22.5*(BP187/VLOOKUP(BQ187,Fundamentus!A:U,3,FALSE))*(BP187/VLOOKUP(BQ187,Fundamentus!A:U,4,FALSE)))</f>
        <v>8.3446522681601341</v>
      </c>
      <c r="CC187" s="62">
        <f t="shared" ca="1" si="168"/>
        <v>2.3346303501945581E-2</v>
      </c>
      <c r="CD187" s="8"/>
      <c r="CE187" s="61">
        <f t="shared" si="169"/>
        <v>9.26</v>
      </c>
      <c r="CF187" s="61">
        <f t="shared" si="170"/>
        <v>14.77</v>
      </c>
      <c r="CG187" s="61">
        <f t="shared" si="171"/>
        <v>11.670298507462689</v>
      </c>
      <c r="CH187" s="14"/>
      <c r="CI187" s="35">
        <f t="shared" si="154"/>
        <v>11.915269176144797</v>
      </c>
      <c r="CJ187" s="15">
        <f t="shared" si="172"/>
        <v>12.659999999999968</v>
      </c>
      <c r="CK187" s="35">
        <f t="shared" si="155"/>
        <v>13.404730823855139</v>
      </c>
      <c r="CM187" s="14"/>
      <c r="CN187" s="17">
        <f t="shared" si="156"/>
        <v>4.3066666666666702</v>
      </c>
      <c r="CO187" s="17">
        <f t="shared" si="157"/>
        <v>6.783333333333335</v>
      </c>
      <c r="CP187" s="17">
        <f t="shared" si="158"/>
        <v>9.81666666666667</v>
      </c>
      <c r="CQ187" s="38">
        <f t="shared" si="173"/>
        <v>12.293333333333335</v>
      </c>
      <c r="CR187" s="17">
        <f t="shared" si="159"/>
        <v>15.32666666666667</v>
      </c>
      <c r="CS187" s="17">
        <f t="shared" si="160"/>
        <v>17.803333333333335</v>
      </c>
      <c r="CT187" s="17">
        <f t="shared" si="161"/>
        <v>20.83666666666667</v>
      </c>
      <c r="CU187" s="2" cm="1">
        <f t="array" aca="1" ref="CU187" ca="1">MAX(_xlfn._xlws.FILTER(CN187:CT187,CN187:CT187&lt;BP187))</f>
        <v>12.293333333333335</v>
      </c>
      <c r="CV187" s="2" cm="1">
        <f t="array" aca="1" ref="CV187" ca="1">MIN(_xlfn._xlws.FILTER($CN187:$CT187,$CN187:$CT187&gt;BP187))</f>
        <v>15.32666666666667</v>
      </c>
      <c r="CW187" s="16">
        <f t="shared" ref="CW187:CW205" ca="1" si="209">(CV187/CU187)-1</f>
        <v>0.24674620390455537</v>
      </c>
      <c r="CX187" s="20">
        <f t="shared" ref="CX187:CX205" ca="1" si="210">-$CW187/2</f>
        <v>-0.12337310195227769</v>
      </c>
      <c r="CY187" s="20">
        <f t="shared" ref="CY187:CY205" ca="1" si="211">-$CW187/3</f>
        <v>-8.2248734634851786E-2</v>
      </c>
      <c r="CZ187" s="20">
        <f t="shared" ref="CZ187:CZ205" ca="1" si="212">-$CW187/5</f>
        <v>-4.9349240780911074E-2</v>
      </c>
      <c r="DA187" s="20">
        <f t="shared" ref="DA187:DA205" ca="1" si="213">-$CW187/9</f>
        <v>-2.7416244878283931E-2</v>
      </c>
      <c r="DB187" s="20">
        <f t="shared" ref="DB187:DB205" ca="1" si="214">-$CW187/17</f>
        <v>-1.4514482582620905E-2</v>
      </c>
      <c r="DC187" s="20">
        <f t="shared" ref="DC187:DC205" ca="1" si="215">-$CW187/33</f>
        <v>-7.4771576940774352E-3</v>
      </c>
      <c r="DD187" s="20">
        <f t="shared" ref="DD187:DD205" ca="1" si="216">-$CW187/65</f>
        <v>-3.7960954446854675E-3</v>
      </c>
      <c r="DE187" s="21">
        <f t="shared" ref="DE187:DE205" ca="1" si="217">-$CW187/65*-1</f>
        <v>3.7960954446854675E-3</v>
      </c>
      <c r="DF187" s="21">
        <f t="shared" ref="DF187:DF205" ca="1" si="218">-$CW187/33*-1</f>
        <v>7.4771576940774352E-3</v>
      </c>
      <c r="DG187" s="21">
        <f t="shared" ref="DG187:DG205" ca="1" si="219">-$CW187/17*-1</f>
        <v>1.4514482582620905E-2</v>
      </c>
      <c r="DH187" s="21">
        <f t="shared" ref="DH187:DH205" ca="1" si="220">-$CW187/9*-1</f>
        <v>2.7416244878283931E-2</v>
      </c>
      <c r="DI187" s="21">
        <f t="shared" ref="DI187:DI205" ca="1" si="221">-$CW187/5*-1</f>
        <v>4.9349240780911074E-2</v>
      </c>
      <c r="DJ187" s="21">
        <f t="shared" ref="DJ187:DJ205" ca="1" si="222">-$CW187/3*-1</f>
        <v>8.2248734634851786E-2</v>
      </c>
      <c r="DK187" s="21">
        <f t="shared" ref="DK187:DK205" ca="1" si="223">-$CW187/2*-1</f>
        <v>0.12337310195227769</v>
      </c>
      <c r="DM187" s="16" cm="1">
        <f t="array" aca="1" ref="DM187" ca="1">MAX(_xlfn._xlws.FILTER(CX187:DK187,CX187:DK187&lt;BV187))</f>
        <v>1.4514482582620905E-2</v>
      </c>
      <c r="DN187" s="16" cm="1">
        <f t="array" aca="1" ref="DN187" ca="1">MIN(_xlfn._xlws.FILTER(CX187:DK187,CX187:DK187&gt;BV187))</f>
        <v>2.7416244878283931E-2</v>
      </c>
      <c r="DO187" s="2" cm="1">
        <f t="array" aca="1" ref="DO187" ca="1">_FV(ED187,"Fechamento anterior",TRUE)</f>
        <v>12.85</v>
      </c>
      <c r="DP187" s="28">
        <f t="shared" ca="1" si="162"/>
        <v>0.68454376362937397</v>
      </c>
      <c r="DQ187" s="15">
        <f t="shared" ref="DQ187:DQ205" ca="1" si="224">DO187+(DO187*DM187)</f>
        <v>13.036511101186678</v>
      </c>
      <c r="DR187" s="15">
        <f t="shared" ref="DR187:DR205" ca="1" si="225">DO187+(DO187*DN187)</f>
        <v>13.202298746685948</v>
      </c>
      <c r="DS187" s="9"/>
      <c r="DT187" s="9"/>
      <c r="DU187" s="9"/>
      <c r="DV187" s="89">
        <v>3.6810622493919677E-3</v>
      </c>
      <c r="DW187" s="89">
        <f t="shared" ca="1" si="163"/>
        <v>1.2901762295663026E-2</v>
      </c>
      <c r="DX187" s="72">
        <f t="shared" ca="1" si="164"/>
        <v>0.65795584700455889</v>
      </c>
      <c r="DY187" s="37"/>
      <c r="DZ187" s="35">
        <f t="shared" si="174"/>
        <v>0.37236541192758527</v>
      </c>
      <c r="EA187" s="56"/>
      <c r="EB187" s="56"/>
      <c r="ED187" s="2" t="e" vm="189">
        <v>#VALUE!</v>
      </c>
      <c r="EF187" s="10" cm="1">
        <f t="array" aca="1" ref="EF187" ca="1">_FV(ED187,"Ações em circulação",TRUE)</f>
        <v>5426500000</v>
      </c>
      <c r="EG187" s="18">
        <f>VLOOKUP(BQ187,Fundamentus!A:U,5,FALSE)</f>
        <v>6.5519999999999996</v>
      </c>
      <c r="EH187" s="2">
        <f t="shared" ca="1" si="165"/>
        <v>10891098137.973139</v>
      </c>
      <c r="EI187" s="17">
        <v>4679565299.5268621</v>
      </c>
      <c r="EJ187" s="17">
        <f t="shared" ca="1" si="166"/>
        <v>4788815851.2667885</v>
      </c>
      <c r="EL187" s="16">
        <f t="shared" ca="1" si="153"/>
        <v>2.3346303501945442E-2</v>
      </c>
      <c r="EM187" s="32" t="str">
        <f>IF(VLOOKUP(BQ187,Fundamentus!A:U,3,FALSE)&lt;15,"Bom",IF(VLOOKUP(BQ187,Fundamentus!A:U,3,FALSE)&gt;15,"Ruim","n/a"))</f>
        <v>Bom</v>
      </c>
      <c r="EN187" s="28" t="str">
        <f>IF(VLOOKUP(BQ187,Fundamentus!A:U,4,FALSE)&lt;1,"Baixo",IF(VLOOKUP(BQ187,Fundamentus!A:U,4,FALSE)&lt;1.5,"Moderado",IF(VLOOKUP(BQ187,Fundamentus!A:U,4,FALSE)&gt;1.5,"Alto","n/a")))</f>
        <v>Alto</v>
      </c>
      <c r="EO187" s="17" t="str">
        <f>IF(VLOOKUP(BQ187,Fundamentus!A:U,8,FALSE)&lt;0,"Risco elevado",IF(VLOOKUP(BQ187,Fundamentus!A:U,8,FALSE)&lt;1,"Saudável",IF(VLOOKUP(BQ187,Fundamentus!A:U,8,FALSE)&lt;3,"Estável",IF(VLOOKUP(BQ187,Fundamentus!A:U,8,FALSE)&gt;3,"Alerta","n/a"))))</f>
        <v>Alerta</v>
      </c>
      <c r="EP187" s="28" t="str">
        <f t="shared" si="167"/>
        <v>Bom</v>
      </c>
      <c r="EQ187" s="17" t="str">
        <f>IF(VLOOKUP(BQ187,Fundamentus!A:U,12,FALSE)&lt;2,"Subvalorizada",IF(VLOOKUP(BQ187,Fundamentus!A:U,12,FALSE)&lt;6,"Muita barata",IF(VLOOKUP(BQ187,Fundamentus!A:U,12,FALSE)&lt;6,"Barata",IF(VLOOKUP(BQ187,Fundamentus!A:U,12,FALSE)&lt;8,"Atrativa",IF(VLOOKUP(BQ187,Fundamentus!A:U,12,FALSE)&gt;8,"Supervalorizada","n/a")))))</f>
        <v>Supervalorizada</v>
      </c>
      <c r="ES187" s="17" t="str">
        <f>IF(VLOOKUP(BQ187,Fundamentus!A:U,17,FALSE)&lt;0.1,"Fraco retorno",IF(VLOOKUP(BQ187,Fundamentus!A:U,17,FALSE)&gt;0.1,"Bom retorno","n/a"))</f>
        <v>Bom retorno</v>
      </c>
      <c r="ET187" s="17" t="str">
        <f>IF(VLOOKUP(BQ187,Fundamentus!A:U,16,FALSE)&lt;0.1,"Ineficiente",IF(VLOOKUP(BQ187,Fundamentus!A:U,16,FALSE)&gt;0.1,"Eficiente","n/a"))</f>
        <v>Eficiente</v>
      </c>
      <c r="EU187" s="33" t="str">
        <f>IF(VLOOKUP(BQ187,Fundamentus!A:U,16,FALSE)&lt;0.1,"Oper. Ineficiente",IF(VLOOKUP(BQ187,Fundamentus!A:U,16,FALSE)&gt;0.1,"Oper.Eficiente","n/a"))</f>
        <v>Oper.Eficiente</v>
      </c>
      <c r="EV187" s="34">
        <f>VLOOKUP(BQ187,Fundamentus!A:U,14,FALSE)</f>
        <v>0.43969999999999998</v>
      </c>
      <c r="EW187" s="17" t="str">
        <f>IF(VLOOKUP(BQ187,Fundamentus!A:U,21,FALSE)&lt;0,"Negativo",IF(VLOOKUP(BQ187,Fundamentus!A:U,21,FALSE)&lt;0.05,"Fraco",IF(VLOOKUP(BQ187,Fundamentus!A:U,21,FALSE)&lt;0.1,"Bom",IF(VLOOKUP(BQ187,Fundamentus!A:U,21,FALSE)&gt;0.1,"Muito bom","n/a"))))</f>
        <v>Fraco</v>
      </c>
      <c r="EY187" s="29" t="str">
        <f>IF(VLOOKUP(BQ187,Fundamentus!A:U,15,FALSE)&gt;1,"Bom",IF(VLOOKUP(BQ187,Fundamentus!A:U,15,FALSE)&lt;1,"Ruim","n/a"))</f>
        <v>Bom</v>
      </c>
      <c r="EZ187" s="17" t="str">
        <f>IF(VLOOKUP(BQ187,Fundamentus!A:U,20,FALSE)&lt;0.5,"Baixa",IF(VLOOKUP(BQ187,Fundamentus!A:U,20,FALSE)&lt;1,"Moderada",IF(VLOOKUP(BQ187,Fundamentus!A:U,20,FALSE)&lt;2,"Alerta",IF(VLOOKUP(BQ187,Fundamentus!A:U,20,FALSE)&gt;2,"Alta","n/a"))))</f>
        <v>Moderada</v>
      </c>
      <c r="FA187" s="10"/>
    </row>
    <row r="188" spans="1:157" s="2" customFormat="1" ht="11.25" hidden="1" x14ac:dyDescent="0.2">
      <c r="A188" s="4">
        <v>0.85</v>
      </c>
      <c r="B188" s="4">
        <v>0.72</v>
      </c>
      <c r="C188" s="4">
        <v>0.67</v>
      </c>
      <c r="D188" s="4">
        <v>0.7</v>
      </c>
      <c r="E188" s="4">
        <v>0.7</v>
      </c>
      <c r="F188" s="4">
        <v>0.56000000000000005</v>
      </c>
      <c r="G188" s="4">
        <v>0.54</v>
      </c>
      <c r="H188" s="4">
        <v>0.54</v>
      </c>
      <c r="I188" s="4">
        <v>0.61</v>
      </c>
      <c r="J188" s="4">
        <v>0.66</v>
      </c>
      <c r="K188" s="4">
        <v>0.67</v>
      </c>
      <c r="L188" s="4">
        <v>0.71</v>
      </c>
      <c r="M188" s="4">
        <v>0.71</v>
      </c>
      <c r="N188" s="4">
        <v>0.77</v>
      </c>
      <c r="O188" s="4">
        <v>0.73</v>
      </c>
      <c r="P188" s="4">
        <v>0.59</v>
      </c>
      <c r="Q188" s="4">
        <v>0.56999999999999995</v>
      </c>
      <c r="R188" s="4">
        <v>0.61</v>
      </c>
      <c r="S188" s="4">
        <v>0.63</v>
      </c>
      <c r="T188" s="4">
        <v>0.53</v>
      </c>
      <c r="U188" s="4">
        <v>0.46</v>
      </c>
      <c r="V188" s="4">
        <v>0.48</v>
      </c>
      <c r="W188" s="4">
        <v>0.49</v>
      </c>
      <c r="X188" s="4">
        <v>4.55</v>
      </c>
      <c r="Y188" s="4">
        <v>4.7699999999999996</v>
      </c>
      <c r="Z188" s="4">
        <v>5.3</v>
      </c>
      <c r="AA188" s="4">
        <v>5.61</v>
      </c>
      <c r="AB188" s="4">
        <v>6.41</v>
      </c>
      <c r="AC188" s="4">
        <v>6.4</v>
      </c>
      <c r="AD188" s="4">
        <v>6.63</v>
      </c>
      <c r="AE188" s="4">
        <v>6.01</v>
      </c>
      <c r="AF188" s="4">
        <v>6.47</v>
      </c>
      <c r="AG188" s="4">
        <v>6.72</v>
      </c>
      <c r="AH188" s="4">
        <v>8.18</v>
      </c>
      <c r="AI188" s="4">
        <v>8.2100000000000009</v>
      </c>
      <c r="AJ188" s="4">
        <v>8.16</v>
      </c>
      <c r="AK188" s="4">
        <v>8.2799999999999994</v>
      </c>
      <c r="AL188" s="4">
        <v>8.41</v>
      </c>
      <c r="AM188" s="4">
        <v>8.5</v>
      </c>
      <c r="AN188" s="4">
        <v>8.59</v>
      </c>
      <c r="AO188" s="4">
        <v>8.5500000000000007</v>
      </c>
      <c r="AP188" s="4">
        <v>8.5500000000000007</v>
      </c>
      <c r="AQ188" s="4">
        <v>8.67</v>
      </c>
      <c r="AR188" s="4">
        <v>8.73</v>
      </c>
      <c r="AS188" s="4">
        <v>8.75</v>
      </c>
      <c r="AT188" s="4">
        <v>8.77</v>
      </c>
      <c r="AU188" s="4">
        <v>8.73</v>
      </c>
      <c r="AV188" s="4">
        <v>8.82</v>
      </c>
      <c r="AW188" s="4">
        <v>8.84</v>
      </c>
      <c r="AX188" s="4">
        <v>8.8800000000000008</v>
      </c>
      <c r="AY188" s="12">
        <v>8.8699999999999992</v>
      </c>
      <c r="AZ188" s="12">
        <v>8.8699999999999992</v>
      </c>
      <c r="BA188" s="12">
        <v>8.8699999999999992</v>
      </c>
      <c r="BB188" s="15">
        <v>8.8699999999999992</v>
      </c>
      <c r="BC188" s="52">
        <v>8.8699999999999992</v>
      </c>
      <c r="BD188" s="52">
        <v>8.8699999999999992</v>
      </c>
      <c r="BE188" s="52">
        <v>8.8699999999999992</v>
      </c>
      <c r="BF188" s="52">
        <v>8.8699999999999992</v>
      </c>
      <c r="BG188" s="67">
        <v>8.8699999999999992</v>
      </c>
      <c r="BH188" s="52">
        <v>8.8699999999999992</v>
      </c>
      <c r="BI188" s="52">
        <v>8.8699999999999992</v>
      </c>
      <c r="BJ188" s="52">
        <v>8.8699999999999992</v>
      </c>
      <c r="BK188" s="52">
        <v>8.8699999999999992</v>
      </c>
      <c r="BL188" s="52">
        <v>8.8699999999999992</v>
      </c>
      <c r="BM188" s="52">
        <v>8.8699999999999992</v>
      </c>
      <c r="BN188" s="52">
        <v>8.8699999999999992</v>
      </c>
      <c r="BO188" s="52">
        <v>8.8699999999999992</v>
      </c>
      <c r="BP188" s="52" cm="1">
        <f t="array" aca="1" ref="BP188" ca="1">_FV(ED188,"Preço")</f>
        <v>8.8699999999999992</v>
      </c>
      <c r="BQ188" s="69" t="s">
        <v>184</v>
      </c>
      <c r="BR188" s="36" t="e" cm="1" vm="3">
        <f t="array" ref="BR188">_FV(ED188,"Média de volume",TRUE)</f>
        <v>#VALUE!</v>
      </c>
      <c r="BS188" s="36">
        <v>20000</v>
      </c>
      <c r="BT188" s="36" cm="1">
        <f t="array" aca="1" ref="BT188" ca="1">_FV(ED188,"Volume")</f>
        <v>20000</v>
      </c>
      <c r="BU188" s="24" cm="1">
        <f t="array" aca="1" ref="BU188" ca="1">_FV(ED188,"Beta")</f>
        <v>0.82779999999999998</v>
      </c>
      <c r="BV188" s="71" cm="1">
        <f t="array" aca="1" ref="BV188" ca="1">_FV(ED188,"Variação (%)",TRUE)</f>
        <v>0</v>
      </c>
      <c r="BX188" s="17" cm="1">
        <f t="array" aca="1" ref="BX188" ca="1">_FV(ED188,"Baixo")</f>
        <v>8.8699999999999992</v>
      </c>
      <c r="BY188" s="17" cm="1">
        <f t="array" aca="1" ref="BY188" ca="1">_FV(ED188,"Alto")</f>
        <v>8.8800000000000008</v>
      </c>
      <c r="BZ188" s="24"/>
      <c r="CA188" s="63" t="e">
        <f ca="1">SQRT(22.5*(BP188/VLOOKUP(BQ188,Fundamentus!A:U,3,FALSE))*(BP188/VLOOKUP(BQ188,Fundamentus!A:U,4,FALSE)))</f>
        <v>#N/A</v>
      </c>
      <c r="CC188" s="62">
        <f t="shared" ca="1" si="168"/>
        <v>0</v>
      </c>
      <c r="CD188" s="8"/>
      <c r="CE188" s="61">
        <f t="shared" si="169"/>
        <v>0.46</v>
      </c>
      <c r="CF188" s="61">
        <f t="shared" si="170"/>
        <v>8.8800000000000008</v>
      </c>
      <c r="CG188" s="61">
        <f t="shared" si="171"/>
        <v>5.5191044776119416</v>
      </c>
      <c r="CH188" s="14"/>
      <c r="CI188" s="35">
        <f t="shared" si="154"/>
        <v>8.8699999999999992</v>
      </c>
      <c r="CJ188" s="15">
        <f t="shared" si="172"/>
        <v>8.8699999999999992</v>
      </c>
      <c r="CK188" s="35">
        <f t="shared" si="155"/>
        <v>8.8699999999999992</v>
      </c>
      <c r="CM188" s="14"/>
      <c r="CN188" s="17">
        <f t="shared" si="156"/>
        <v>-5.160000000000001</v>
      </c>
      <c r="CO188" s="17">
        <f t="shared" si="157"/>
        <v>-2.3499999999999996</v>
      </c>
      <c r="CP188" s="17">
        <f t="shared" si="158"/>
        <v>3.26</v>
      </c>
      <c r="CQ188" s="38">
        <f t="shared" si="173"/>
        <v>6.07</v>
      </c>
      <c r="CR188" s="17">
        <f t="shared" si="159"/>
        <v>11.68</v>
      </c>
      <c r="CS188" s="17">
        <f t="shared" si="160"/>
        <v>14.49</v>
      </c>
      <c r="CT188" s="17">
        <f t="shared" si="161"/>
        <v>20.100000000000001</v>
      </c>
      <c r="CU188" s="2" cm="1">
        <f t="array" aca="1" ref="CU188" ca="1">MAX(_xlfn._xlws.FILTER(CN188:CT188,CN188:CT188&lt;BP188))</f>
        <v>6.07</v>
      </c>
      <c r="CV188" s="2" cm="1">
        <f t="array" aca="1" ref="CV188" ca="1">MIN(_xlfn._xlws.FILTER($CN188:$CT188,$CN188:$CT188&gt;BP188))</f>
        <v>11.68</v>
      </c>
      <c r="CW188" s="16">
        <f t="shared" ca="1" si="209"/>
        <v>0.92421746293245466</v>
      </c>
      <c r="CX188" s="20">
        <f t="shared" ca="1" si="210"/>
        <v>-0.46210873146622733</v>
      </c>
      <c r="CY188" s="20">
        <f t="shared" ca="1" si="211"/>
        <v>-0.30807248764415157</v>
      </c>
      <c r="CZ188" s="20">
        <f t="shared" ca="1" si="212"/>
        <v>-0.18484349258649094</v>
      </c>
      <c r="DA188" s="20">
        <f t="shared" ca="1" si="213"/>
        <v>-0.10269082921471719</v>
      </c>
      <c r="DB188" s="20">
        <f t="shared" ca="1" si="214"/>
        <v>-5.4365733113673806E-2</v>
      </c>
      <c r="DC188" s="20">
        <f t="shared" ca="1" si="215"/>
        <v>-2.800658978583196E-2</v>
      </c>
      <c r="DD188" s="20">
        <f t="shared" ca="1" si="216"/>
        <v>-1.4218730198960841E-2</v>
      </c>
      <c r="DE188" s="21">
        <f t="shared" ca="1" si="217"/>
        <v>1.4218730198960841E-2</v>
      </c>
      <c r="DF188" s="21">
        <f t="shared" ca="1" si="218"/>
        <v>2.800658978583196E-2</v>
      </c>
      <c r="DG188" s="21">
        <f t="shared" ca="1" si="219"/>
        <v>5.4365733113673806E-2</v>
      </c>
      <c r="DH188" s="21">
        <f t="shared" ca="1" si="220"/>
        <v>0.10269082921471719</v>
      </c>
      <c r="DI188" s="21">
        <f t="shared" ca="1" si="221"/>
        <v>0.18484349258649094</v>
      </c>
      <c r="DJ188" s="21">
        <f t="shared" ca="1" si="222"/>
        <v>0.30807248764415157</v>
      </c>
      <c r="DK188" s="21">
        <f t="shared" ca="1" si="223"/>
        <v>0.46210873146622733</v>
      </c>
      <c r="DM188" s="16" cm="1">
        <f t="array" aca="1" ref="DM188" ca="1">MAX(_xlfn._xlws.FILTER(CX188:DK188,CX188:DK188&lt;BV188))</f>
        <v>-1.4218730198960841E-2</v>
      </c>
      <c r="DN188" s="16" cm="1">
        <f t="array" aca="1" ref="DN188" ca="1">MIN(_xlfn._xlws.FILTER(CX188:DK188,CX188:DK188&gt;BV188))</f>
        <v>1.4218730198960841E-2</v>
      </c>
      <c r="DO188" s="2" cm="1">
        <f t="array" aca="1" ref="DO188" ca="1">_FV(ED188,"Fechamento anterior",TRUE)</f>
        <v>8.8800000000000008</v>
      </c>
      <c r="DP188" s="28">
        <f t="shared" ca="1" si="162"/>
        <v>0.46039990525284019</v>
      </c>
      <c r="DQ188" s="15">
        <f t="shared" ca="1" si="224"/>
        <v>8.7537376758332286</v>
      </c>
      <c r="DR188" s="15">
        <f t="shared" ca="1" si="225"/>
        <v>9.006262324166773</v>
      </c>
      <c r="DS188" s="9"/>
      <c r="DT188" s="9"/>
      <c r="DU188" s="9"/>
      <c r="DV188" s="89">
        <v>2.8437460397921683E-2</v>
      </c>
      <c r="DW188" s="89">
        <f t="shared" ca="1" si="163"/>
        <v>2.8437460397921683E-2</v>
      </c>
      <c r="DX188" s="72" t="e">
        <f t="shared" ca="1" si="164"/>
        <v>#DIV/0!</v>
      </c>
      <c r="DY188" s="37"/>
      <c r="DZ188" s="35">
        <f t="shared" si="174"/>
        <v>0</v>
      </c>
      <c r="EA188" s="56"/>
      <c r="EB188" s="56"/>
      <c r="ED188" s="2" t="e" vm="190">
        <v>#VALUE!</v>
      </c>
      <c r="EF188" s="10" cm="1">
        <f t="array" aca="1" ref="EF188" ca="1">_FV(ED188,"Ações em circulação",TRUE)</f>
        <v>77334810</v>
      </c>
      <c r="EG188" s="18" t="e">
        <f>VLOOKUP(BQ188,Fundamentus!A:U,5,FALSE)</f>
        <v>#N/A</v>
      </c>
      <c r="EH188" s="2" t="e">
        <f t="shared" ca="1" si="165"/>
        <v>#N/A</v>
      </c>
      <c r="EI188" s="17" t="e">
        <v>#N/A</v>
      </c>
      <c r="EJ188" s="17" t="e">
        <f t="shared" ca="1" si="166"/>
        <v>#N/A</v>
      </c>
      <c r="EL188" s="16" t="e">
        <f t="shared" ca="1" si="153"/>
        <v>#N/A</v>
      </c>
      <c r="EM188" s="32" t="e">
        <f>IF(VLOOKUP(BQ188,Fundamentus!A:U,3,FALSE)&lt;15,"Bom",IF(VLOOKUP(BQ188,Fundamentus!A:U,3,FALSE)&gt;15,"Ruim","n/a"))</f>
        <v>#N/A</v>
      </c>
      <c r="EN188" s="28" t="e">
        <f>IF(VLOOKUP(BQ188,Fundamentus!A:U,4,FALSE)&lt;1,"Baixo",IF(VLOOKUP(BQ188,Fundamentus!A:U,4,FALSE)&lt;1.5,"Moderado",IF(VLOOKUP(BQ188,Fundamentus!A:U,4,FALSE)&gt;1.5,"Alto","n/a")))</f>
        <v>#N/A</v>
      </c>
      <c r="EO188" s="17" t="e">
        <f>IF(VLOOKUP(BQ188,Fundamentus!A:U,8,FALSE)&lt;0,"Risco elevado",IF(VLOOKUP(BQ188,Fundamentus!A:U,8,FALSE)&lt;1,"Saudável",IF(VLOOKUP(BQ188,Fundamentus!A:U,8,FALSE)&lt;3,"Estável",IF(VLOOKUP(BQ188,Fundamentus!A:U,8,FALSE)&gt;3,"Alerta","n/a"))))</f>
        <v>#N/A</v>
      </c>
      <c r="EP188" s="28" t="e">
        <f t="shared" si="167"/>
        <v>#N/A</v>
      </c>
      <c r="EQ188" s="17" t="e">
        <f>IF(VLOOKUP(BQ188,Fundamentus!A:U,12,FALSE)&lt;2,"Subvalorizada",IF(VLOOKUP(BQ188,Fundamentus!A:U,12,FALSE)&lt;6,"Muita barata",IF(VLOOKUP(BQ188,Fundamentus!A:U,12,FALSE)&lt;6,"Barata",IF(VLOOKUP(BQ188,Fundamentus!A:U,12,FALSE)&lt;8,"Atrativa",IF(VLOOKUP(BQ188,Fundamentus!A:U,12,FALSE)&gt;8,"Supervalorizada","n/a")))))</f>
        <v>#N/A</v>
      </c>
      <c r="ES188" s="17" t="e">
        <f>IF(VLOOKUP(BQ188,Fundamentus!A:U,17,FALSE)&lt;0.1,"Fraco retorno",IF(VLOOKUP(BQ188,Fundamentus!A:U,17,FALSE)&gt;0.1,"Bom retorno","n/a"))</f>
        <v>#N/A</v>
      </c>
      <c r="ET188" s="17" t="e">
        <f>IF(VLOOKUP(BQ188,Fundamentus!A:U,16,FALSE)&lt;0.1,"Ineficiente",IF(VLOOKUP(BQ188,Fundamentus!A:U,16,FALSE)&gt;0.1,"Eficiente","n/a"))</f>
        <v>#N/A</v>
      </c>
      <c r="EU188" s="33" t="e">
        <f>IF(VLOOKUP(BQ188,Fundamentus!A:U,16,FALSE)&lt;0.1,"Oper. Ineficiente",IF(VLOOKUP(BQ188,Fundamentus!A:U,16,FALSE)&gt;0.1,"Oper.Eficiente","n/a"))</f>
        <v>#N/A</v>
      </c>
      <c r="EV188" s="34" t="e">
        <f>VLOOKUP(BQ188,Fundamentus!A:U,14,FALSE)</f>
        <v>#N/A</v>
      </c>
      <c r="EW188" s="17" t="e">
        <f>IF(VLOOKUP(BQ188,Fundamentus!A:U,21,FALSE)&lt;0,"Negativo",IF(VLOOKUP(BQ188,Fundamentus!A:U,21,FALSE)&lt;0.05,"Fraco",IF(VLOOKUP(BQ188,Fundamentus!A:U,21,FALSE)&lt;0.1,"Bom",IF(VLOOKUP(BQ188,Fundamentus!A:U,21,FALSE)&gt;0.1,"Muito bom","n/a"))))</f>
        <v>#N/A</v>
      </c>
      <c r="EY188" s="29" t="e">
        <f>IF(VLOOKUP(BQ188,Fundamentus!A:U,15,FALSE)&gt;1,"Bom",IF(VLOOKUP(BQ188,Fundamentus!A:U,15,FALSE)&lt;1,"Ruim","n/a"))</f>
        <v>#N/A</v>
      </c>
      <c r="EZ188" s="17" t="e">
        <f>IF(VLOOKUP(BQ188,Fundamentus!A:U,20,FALSE)&lt;0.5,"Baixa",IF(VLOOKUP(BQ188,Fundamentus!A:U,20,FALSE)&lt;1,"Moderada",IF(VLOOKUP(BQ188,Fundamentus!A:U,20,FALSE)&lt;2,"Alerta",IF(VLOOKUP(BQ188,Fundamentus!A:U,20,FALSE)&gt;2,"Alta","n/a"))))</f>
        <v>#N/A</v>
      </c>
      <c r="FA188" s="10"/>
    </row>
    <row r="189" spans="1:157" s="2" customFormat="1" ht="11.25" hidden="1" x14ac:dyDescent="0.2">
      <c r="A189" s="4">
        <v>2.2200000000000002</v>
      </c>
      <c r="B189" s="4">
        <v>2.15</v>
      </c>
      <c r="C189" s="4">
        <v>2.11</v>
      </c>
      <c r="D189" s="4">
        <v>2.16</v>
      </c>
      <c r="E189" s="4">
        <v>2.15</v>
      </c>
      <c r="F189" s="4">
        <v>2.1</v>
      </c>
      <c r="G189" s="4">
        <v>2.04</v>
      </c>
      <c r="H189" s="4">
        <v>2.0499999999999998</v>
      </c>
      <c r="I189" s="4">
        <v>2.0299999999999998</v>
      </c>
      <c r="J189" s="4">
        <v>2.09</v>
      </c>
      <c r="K189" s="4">
        <v>2.06</v>
      </c>
      <c r="L189" s="4">
        <v>2.06</v>
      </c>
      <c r="M189" s="4">
        <v>2</v>
      </c>
      <c r="N189" s="4">
        <v>1.99</v>
      </c>
      <c r="O189" s="4">
        <v>1.95</v>
      </c>
      <c r="P189" s="4">
        <v>2.16</v>
      </c>
      <c r="Q189" s="4">
        <v>2.15</v>
      </c>
      <c r="R189" s="4">
        <v>2.13</v>
      </c>
      <c r="S189" s="4">
        <v>2.2200000000000002</v>
      </c>
      <c r="T189" s="4">
        <v>2.2799999999999998</v>
      </c>
      <c r="U189" s="4">
        <v>2.27</v>
      </c>
      <c r="V189" s="4">
        <v>2.2200000000000002</v>
      </c>
      <c r="W189" s="4">
        <v>2.35</v>
      </c>
      <c r="X189" s="4">
        <v>2.34</v>
      </c>
      <c r="Y189" s="4">
        <v>2.81</v>
      </c>
      <c r="Z189" s="4">
        <v>2.84</v>
      </c>
      <c r="AA189" s="4">
        <v>2.71</v>
      </c>
      <c r="AB189" s="4">
        <v>2.68</v>
      </c>
      <c r="AC189" s="4">
        <v>2.4700000000000002</v>
      </c>
      <c r="AD189" s="4">
        <v>2.36</v>
      </c>
      <c r="AE189" s="4">
        <v>2.17</v>
      </c>
      <c r="AF189" s="4">
        <v>2.13</v>
      </c>
      <c r="AG189" s="4">
        <v>2.11</v>
      </c>
      <c r="AH189" s="4">
        <v>1.9</v>
      </c>
      <c r="AI189" s="4">
        <v>1.92</v>
      </c>
      <c r="AJ189" s="4">
        <v>1.83</v>
      </c>
      <c r="AK189" s="4">
        <v>1.87</v>
      </c>
      <c r="AL189" s="4">
        <v>1.92</v>
      </c>
      <c r="AM189" s="4">
        <v>1.91</v>
      </c>
      <c r="AN189" s="4">
        <v>2.21</v>
      </c>
      <c r="AO189" s="4">
        <v>2.21</v>
      </c>
      <c r="AP189" s="4">
        <v>1.8</v>
      </c>
      <c r="AQ189" s="4">
        <v>1.65</v>
      </c>
      <c r="AR189" s="4">
        <v>1.56</v>
      </c>
      <c r="AS189" s="4">
        <v>1.67</v>
      </c>
      <c r="AT189" s="4">
        <v>1.74</v>
      </c>
      <c r="AU189" s="4">
        <v>1.7150000000000001</v>
      </c>
      <c r="AV189" s="4">
        <v>1.74</v>
      </c>
      <c r="AW189" s="4">
        <v>1.66</v>
      </c>
      <c r="AX189" s="4">
        <v>1.68</v>
      </c>
      <c r="AY189" s="12">
        <v>1.67</v>
      </c>
      <c r="AZ189" s="12">
        <v>1.68</v>
      </c>
      <c r="BA189" s="12">
        <v>1.67</v>
      </c>
      <c r="BB189" s="15">
        <v>1.64</v>
      </c>
      <c r="BC189" s="52">
        <v>1.62</v>
      </c>
      <c r="BD189" s="52">
        <v>1.59</v>
      </c>
      <c r="BE189" s="52">
        <v>1.68</v>
      </c>
      <c r="BF189" s="52">
        <v>1.57</v>
      </c>
      <c r="BG189" s="67">
        <v>1.59</v>
      </c>
      <c r="BH189" s="52">
        <v>1.59</v>
      </c>
      <c r="BI189" s="52">
        <v>1.58</v>
      </c>
      <c r="BJ189" s="52">
        <v>1.58</v>
      </c>
      <c r="BK189" s="52">
        <v>1.57</v>
      </c>
      <c r="BL189" s="52">
        <v>1.48</v>
      </c>
      <c r="BM189" s="52">
        <v>1.4</v>
      </c>
      <c r="BN189" s="52">
        <v>1.36</v>
      </c>
      <c r="BO189" s="52">
        <v>1.41</v>
      </c>
      <c r="BP189" s="52" cm="1">
        <f t="array" aca="1" ref="BP189" ca="1">_FV(ED189,"Preço")</f>
        <v>1.33</v>
      </c>
      <c r="BQ189" s="69" t="s">
        <v>185</v>
      </c>
      <c r="BR189" s="36" cm="1">
        <f t="array" aca="1" ref="BR189" ca="1">_FV(ED189,"Média de volume",TRUE)</f>
        <v>4360</v>
      </c>
      <c r="BS189" s="36">
        <v>11600</v>
      </c>
      <c r="BT189" s="36" cm="1">
        <f t="array" aca="1" ref="BT189" ca="1">_FV(ED189,"Volume")</f>
        <v>14600</v>
      </c>
      <c r="BU189" s="24" cm="1">
        <f t="array" aca="1" ref="BU189" ca="1">_FV(ED189,"Beta")</f>
        <v>0.91390000000000005</v>
      </c>
      <c r="BV189" s="71" cm="1">
        <f t="array" aca="1" ref="BV189" ca="1">_FV(ED189,"Variação (%)",TRUE)</f>
        <v>-7.463E-3</v>
      </c>
      <c r="BX189" s="17" cm="1">
        <f t="array" aca="1" ref="BX189" ca="1">_FV(ED189,"Baixo")</f>
        <v>1.31</v>
      </c>
      <c r="BY189" s="17" cm="1">
        <f t="array" aca="1" ref="BY189" ca="1">_FV(ED189,"Alto")</f>
        <v>1.35</v>
      </c>
      <c r="BZ189" s="24"/>
      <c r="CA189" s="63">
        <f ca="1">SQRT(22.5*(BP189/VLOOKUP(BQ189,Fundamentus!A:U,3,FALSE))*(BP189/VLOOKUP(BQ189,Fundamentus!A:U,4,FALSE)))</f>
        <v>0.1435381814188896</v>
      </c>
      <c r="CC189" s="62">
        <f t="shared" ca="1" si="168"/>
        <v>-5.6737588652482164E-2</v>
      </c>
      <c r="CD189" s="8"/>
      <c r="CE189" s="61">
        <f t="shared" si="169"/>
        <v>1.36</v>
      </c>
      <c r="CF189" s="61">
        <f t="shared" si="170"/>
        <v>2.84</v>
      </c>
      <c r="CG189" s="61">
        <f t="shared" si="171"/>
        <v>1.9585820895522392</v>
      </c>
      <c r="CH189" s="14"/>
      <c r="CI189" s="35">
        <f t="shared" si="154"/>
        <v>1.2021622510993837</v>
      </c>
      <c r="CJ189" s="15">
        <f t="shared" si="172"/>
        <v>1.3499999999999943</v>
      </c>
      <c r="CK189" s="35">
        <f t="shared" si="155"/>
        <v>1.4978377489006049</v>
      </c>
      <c r="CM189" s="14"/>
      <c r="CN189" s="17">
        <f t="shared" si="156"/>
        <v>-0.5799999999999994</v>
      </c>
      <c r="CO189" s="17">
        <f t="shared" si="157"/>
        <v>0.39000000000000035</v>
      </c>
      <c r="CP189" s="17">
        <f t="shared" si="158"/>
        <v>0.90000000000000036</v>
      </c>
      <c r="CQ189" s="38">
        <f t="shared" si="173"/>
        <v>1.87</v>
      </c>
      <c r="CR189" s="17">
        <f t="shared" si="159"/>
        <v>2.38</v>
      </c>
      <c r="CS189" s="17">
        <f t="shared" si="160"/>
        <v>3.3499999999999996</v>
      </c>
      <c r="CT189" s="17">
        <f t="shared" si="161"/>
        <v>3.86</v>
      </c>
      <c r="CU189" s="2" cm="1">
        <f t="array" aca="1" ref="CU189" ca="1">MAX(_xlfn._xlws.FILTER(CN189:CT189,CN189:CT189&lt;BP189))</f>
        <v>0.90000000000000036</v>
      </c>
      <c r="CV189" s="2" cm="1">
        <f t="array" aca="1" ref="CV189" ca="1">MIN(_xlfn._xlws.FILTER($CN189:$CT189,$CN189:$CT189&gt;BP189))</f>
        <v>1.87</v>
      </c>
      <c r="CW189" s="16">
        <f t="shared" ca="1" si="209"/>
        <v>1.0777777777777771</v>
      </c>
      <c r="CX189" s="20">
        <f t="shared" ca="1" si="210"/>
        <v>-0.53888888888888853</v>
      </c>
      <c r="CY189" s="20">
        <f t="shared" ca="1" si="211"/>
        <v>-0.359259259259259</v>
      </c>
      <c r="CZ189" s="20">
        <f t="shared" ca="1" si="212"/>
        <v>-0.21555555555555542</v>
      </c>
      <c r="DA189" s="20">
        <f t="shared" ca="1" si="213"/>
        <v>-0.119753086419753</v>
      </c>
      <c r="DB189" s="20">
        <f t="shared" ca="1" si="214"/>
        <v>-6.3398692810457472E-2</v>
      </c>
      <c r="DC189" s="20">
        <f t="shared" ca="1" si="215"/>
        <v>-3.2659932659932639E-2</v>
      </c>
      <c r="DD189" s="20">
        <f t="shared" ca="1" si="216"/>
        <v>-1.6581196581196569E-2</v>
      </c>
      <c r="DE189" s="21">
        <f t="shared" ca="1" si="217"/>
        <v>1.6581196581196569E-2</v>
      </c>
      <c r="DF189" s="21">
        <f t="shared" ca="1" si="218"/>
        <v>3.2659932659932639E-2</v>
      </c>
      <c r="DG189" s="21">
        <f t="shared" ca="1" si="219"/>
        <v>6.3398692810457472E-2</v>
      </c>
      <c r="DH189" s="21">
        <f t="shared" ca="1" si="220"/>
        <v>0.119753086419753</v>
      </c>
      <c r="DI189" s="21">
        <f t="shared" ca="1" si="221"/>
        <v>0.21555555555555542</v>
      </c>
      <c r="DJ189" s="21">
        <f t="shared" ca="1" si="222"/>
        <v>0.359259259259259</v>
      </c>
      <c r="DK189" s="21">
        <f t="shared" ca="1" si="223"/>
        <v>0.53888888888888853</v>
      </c>
      <c r="DM189" s="16" cm="1">
        <f t="array" aca="1" ref="DM189" ca="1">MAX(_xlfn._xlws.FILTER(CX189:DK189,CX189:DK189&lt;BV189))</f>
        <v>-1.6581196581196569E-2</v>
      </c>
      <c r="DN189" s="16" cm="1">
        <f t="array" aca="1" ref="DN189" ca="1">MIN(_xlfn._xlws.FILTER(CX189:DK189,CX189:DK189&gt;BV189))</f>
        <v>1.6581196581196569E-2</v>
      </c>
      <c r="DO189" s="2" cm="1">
        <f t="array" aca="1" ref="DO189" ca="1">_FV(ED189,"Fechamento anterior",TRUE)</f>
        <v>1.34</v>
      </c>
      <c r="DP189" s="28">
        <f t="shared" ca="1" si="162"/>
        <v>0.27496537928912035</v>
      </c>
      <c r="DQ189" s="15">
        <f t="shared" ca="1" si="224"/>
        <v>1.3177811965811967</v>
      </c>
      <c r="DR189" s="15">
        <f t="shared" ca="1" si="225"/>
        <v>1.3622188034188034</v>
      </c>
      <c r="DS189" s="9"/>
      <c r="DT189" s="9"/>
      <c r="DU189" s="9"/>
      <c r="DV189" s="89">
        <v>3.0738760150524833E-2</v>
      </c>
      <c r="DW189" s="89">
        <f t="shared" ca="1" si="163"/>
        <v>3.3162393162393139E-2</v>
      </c>
      <c r="DX189" s="72">
        <f t="shared" ca="1" si="164"/>
        <v>-0.13528344518719626</v>
      </c>
      <c r="DY189" s="37"/>
      <c r="DZ189" s="35">
        <f t="shared" si="174"/>
        <v>7.391887445030533E-2</v>
      </c>
      <c r="EA189" s="56"/>
      <c r="EB189" s="56"/>
      <c r="ED189" s="2" t="e" vm="191">
        <v>#VALUE!</v>
      </c>
      <c r="EF189" s="10" cm="1">
        <f t="array" aca="1" ref="EF189" ca="1">_FV(ED189,"Ações em circulação",TRUE)</f>
        <v>260509800</v>
      </c>
      <c r="EG189" s="18">
        <f>VLOOKUP(BQ189,Fundamentus!A:U,5,FALSE)</f>
        <v>0.23699999999999999</v>
      </c>
      <c r="EH189" s="2">
        <f t="shared" ca="1" si="165"/>
        <v>1461932632.9113925</v>
      </c>
      <c r="EI189" s="17">
        <v>73308776.756962031</v>
      </c>
      <c r="EJ189" s="17">
        <f t="shared" ca="1" si="166"/>
        <v>69149413.536708862</v>
      </c>
      <c r="EL189" s="16">
        <f t="shared" ca="1" si="153"/>
        <v>-5.6737588652482351E-2</v>
      </c>
      <c r="EM189" s="32" t="str">
        <f>IF(VLOOKUP(BQ189,Fundamentus!A:U,3,FALSE)&lt;15,"Bom",IF(VLOOKUP(BQ189,Fundamentus!A:U,3,FALSE)&gt;15,"Ruim","n/a"))</f>
        <v>Bom</v>
      </c>
      <c r="EN189" s="28" t="str">
        <f>IF(VLOOKUP(BQ189,Fundamentus!A:U,4,FALSE)&lt;1,"Baixo",IF(VLOOKUP(BQ189,Fundamentus!A:U,4,FALSE)&lt;1.5,"Moderado",IF(VLOOKUP(BQ189,Fundamentus!A:U,4,FALSE)&gt;1.5,"Alto","n/a")))</f>
        <v>Alto</v>
      </c>
      <c r="EO189" s="17" t="str">
        <f>IF(VLOOKUP(BQ189,Fundamentus!A:U,8,FALSE)&lt;0,"Risco elevado",IF(VLOOKUP(BQ189,Fundamentus!A:U,8,FALSE)&lt;1,"Saudável",IF(VLOOKUP(BQ189,Fundamentus!A:U,8,FALSE)&lt;3,"Estável",IF(VLOOKUP(BQ189,Fundamentus!A:U,8,FALSE)&gt;3,"Alerta","n/a"))))</f>
        <v>Risco elevado</v>
      </c>
      <c r="EP189" s="28" t="str">
        <f t="shared" si="167"/>
        <v>Ruim</v>
      </c>
      <c r="EQ189" s="17" t="str">
        <f>IF(VLOOKUP(BQ189,Fundamentus!A:U,12,FALSE)&lt;2,"Subvalorizada",IF(VLOOKUP(BQ189,Fundamentus!A:U,12,FALSE)&lt;6,"Muita barata",IF(VLOOKUP(BQ189,Fundamentus!A:U,12,FALSE)&lt;6,"Barata",IF(VLOOKUP(BQ189,Fundamentus!A:U,12,FALSE)&lt;8,"Atrativa",IF(VLOOKUP(BQ189,Fundamentus!A:U,12,FALSE)&gt;8,"Supervalorizada","n/a")))))</f>
        <v>Muita barata</v>
      </c>
      <c r="ES189" s="17" t="str">
        <f>IF(VLOOKUP(BQ189,Fundamentus!A:U,17,FALSE)&lt;0.1,"Fraco retorno",IF(VLOOKUP(BQ189,Fundamentus!A:U,17,FALSE)&gt;0.1,"Bom retorno","n/a"))</f>
        <v>Bom retorno</v>
      </c>
      <c r="ET189" s="17" t="str">
        <f>IF(VLOOKUP(BQ189,Fundamentus!A:U,16,FALSE)&lt;0.1,"Ineficiente",IF(VLOOKUP(BQ189,Fundamentus!A:U,16,FALSE)&gt;0.1,"Eficiente","n/a"))</f>
        <v>Eficiente</v>
      </c>
      <c r="EU189" s="33" t="str">
        <f>IF(VLOOKUP(BQ189,Fundamentus!A:U,16,FALSE)&lt;0.1,"Oper. Ineficiente",IF(VLOOKUP(BQ189,Fundamentus!A:U,16,FALSE)&gt;0.1,"Oper.Eficiente","n/a"))</f>
        <v>Oper.Eficiente</v>
      </c>
      <c r="EV189" s="34">
        <f>VLOOKUP(BQ189,Fundamentus!A:U,14,FALSE)</f>
        <v>4.7300000000000002E-2</v>
      </c>
      <c r="EW189" s="17" t="str">
        <f>IF(VLOOKUP(BQ189,Fundamentus!A:U,21,FALSE)&lt;0,"Negativo",IF(VLOOKUP(BQ189,Fundamentus!A:U,21,FALSE)&lt;0.05,"Fraco",IF(VLOOKUP(BQ189,Fundamentus!A:U,21,FALSE)&lt;0.1,"Bom",IF(VLOOKUP(BQ189,Fundamentus!A:U,21,FALSE)&gt;0.1,"Muito bom","n/a"))))</f>
        <v>Muito bom</v>
      </c>
      <c r="EY189" s="29" t="str">
        <f>IF(VLOOKUP(BQ189,Fundamentus!A:U,15,FALSE)&gt;1,"Bom",IF(VLOOKUP(BQ189,Fundamentus!A:U,15,FALSE)&lt;1,"Ruim","n/a"))</f>
        <v>Ruim</v>
      </c>
      <c r="EZ189" s="17" t="str">
        <f>IF(VLOOKUP(BQ189,Fundamentus!A:U,20,FALSE)&lt;0.5,"Baixa",IF(VLOOKUP(BQ189,Fundamentus!A:U,20,FALSE)&lt;1,"Moderada",IF(VLOOKUP(BQ189,Fundamentus!A:U,20,FALSE)&lt;2,"Alerta",IF(VLOOKUP(BQ189,Fundamentus!A:U,20,FALSE)&gt;2,"Alta","n/a"))))</f>
        <v>Alta</v>
      </c>
      <c r="FA189" s="10"/>
    </row>
    <row r="190" spans="1:157" s="2" customFormat="1" ht="11.25" hidden="1" x14ac:dyDescent="0.2">
      <c r="A190" s="4">
        <v>7.15</v>
      </c>
      <c r="B190" s="4">
        <v>6.89</v>
      </c>
      <c r="C190" s="4">
        <v>6.72</v>
      </c>
      <c r="D190" s="4">
        <v>6.63</v>
      </c>
      <c r="E190" s="4">
        <v>6.2</v>
      </c>
      <c r="F190" s="4">
        <v>6.28</v>
      </c>
      <c r="G190" s="4">
        <v>6.13</v>
      </c>
      <c r="H190" s="4">
        <v>5.89</v>
      </c>
      <c r="I190" s="4">
        <v>5.91</v>
      </c>
      <c r="J190" s="4">
        <v>6.23</v>
      </c>
      <c r="K190" s="4">
        <v>6.33</v>
      </c>
      <c r="L190" s="4">
        <v>5.9</v>
      </c>
      <c r="M190" s="4">
        <v>5.61</v>
      </c>
      <c r="N190" s="4">
        <v>6.07</v>
      </c>
      <c r="O190" s="4">
        <v>6.2</v>
      </c>
      <c r="P190" s="4">
        <v>5.83</v>
      </c>
      <c r="Q190" s="4">
        <v>6.09</v>
      </c>
      <c r="R190" s="4">
        <v>5.86</v>
      </c>
      <c r="S190" s="4">
        <v>5.83</v>
      </c>
      <c r="T190" s="4">
        <v>5.82</v>
      </c>
      <c r="U190" s="4">
        <v>5.79</v>
      </c>
      <c r="V190" s="4">
        <v>5.75</v>
      </c>
      <c r="W190" s="4">
        <v>5.67</v>
      </c>
      <c r="X190" s="4">
        <v>5.6</v>
      </c>
      <c r="Y190" s="4">
        <v>5.22</v>
      </c>
      <c r="Z190" s="4">
        <v>5.21</v>
      </c>
      <c r="AA190" s="4">
        <v>5.21</v>
      </c>
      <c r="AB190" s="4">
        <v>5.3</v>
      </c>
      <c r="AC190" s="4">
        <v>5.15</v>
      </c>
      <c r="AD190" s="4">
        <v>5.61</v>
      </c>
      <c r="AE190" s="4">
        <v>6.17</v>
      </c>
      <c r="AF190" s="4">
        <v>5.94</v>
      </c>
      <c r="AG190" s="4">
        <v>5.6</v>
      </c>
      <c r="AH190" s="4">
        <v>5.08</v>
      </c>
      <c r="AI190" s="4">
        <v>5.14</v>
      </c>
      <c r="AJ190" s="4">
        <v>5.07</v>
      </c>
      <c r="AK190" s="4">
        <v>4.9800000000000004</v>
      </c>
      <c r="AL190" s="4">
        <v>5.01</v>
      </c>
      <c r="AM190" s="4">
        <v>5.15</v>
      </c>
      <c r="AN190" s="4">
        <v>5.25</v>
      </c>
      <c r="AO190" s="4">
        <v>5.18</v>
      </c>
      <c r="AP190" s="4">
        <v>5.44</v>
      </c>
      <c r="AQ190" s="4">
        <v>5.49</v>
      </c>
      <c r="AR190" s="4">
        <v>5.4</v>
      </c>
      <c r="AS190" s="4">
        <v>5.32</v>
      </c>
      <c r="AT190" s="4">
        <v>4.99</v>
      </c>
      <c r="AU190" s="4">
        <v>4.9700000000000006</v>
      </c>
      <c r="AV190" s="4">
        <v>4.93</v>
      </c>
      <c r="AW190" s="4">
        <v>4.75</v>
      </c>
      <c r="AX190" s="4">
        <v>4.55</v>
      </c>
      <c r="AY190" s="12">
        <v>4.59</v>
      </c>
      <c r="AZ190" s="12">
        <v>4.68</v>
      </c>
      <c r="BA190" s="12">
        <v>4.5199999999999996</v>
      </c>
      <c r="BB190" s="15">
        <v>4.54</v>
      </c>
      <c r="BC190" s="52">
        <v>4.54</v>
      </c>
      <c r="BD190" s="52">
        <v>4.37</v>
      </c>
      <c r="BE190" s="52">
        <v>4.29</v>
      </c>
      <c r="BF190" s="52">
        <v>4.08</v>
      </c>
      <c r="BG190" s="67">
        <v>4.03</v>
      </c>
      <c r="BH190" s="52">
        <v>4.01</v>
      </c>
      <c r="BI190" s="52">
        <v>4.01</v>
      </c>
      <c r="BJ190" s="52">
        <v>4.07</v>
      </c>
      <c r="BK190" s="52">
        <v>3.91</v>
      </c>
      <c r="BL190" s="52">
        <v>3.75</v>
      </c>
      <c r="BM190" s="52">
        <v>3.7</v>
      </c>
      <c r="BN190" s="52">
        <v>3.91</v>
      </c>
      <c r="BO190" s="52">
        <v>4.4400000000000004</v>
      </c>
      <c r="BP190" s="52" cm="1">
        <f t="array" aca="1" ref="BP190" ca="1">_FV(ED190,"Preço")</f>
        <v>4.1900000000000004</v>
      </c>
      <c r="BQ190" s="69" t="s">
        <v>186</v>
      </c>
      <c r="BR190" s="36" cm="1">
        <f t="array" aca="1" ref="BR190" ca="1">_FV(ED190,"Média de volume",TRUE)</f>
        <v>168180</v>
      </c>
      <c r="BS190" s="36">
        <v>111900</v>
      </c>
      <c r="BT190" s="36" cm="1">
        <f t="array" aca="1" ref="BT190" ca="1">_FV(ED190,"Volume")</f>
        <v>51000</v>
      </c>
      <c r="BU190" s="24" cm="1">
        <f t="array" aca="1" ref="BU190" ca="1">_FV(ED190,"Beta")</f>
        <v>1.8624000000000001</v>
      </c>
      <c r="BV190" s="71" cm="1">
        <f t="array" aca="1" ref="BV190" ca="1">_FV(ED190,"Variação (%)",TRUE)</f>
        <v>0</v>
      </c>
      <c r="BX190" s="17" cm="1">
        <f t="array" aca="1" ref="BX190" ca="1">_FV(ED190,"Baixo")</f>
        <v>4.0999999999999996</v>
      </c>
      <c r="BY190" s="17" cm="1">
        <f t="array" aca="1" ref="BY190" ca="1">_FV(ED190,"Alto")</f>
        <v>4.25</v>
      </c>
      <c r="BZ190" s="24"/>
      <c r="CA190" s="63">
        <f ca="1">SQRT(22.5*(BP190/VLOOKUP(BQ190,Fundamentus!A:U,3,FALSE))*(BP190/VLOOKUP(BQ190,Fundamentus!A:U,4,FALSE)))</f>
        <v>12.864898540086729</v>
      </c>
      <c r="CC190" s="62">
        <f t="shared" ca="1" si="168"/>
        <v>-5.63063063063063E-2</v>
      </c>
      <c r="CD190" s="8"/>
      <c r="CE190" s="61">
        <f t="shared" si="169"/>
        <v>3.7</v>
      </c>
      <c r="CF190" s="61">
        <f t="shared" si="170"/>
        <v>7.15</v>
      </c>
      <c r="CG190" s="61">
        <f t="shared" si="171"/>
        <v>5.2825373134328366</v>
      </c>
      <c r="CH190" s="14"/>
      <c r="CI190" s="35">
        <f t="shared" si="154"/>
        <v>3.9942776398137698</v>
      </c>
      <c r="CJ190" s="15">
        <f t="shared" si="172"/>
        <v>4.5200000000002092</v>
      </c>
      <c r="CK190" s="35">
        <f t="shared" si="155"/>
        <v>5.0457223601866481</v>
      </c>
      <c r="CM190" s="14"/>
      <c r="CN190" s="17">
        <f t="shared" si="156"/>
        <v>-0.4066666666666654</v>
      </c>
      <c r="CO190" s="17">
        <f t="shared" si="157"/>
        <v>1.6466666666666674</v>
      </c>
      <c r="CP190" s="17">
        <f t="shared" si="158"/>
        <v>3.0433333333333348</v>
      </c>
      <c r="CQ190" s="38">
        <f t="shared" si="173"/>
        <v>5.0966666666666676</v>
      </c>
      <c r="CR190" s="17">
        <f t="shared" si="159"/>
        <v>6.493333333333335</v>
      </c>
      <c r="CS190" s="17">
        <f t="shared" si="160"/>
        <v>8.5466666666666669</v>
      </c>
      <c r="CT190" s="17">
        <f t="shared" si="161"/>
        <v>9.9433333333333351</v>
      </c>
      <c r="CU190" s="2" cm="1">
        <f t="array" aca="1" ref="CU190" ca="1">MAX(_xlfn._xlws.FILTER(CN190:CT190,CN190:CT190&lt;BP190))</f>
        <v>3.0433333333333348</v>
      </c>
      <c r="CV190" s="2" cm="1">
        <f t="array" aca="1" ref="CV190" ca="1">MIN(_xlfn._xlws.FILTER($CN190:$CT190,$CN190:$CT190&gt;BP190))</f>
        <v>5.0966666666666676</v>
      </c>
      <c r="CW190" s="16">
        <f t="shared" ca="1" si="209"/>
        <v>0.6746987951807224</v>
      </c>
      <c r="CX190" s="20">
        <f t="shared" ca="1" si="210"/>
        <v>-0.3373493975903612</v>
      </c>
      <c r="CY190" s="20">
        <f t="shared" ca="1" si="211"/>
        <v>-0.22489959839357412</v>
      </c>
      <c r="CZ190" s="20">
        <f t="shared" ca="1" si="212"/>
        <v>-0.13493975903614447</v>
      </c>
      <c r="DA190" s="20">
        <f t="shared" ca="1" si="213"/>
        <v>-7.4966532797858046E-2</v>
      </c>
      <c r="DB190" s="20">
        <f t="shared" ca="1" si="214"/>
        <v>-3.9688164422395436E-2</v>
      </c>
      <c r="DC190" s="20">
        <f t="shared" ca="1" si="215"/>
        <v>-2.0445418035779466E-2</v>
      </c>
      <c r="DD190" s="20">
        <f t="shared" ca="1" si="216"/>
        <v>-1.0379981464318806E-2</v>
      </c>
      <c r="DE190" s="21">
        <f t="shared" ca="1" si="217"/>
        <v>1.0379981464318806E-2</v>
      </c>
      <c r="DF190" s="21">
        <f t="shared" ca="1" si="218"/>
        <v>2.0445418035779466E-2</v>
      </c>
      <c r="DG190" s="21">
        <f t="shared" ca="1" si="219"/>
        <v>3.9688164422395436E-2</v>
      </c>
      <c r="DH190" s="21">
        <f t="shared" ca="1" si="220"/>
        <v>7.4966532797858046E-2</v>
      </c>
      <c r="DI190" s="21">
        <f t="shared" ca="1" si="221"/>
        <v>0.13493975903614447</v>
      </c>
      <c r="DJ190" s="21">
        <f t="shared" ca="1" si="222"/>
        <v>0.22489959839357412</v>
      </c>
      <c r="DK190" s="21">
        <f t="shared" ca="1" si="223"/>
        <v>0.3373493975903612</v>
      </c>
      <c r="DM190" s="16" cm="1">
        <f t="array" aca="1" ref="DM190" ca="1">MAX(_xlfn._xlws.FILTER(CX190:DK190,CX190:DK190&lt;BV190))</f>
        <v>-1.0379981464318806E-2</v>
      </c>
      <c r="DN190" s="16" cm="1">
        <f t="array" aca="1" ref="DN190" ca="1">MIN(_xlfn._xlws.FILTER(CX190:DK190,CX190:DK190&gt;BV190))</f>
        <v>1.0379981464318806E-2</v>
      </c>
      <c r="DO190" s="2" cm="1">
        <f t="array" aca="1" ref="DO190" ca="1">_FV(ED190,"Fechamento anterior",TRUE)</f>
        <v>4.1900000000000004</v>
      </c>
      <c r="DP190" s="28">
        <f t="shared" ca="1" si="162"/>
        <v>0.5</v>
      </c>
      <c r="DQ190" s="15">
        <f t="shared" ca="1" si="224"/>
        <v>4.1465078776645043</v>
      </c>
      <c r="DR190" s="15">
        <f t="shared" ca="1" si="225"/>
        <v>4.2334921223354964</v>
      </c>
      <c r="DS190" s="9"/>
      <c r="DT190" s="9"/>
      <c r="DU190" s="9"/>
      <c r="DV190" s="89">
        <v>1.0065436571460661E-2</v>
      </c>
      <c r="DW190" s="89">
        <f t="shared" ca="1" si="163"/>
        <v>2.0759962928637611E-2</v>
      </c>
      <c r="DX190" s="72">
        <f t="shared" ca="1" si="164"/>
        <v>-0.62770775030983916</v>
      </c>
      <c r="DY190" s="37"/>
      <c r="DZ190" s="35">
        <f t="shared" si="174"/>
        <v>0.26286118009321968</v>
      </c>
      <c r="EA190" s="56"/>
      <c r="EB190" s="56"/>
      <c r="ED190" s="2" t="e" vm="192">
        <v>#VALUE!</v>
      </c>
      <c r="EF190" s="10" cm="1">
        <f t="array" aca="1" ref="EF190" ca="1">_FV(ED190,"Ações em circulação",TRUE)</f>
        <v>61776580</v>
      </c>
      <c r="EG190" s="18">
        <f>VLOOKUP(BQ190,Fundamentus!A:U,5,FALSE)</f>
        <v>0.19400000000000001</v>
      </c>
      <c r="EH190" s="2">
        <f t="shared" ca="1" si="165"/>
        <v>1334246753.6082475</v>
      </c>
      <c r="EI190" s="17">
        <v>33366995.663505159</v>
      </c>
      <c r="EJ190" s="17">
        <f t="shared" ca="1" si="166"/>
        <v>31488223.385154642</v>
      </c>
      <c r="EL190" s="16">
        <f t="shared" ca="1" si="153"/>
        <v>-5.6306306306306397E-2</v>
      </c>
      <c r="EM190" s="32" t="str">
        <f>IF(VLOOKUP(BQ190,Fundamentus!A:U,3,FALSE)&lt;15,"Bom",IF(VLOOKUP(BQ190,Fundamentus!A:U,3,FALSE)&gt;15,"Ruim","n/a"))</f>
        <v>Bom</v>
      </c>
      <c r="EN190" s="28" t="str">
        <f>IF(VLOOKUP(BQ190,Fundamentus!A:U,4,FALSE)&lt;1,"Baixo",IF(VLOOKUP(BQ190,Fundamentus!A:U,4,FALSE)&lt;1.5,"Moderado",IF(VLOOKUP(BQ190,Fundamentus!A:U,4,FALSE)&gt;1.5,"Alto","n/a")))</f>
        <v>Baixo</v>
      </c>
      <c r="EO190" s="17" t="str">
        <f>IF(VLOOKUP(BQ190,Fundamentus!A:U,8,FALSE)&lt;0,"Risco elevado",IF(VLOOKUP(BQ190,Fundamentus!A:U,8,FALSE)&lt;1,"Saudável",IF(VLOOKUP(BQ190,Fundamentus!A:U,8,FALSE)&lt;3,"Estável",IF(VLOOKUP(BQ190,Fundamentus!A:U,8,FALSE)&gt;3,"Alerta","n/a"))))</f>
        <v>Estável</v>
      </c>
      <c r="EP190" s="28" t="str">
        <f t="shared" si="167"/>
        <v>Ruim</v>
      </c>
      <c r="EQ190" s="17" t="str">
        <f>IF(VLOOKUP(BQ190,Fundamentus!A:U,12,FALSE)&lt;2,"Subvalorizada",IF(VLOOKUP(BQ190,Fundamentus!A:U,12,FALSE)&lt;6,"Muita barata",IF(VLOOKUP(BQ190,Fundamentus!A:U,12,FALSE)&lt;6,"Barata",IF(VLOOKUP(BQ190,Fundamentus!A:U,12,FALSE)&lt;8,"Atrativa",IF(VLOOKUP(BQ190,Fundamentus!A:U,12,FALSE)&gt;8,"Supervalorizada","n/a")))))</f>
        <v>Muita barata</v>
      </c>
      <c r="ES190" s="17" t="str">
        <f>IF(VLOOKUP(BQ190,Fundamentus!A:U,17,FALSE)&lt;0.1,"Fraco retorno",IF(VLOOKUP(BQ190,Fundamentus!A:U,17,FALSE)&gt;0.1,"Bom retorno","n/a"))</f>
        <v>Fraco retorno</v>
      </c>
      <c r="ET190" s="17" t="str">
        <f>IF(VLOOKUP(BQ190,Fundamentus!A:U,16,FALSE)&lt;0.1,"Ineficiente",IF(VLOOKUP(BQ190,Fundamentus!A:U,16,FALSE)&gt;0.1,"Eficiente","n/a"))</f>
        <v>Ineficiente</v>
      </c>
      <c r="EU190" s="33" t="str">
        <f>IF(VLOOKUP(BQ190,Fundamentus!A:U,16,FALSE)&lt;0.1,"Oper. Ineficiente",IF(VLOOKUP(BQ190,Fundamentus!A:U,16,FALSE)&gt;0.1,"Oper.Eficiente","n/a"))</f>
        <v>Oper. Ineficiente</v>
      </c>
      <c r="EV190" s="34">
        <f>VLOOKUP(BQ190,Fundamentus!A:U,14,FALSE)</f>
        <v>2.3599999999999999E-2</v>
      </c>
      <c r="EW190" s="17" t="str">
        <f>IF(VLOOKUP(BQ190,Fundamentus!A:U,21,FALSE)&lt;0,"Negativo",IF(VLOOKUP(BQ190,Fundamentus!A:U,21,FALSE)&lt;0.05,"Fraco",IF(VLOOKUP(BQ190,Fundamentus!A:U,21,FALSE)&lt;0.1,"Bom",IF(VLOOKUP(BQ190,Fundamentus!A:U,21,FALSE)&gt;0.1,"Muito bom","n/a"))))</f>
        <v>Bom</v>
      </c>
      <c r="EY190" s="29" t="str">
        <f>IF(VLOOKUP(BQ190,Fundamentus!A:U,15,FALSE)&gt;1,"Bom",IF(VLOOKUP(BQ190,Fundamentus!A:U,15,FALSE)&lt;1,"Ruim","n/a"))</f>
        <v>Bom</v>
      </c>
      <c r="EZ190" s="17" t="str">
        <f>IF(VLOOKUP(BQ190,Fundamentus!A:U,20,FALSE)&lt;0.5,"Baixa",IF(VLOOKUP(BQ190,Fundamentus!A:U,20,FALSE)&lt;1,"Moderada",IF(VLOOKUP(BQ190,Fundamentus!A:U,20,FALSE)&lt;2,"Alerta",IF(VLOOKUP(BQ190,Fundamentus!A:U,20,FALSE)&gt;2,"Alta","n/a"))))</f>
        <v>Baixa</v>
      </c>
      <c r="FA190" s="10"/>
    </row>
    <row r="191" spans="1:157" s="2" customFormat="1" ht="11.25" hidden="1" x14ac:dyDescent="0.2">
      <c r="A191" s="4">
        <v>0.95</v>
      </c>
      <c r="B191" s="4">
        <v>1.01</v>
      </c>
      <c r="C191" s="4">
        <v>1.18</v>
      </c>
      <c r="D191" s="4">
        <v>1.18</v>
      </c>
      <c r="E191" s="4">
        <v>1.1599999999999999</v>
      </c>
      <c r="F191" s="4">
        <v>1.1200000000000001</v>
      </c>
      <c r="G191" s="4">
        <v>1.07</v>
      </c>
      <c r="H191" s="4">
        <v>1.02</v>
      </c>
      <c r="I191" s="4">
        <v>1.02</v>
      </c>
      <c r="J191" s="4">
        <v>1.05</v>
      </c>
      <c r="K191" s="4">
        <v>1.08</v>
      </c>
      <c r="L191" s="4">
        <v>1.05</v>
      </c>
      <c r="M191" s="4">
        <v>0.99</v>
      </c>
      <c r="N191" s="4">
        <v>1</v>
      </c>
      <c r="O191" s="4">
        <v>1.03</v>
      </c>
      <c r="P191" s="4">
        <v>1</v>
      </c>
      <c r="Q191" s="4">
        <v>1.0900000000000001</v>
      </c>
      <c r="R191" s="4">
        <v>1.06</v>
      </c>
      <c r="S191" s="4">
        <v>1.1399999999999999</v>
      </c>
      <c r="T191" s="4">
        <v>1.1100000000000001</v>
      </c>
      <c r="U191" s="4">
        <v>1.05</v>
      </c>
      <c r="V191" s="4">
        <v>1.05</v>
      </c>
      <c r="W191" s="4">
        <v>1</v>
      </c>
      <c r="X191" s="4">
        <v>0.97</v>
      </c>
      <c r="Y191" s="4">
        <v>0.94</v>
      </c>
      <c r="Z191" s="4">
        <v>0.94</v>
      </c>
      <c r="AA191" s="4">
        <v>0.95</v>
      </c>
      <c r="AB191" s="4">
        <v>1.02</v>
      </c>
      <c r="AC191" s="4">
        <v>0.96</v>
      </c>
      <c r="AD191" s="4">
        <v>0.96</v>
      </c>
      <c r="AE191" s="4">
        <v>0.89</v>
      </c>
      <c r="AF191" s="4">
        <v>0.84</v>
      </c>
      <c r="AG191" s="4">
        <v>0.81</v>
      </c>
      <c r="AH191" s="4">
        <v>0.71</v>
      </c>
      <c r="AI191" s="4">
        <v>0.72</v>
      </c>
      <c r="AJ191" s="4">
        <v>0.73</v>
      </c>
      <c r="AK191" s="4">
        <v>0.71</v>
      </c>
      <c r="AL191" s="4">
        <v>0.73</v>
      </c>
      <c r="AM191" s="4">
        <v>0.75</v>
      </c>
      <c r="AN191" s="4">
        <v>0.73</v>
      </c>
      <c r="AO191" s="4">
        <v>0.72</v>
      </c>
      <c r="AP191" s="4">
        <v>0.72</v>
      </c>
      <c r="AQ191" s="4">
        <v>0.72</v>
      </c>
      <c r="AR191" s="4">
        <v>0.71</v>
      </c>
      <c r="AS191" s="4">
        <v>0.67</v>
      </c>
      <c r="AT191" s="4">
        <v>0.71</v>
      </c>
      <c r="AU191" s="4">
        <v>0.73</v>
      </c>
      <c r="AV191" s="4">
        <v>0.73</v>
      </c>
      <c r="AW191" s="4">
        <v>0.71</v>
      </c>
      <c r="AX191" s="4">
        <v>0.72</v>
      </c>
      <c r="AY191" s="12">
        <v>0.77</v>
      </c>
      <c r="AZ191" s="12">
        <v>0.8</v>
      </c>
      <c r="BA191" s="12">
        <v>0.82</v>
      </c>
      <c r="BB191" s="15">
        <v>0.89</v>
      </c>
      <c r="BC191" s="52">
        <v>0.94</v>
      </c>
      <c r="BD191" s="52">
        <v>1.1200000000000001</v>
      </c>
      <c r="BE191" s="52">
        <v>1</v>
      </c>
      <c r="BF191" s="52">
        <v>1.01</v>
      </c>
      <c r="BG191" s="67">
        <v>1.02</v>
      </c>
      <c r="BH191" s="52">
        <v>1.03</v>
      </c>
      <c r="BI191" s="52">
        <v>1.03</v>
      </c>
      <c r="BJ191" s="52">
        <v>1.1100000000000001</v>
      </c>
      <c r="BK191" s="52">
        <v>1.1200000000000001</v>
      </c>
      <c r="BL191" s="52">
        <v>1.1200000000000001</v>
      </c>
      <c r="BM191" s="52">
        <v>1.06</v>
      </c>
      <c r="BN191" s="52">
        <v>1.05</v>
      </c>
      <c r="BO191" s="52">
        <v>1.05</v>
      </c>
      <c r="BP191" s="52" cm="1">
        <f t="array" aca="1" ref="BP191" ca="1">_FV(ED191,"Preço")</f>
        <v>1</v>
      </c>
      <c r="BQ191" s="66" t="s">
        <v>180</v>
      </c>
      <c r="BR191" s="36" cm="1">
        <f t="array" aca="1" ref="BR191" ca="1">_FV(ED191,"Média de volume",TRUE)</f>
        <v>474190</v>
      </c>
      <c r="BS191" s="36">
        <v>551000</v>
      </c>
      <c r="BT191" s="36" cm="1">
        <f t="array" aca="1" ref="BT191" ca="1">_FV(ED191,"Volume")</f>
        <v>397800</v>
      </c>
      <c r="BU191" s="24" cm="1">
        <f t="array" aca="1" ref="BU191" ca="1">_FV(ED191,"Beta")</f>
        <v>1.5911999999999999</v>
      </c>
      <c r="BV191" s="71" cm="1">
        <f t="array" aca="1" ref="BV191" ca="1">_FV(ED191,"Variação (%)",TRUE)</f>
        <v>-9.9010000000000001E-3</v>
      </c>
      <c r="BX191" s="17" cm="1">
        <f t="array" aca="1" ref="BX191" ca="1">_FV(ED191,"Baixo")</f>
        <v>0.98</v>
      </c>
      <c r="BY191" s="17" cm="1">
        <f t="array" aca="1" ref="BY191" ca="1">_FV(ED191,"Alto")</f>
        <v>1.02</v>
      </c>
      <c r="BZ191" s="24"/>
      <c r="CA191" s="63">
        <f ca="1">SQRT(22.5*(BP191/VLOOKUP(BQ191,Fundamentus!A:U,3,FALSE))*(BP191/VLOOKUP(BQ191,Fundamentus!A:U,4,FALSE)))</f>
        <v>1.0509444351990529</v>
      </c>
      <c r="CC191" s="62">
        <f t="shared" ca="1" si="168"/>
        <v>-4.7619047619047658E-2</v>
      </c>
      <c r="CD191" s="8"/>
      <c r="CE191" s="61">
        <f t="shared" si="169"/>
        <v>0.67</v>
      </c>
      <c r="CF191" s="61">
        <f t="shared" si="170"/>
        <v>1.18</v>
      </c>
      <c r="CG191" s="61">
        <f t="shared" si="171"/>
        <v>0.93805970149253703</v>
      </c>
      <c r="CH191" s="14"/>
      <c r="CI191" s="35">
        <f t="shared" si="154"/>
        <v>0.94927329309936637</v>
      </c>
      <c r="CJ191" s="15">
        <f t="shared" si="172"/>
        <v>1.0149999999999864</v>
      </c>
      <c r="CK191" s="35">
        <f t="shared" si="155"/>
        <v>1.0807267069006063</v>
      </c>
      <c r="CM191" s="14"/>
      <c r="CN191" s="17">
        <f t="shared" si="156"/>
        <v>0.24333333333333373</v>
      </c>
      <c r="CO191" s="17">
        <f t="shared" si="157"/>
        <v>0.45666666666666689</v>
      </c>
      <c r="CP191" s="17">
        <f t="shared" si="158"/>
        <v>0.75333333333333363</v>
      </c>
      <c r="CQ191" s="38">
        <f t="shared" si="173"/>
        <v>0.96666666666666679</v>
      </c>
      <c r="CR191" s="17">
        <f t="shared" si="159"/>
        <v>1.2633333333333336</v>
      </c>
      <c r="CS191" s="17">
        <f t="shared" si="160"/>
        <v>1.4766666666666666</v>
      </c>
      <c r="CT191" s="17">
        <f t="shared" si="161"/>
        <v>1.7733333333333334</v>
      </c>
      <c r="CU191" s="2" cm="1">
        <f t="array" aca="1" ref="CU191" ca="1">MAX(_xlfn._xlws.FILTER(CN191:CT191,CN191:CT191&lt;BP191))</f>
        <v>0.96666666666666679</v>
      </c>
      <c r="CV191" s="2" cm="1">
        <f t="array" aca="1" ref="CV191" ca="1">MIN(_xlfn._xlws.FILTER($CN191:$CT191,$CN191:$CT191&gt;BP191))</f>
        <v>1.2633333333333336</v>
      </c>
      <c r="CW191" s="16">
        <f t="shared" ca="1" si="209"/>
        <v>0.30689655172413799</v>
      </c>
      <c r="CX191" s="20">
        <f t="shared" ca="1" si="210"/>
        <v>-0.15344827586206899</v>
      </c>
      <c r="CY191" s="20">
        <f t="shared" ca="1" si="211"/>
        <v>-0.10229885057471266</v>
      </c>
      <c r="CZ191" s="20">
        <f t="shared" ca="1" si="212"/>
        <v>-6.1379310344827596E-2</v>
      </c>
      <c r="DA191" s="20">
        <f t="shared" ca="1" si="213"/>
        <v>-3.4099616858237557E-2</v>
      </c>
      <c r="DB191" s="20">
        <f t="shared" ca="1" si="214"/>
        <v>-1.8052738336713999E-2</v>
      </c>
      <c r="DC191" s="20">
        <f t="shared" ca="1" si="215"/>
        <v>-9.2998955067920604E-3</v>
      </c>
      <c r="DD191" s="20">
        <f t="shared" ca="1" si="216"/>
        <v>-4.7214854111405843E-3</v>
      </c>
      <c r="DE191" s="21">
        <f t="shared" ca="1" si="217"/>
        <v>4.7214854111405843E-3</v>
      </c>
      <c r="DF191" s="21">
        <f t="shared" ca="1" si="218"/>
        <v>9.2998955067920604E-3</v>
      </c>
      <c r="DG191" s="21">
        <f t="shared" ca="1" si="219"/>
        <v>1.8052738336713999E-2</v>
      </c>
      <c r="DH191" s="21">
        <f t="shared" ca="1" si="220"/>
        <v>3.4099616858237557E-2</v>
      </c>
      <c r="DI191" s="21">
        <f t="shared" ca="1" si="221"/>
        <v>6.1379310344827596E-2</v>
      </c>
      <c r="DJ191" s="21">
        <f t="shared" ca="1" si="222"/>
        <v>0.10229885057471266</v>
      </c>
      <c r="DK191" s="21">
        <f t="shared" ca="1" si="223"/>
        <v>0.15344827586206899</v>
      </c>
      <c r="DM191" s="16" cm="1">
        <f t="array" aca="1" ref="DM191" ca="1">MAX(_xlfn._xlws.FILTER(CX191:DK191,CX191:DK191&lt;BV191))</f>
        <v>-1.8052738336713999E-2</v>
      </c>
      <c r="DN191" s="16" cm="1">
        <f t="array" aca="1" ref="DN191" ca="1">MIN(_xlfn._xlws.FILTER(CX191:DK191,CX191:DK191&gt;BV191))</f>
        <v>-9.2998955067920604E-3</v>
      </c>
      <c r="DO191" s="2" cm="1">
        <f t="array" aca="1" ref="DO191" ca="1">_FV(ED191,"Fechamento anterior",TRUE)</f>
        <v>1.01</v>
      </c>
      <c r="DP191" s="28">
        <f t="shared" ca="1" si="162"/>
        <v>0.93132578707308811</v>
      </c>
      <c r="DQ191" s="15">
        <f t="shared" ca="1" si="224"/>
        <v>0.9917667342799189</v>
      </c>
      <c r="DR191" s="15">
        <f t="shared" ca="1" si="225"/>
        <v>1.00060710553814</v>
      </c>
      <c r="DS191" s="9"/>
      <c r="DT191" s="9"/>
      <c r="DU191" s="9"/>
      <c r="DV191" s="89">
        <v>2.727969348659004E-2</v>
      </c>
      <c r="DW191" s="89">
        <f t="shared" ca="1" si="163"/>
        <v>8.7528428299219387E-3</v>
      </c>
      <c r="DX191" s="72">
        <f t="shared" ca="1" si="164"/>
        <v>-0.22821773229361145</v>
      </c>
      <c r="DY191" s="37"/>
      <c r="DZ191" s="35">
        <f t="shared" si="174"/>
        <v>3.2863353450309996E-2</v>
      </c>
      <c r="EA191" s="56"/>
      <c r="EB191" s="56"/>
      <c r="ED191" s="2" t="e" vm="193">
        <v>#VALUE!</v>
      </c>
      <c r="EF191" s="10" cm="1">
        <f t="array" aca="1" ref="EF191" ca="1">_FV(ED191,"Ações em circulação",TRUE)</f>
        <v>361423100</v>
      </c>
      <c r="EG191" s="18">
        <f>VLOOKUP(BQ191,Fundamentus!A:U,5,FALSE)</f>
        <v>0.38</v>
      </c>
      <c r="EH191" s="2">
        <f t="shared" ca="1" si="165"/>
        <v>951113421.05263162</v>
      </c>
      <c r="EI191" s="17">
        <v>7889485.8276315797</v>
      </c>
      <c r="EJ191" s="17">
        <f t="shared" ca="1" si="166"/>
        <v>7513796.0263157906</v>
      </c>
      <c r="EL191" s="16">
        <f t="shared" ca="1" si="153"/>
        <v>-4.7619047619047561E-2</v>
      </c>
      <c r="EM191" s="32" t="str">
        <f>IF(VLOOKUP(BQ191,Fundamentus!A:U,3,FALSE)&lt;15,"Bom",IF(VLOOKUP(BQ191,Fundamentus!A:U,3,FALSE)&gt;15,"Ruim","n/a"))</f>
        <v>Ruim</v>
      </c>
      <c r="EN191" s="28" t="str">
        <f>IF(VLOOKUP(BQ191,Fundamentus!A:U,4,FALSE)&lt;1,"Baixo",IF(VLOOKUP(BQ191,Fundamentus!A:U,4,FALSE)&lt;1.5,"Moderado",IF(VLOOKUP(BQ191,Fundamentus!A:U,4,FALSE)&gt;1.5,"Alto","n/a")))</f>
        <v>Baixo</v>
      </c>
      <c r="EO191" s="17" t="str">
        <f>IF(VLOOKUP(BQ191,Fundamentus!A:U,8,FALSE)&lt;0,"Risco elevado",IF(VLOOKUP(BQ191,Fundamentus!A:U,8,FALSE)&lt;1,"Saudável",IF(VLOOKUP(BQ191,Fundamentus!A:U,8,FALSE)&lt;3,"Estável",IF(VLOOKUP(BQ191,Fundamentus!A:U,8,FALSE)&gt;3,"Alerta","n/a"))))</f>
        <v>Estável</v>
      </c>
      <c r="EP191" s="28" t="str">
        <f t="shared" si="167"/>
        <v>Ruim</v>
      </c>
      <c r="EQ191" s="17" t="str">
        <f>IF(VLOOKUP(BQ191,Fundamentus!A:U,12,FALSE)&lt;2,"Subvalorizada",IF(VLOOKUP(BQ191,Fundamentus!A:U,12,FALSE)&lt;6,"Muita barata",IF(VLOOKUP(BQ191,Fundamentus!A:U,12,FALSE)&lt;6,"Barata",IF(VLOOKUP(BQ191,Fundamentus!A:U,12,FALSE)&lt;8,"Atrativa",IF(VLOOKUP(BQ191,Fundamentus!A:U,12,FALSE)&gt;8,"Supervalorizada","n/a")))))</f>
        <v>Muita barata</v>
      </c>
      <c r="ES191" s="17" t="str">
        <f>IF(VLOOKUP(BQ191,Fundamentus!A:U,17,FALSE)&lt;0.1,"Fraco retorno",IF(VLOOKUP(BQ191,Fundamentus!A:U,17,FALSE)&gt;0.1,"Bom retorno","n/a"))</f>
        <v>Fraco retorno</v>
      </c>
      <c r="ET191" s="17" t="str">
        <f>IF(VLOOKUP(BQ191,Fundamentus!A:U,16,FALSE)&lt;0.1,"Ineficiente",IF(VLOOKUP(BQ191,Fundamentus!A:U,16,FALSE)&gt;0.1,"Eficiente","n/a"))</f>
        <v>Ineficiente</v>
      </c>
      <c r="EU191" s="33" t="str">
        <f>IF(VLOOKUP(BQ191,Fundamentus!A:U,16,FALSE)&lt;0.1,"Oper. Ineficiente",IF(VLOOKUP(BQ191,Fundamentus!A:U,16,FALSE)&gt;0.1,"Oper.Eficiente","n/a"))</f>
        <v>Oper. Ineficiente</v>
      </c>
      <c r="EV191" s="34">
        <f>VLOOKUP(BQ191,Fundamentus!A:U,14,FALSE)</f>
        <v>7.9000000000000008E-3</v>
      </c>
      <c r="EW191" s="17" t="str">
        <f>IF(VLOOKUP(BQ191,Fundamentus!A:U,21,FALSE)&lt;0,"Negativo",IF(VLOOKUP(BQ191,Fundamentus!A:U,21,FALSE)&lt;0.05,"Fraco",IF(VLOOKUP(BQ191,Fundamentus!A:U,21,FALSE)&lt;0.1,"Bom",IF(VLOOKUP(BQ191,Fundamentus!A:U,21,FALSE)&gt;0.1,"Muito bom","n/a"))))</f>
        <v>Muito bom</v>
      </c>
      <c r="EY191" s="29" t="str">
        <f>IF(VLOOKUP(BQ191,Fundamentus!A:U,15,FALSE)&gt;1,"Bom",IF(VLOOKUP(BQ191,Fundamentus!A:U,15,FALSE)&lt;1,"Ruim","n/a"))</f>
        <v>Bom</v>
      </c>
      <c r="EZ191" s="17" t="str">
        <f>IF(VLOOKUP(BQ191,Fundamentus!A:U,20,FALSE)&lt;0.5,"Baixa",IF(VLOOKUP(BQ191,Fundamentus!A:U,20,FALSE)&lt;1,"Moderada",IF(VLOOKUP(BQ191,Fundamentus!A:U,20,FALSE)&lt;2,"Alerta",IF(VLOOKUP(BQ191,Fundamentus!A:U,20,FALSE)&gt;2,"Alta","n/a"))))</f>
        <v>Moderada</v>
      </c>
      <c r="FA191" s="10"/>
    </row>
    <row r="192" spans="1:157" s="2" customFormat="1" ht="11.25" hidden="1" x14ac:dyDescent="0.2">
      <c r="A192" s="4">
        <v>5.81</v>
      </c>
      <c r="B192" s="4">
        <v>5.68</v>
      </c>
      <c r="C192" s="4">
        <v>5.63</v>
      </c>
      <c r="D192" s="4">
        <v>5.54</v>
      </c>
      <c r="E192" s="4">
        <v>5.0199999999999996</v>
      </c>
      <c r="F192" s="4">
        <v>5</v>
      </c>
      <c r="G192" s="4">
        <v>4.87</v>
      </c>
      <c r="H192" s="4">
        <v>4.66</v>
      </c>
      <c r="I192" s="4">
        <v>4.5</v>
      </c>
      <c r="J192" s="4">
        <v>4.97</v>
      </c>
      <c r="K192" s="4">
        <v>5</v>
      </c>
      <c r="L192" s="4">
        <v>4.49</v>
      </c>
      <c r="M192" s="4">
        <v>4.91</v>
      </c>
      <c r="N192" s="4">
        <v>4.6900000000000004</v>
      </c>
      <c r="O192" s="4">
        <v>4.6100000000000003</v>
      </c>
      <c r="P192" s="4">
        <v>4.41</v>
      </c>
      <c r="Q192" s="4">
        <v>4.7699999999999996</v>
      </c>
      <c r="R192" s="4">
        <v>4.66</v>
      </c>
      <c r="S192" s="4">
        <v>4.7</v>
      </c>
      <c r="T192" s="4">
        <v>4.83</v>
      </c>
      <c r="U192" s="4">
        <v>4.54</v>
      </c>
      <c r="V192" s="4">
        <v>4.49</v>
      </c>
      <c r="W192" s="4">
        <v>4.63</v>
      </c>
      <c r="X192" s="4">
        <v>4.45</v>
      </c>
      <c r="Y192" s="4">
        <v>4.25</v>
      </c>
      <c r="Z192" s="4">
        <v>4.18</v>
      </c>
      <c r="AA192" s="4">
        <v>4.07</v>
      </c>
      <c r="AB192" s="4">
        <v>4.43</v>
      </c>
      <c r="AC192" s="4">
        <v>4.3</v>
      </c>
      <c r="AD192" s="4">
        <v>4.24</v>
      </c>
      <c r="AE192" s="4">
        <v>4.13</v>
      </c>
      <c r="AF192" s="4">
        <v>3.93</v>
      </c>
      <c r="AG192" s="4">
        <v>3.95</v>
      </c>
      <c r="AH192" s="4">
        <v>3.61</v>
      </c>
      <c r="AI192" s="4">
        <v>3.56</v>
      </c>
      <c r="AJ192" s="4">
        <v>3.61</v>
      </c>
      <c r="AK192" s="4">
        <v>3.65</v>
      </c>
      <c r="AL192" s="4">
        <v>3.51</v>
      </c>
      <c r="AM192" s="4">
        <v>3.6</v>
      </c>
      <c r="AN192" s="4">
        <v>3.86</v>
      </c>
      <c r="AO192" s="4">
        <v>4</v>
      </c>
      <c r="AP192" s="4">
        <v>3.92</v>
      </c>
      <c r="AQ192" s="4">
        <v>3.84</v>
      </c>
      <c r="AR192" s="4">
        <v>3.7</v>
      </c>
      <c r="AS192" s="4">
        <v>3.8</v>
      </c>
      <c r="AT192" s="4">
        <v>4.05</v>
      </c>
      <c r="AU192" s="4">
        <v>3.5750000000000002</v>
      </c>
      <c r="AV192" s="4">
        <v>4.08</v>
      </c>
      <c r="AW192" s="4">
        <v>3.95</v>
      </c>
      <c r="AX192" s="4">
        <v>3.84</v>
      </c>
      <c r="AY192" s="12">
        <v>4.22</v>
      </c>
      <c r="AZ192" s="12">
        <v>4.78</v>
      </c>
      <c r="BA192" s="12">
        <v>4.79</v>
      </c>
      <c r="BB192" s="15">
        <v>4.5599999999999996</v>
      </c>
      <c r="BC192" s="52">
        <v>4.4400000000000004</v>
      </c>
      <c r="BD192" s="52">
        <v>4.95</v>
      </c>
      <c r="BE192" s="52">
        <v>4.74</v>
      </c>
      <c r="BF192" s="52">
        <v>4.66</v>
      </c>
      <c r="BG192" s="67">
        <v>4.4000000000000004</v>
      </c>
      <c r="BH192" s="52">
        <v>4.7300000000000004</v>
      </c>
      <c r="BI192" s="52">
        <v>4.59</v>
      </c>
      <c r="BJ192" s="52">
        <v>4.62</v>
      </c>
      <c r="BK192" s="52">
        <v>4.58</v>
      </c>
      <c r="BL192" s="52">
        <v>4.3099999999999996</v>
      </c>
      <c r="BM192" s="52">
        <v>4.43</v>
      </c>
      <c r="BN192" s="52">
        <v>4.2300000000000004</v>
      </c>
      <c r="BO192" s="52">
        <v>4.58</v>
      </c>
      <c r="BP192" s="52" cm="1">
        <f t="array" aca="1" ref="BP192" ca="1">_FV(ED192,"Preço")</f>
        <v>4.76</v>
      </c>
      <c r="BQ192" s="69" t="s">
        <v>188</v>
      </c>
      <c r="BR192" s="36" cm="1">
        <f t="array" aca="1" ref="BR192" ca="1">_FV(ED192,"Média de volume",TRUE)</f>
        <v>186490</v>
      </c>
      <c r="BS192" s="36">
        <v>74500</v>
      </c>
      <c r="BT192" s="36" cm="1">
        <f t="array" aca="1" ref="BT192" ca="1">_FV(ED192,"Volume")</f>
        <v>170500</v>
      </c>
      <c r="BU192" s="24" cm="1">
        <f t="array" aca="1" ref="BU192" ca="1">_FV(ED192,"Beta")</f>
        <v>1.5807</v>
      </c>
      <c r="BV192" s="71" cm="1">
        <f t="array" aca="1" ref="BV192" ca="1">_FV(ED192,"Variação (%)",TRUE)</f>
        <v>1.4924999999999999E-2</v>
      </c>
      <c r="BX192" s="17" cm="1">
        <f t="array" aca="1" ref="BX192" ca="1">_FV(ED192,"Baixo")</f>
        <v>4.55</v>
      </c>
      <c r="BY192" s="17" cm="1">
        <f t="array" aca="1" ref="BY192" ca="1">_FV(ED192,"Alto")</f>
        <v>4.79</v>
      </c>
      <c r="BZ192" s="24"/>
      <c r="CA192" s="63" t="e">
        <f ca="1">SQRT(22.5*(BP192/VLOOKUP(BQ192,Fundamentus!A:U,3,FALSE))*(BP192/VLOOKUP(BQ192,Fundamentus!A:U,4,FALSE)))</f>
        <v>#NUM!</v>
      </c>
      <c r="CC192" s="62">
        <f t="shared" ca="1" si="168"/>
        <v>3.9301310043668061E-2</v>
      </c>
      <c r="CD192" s="8"/>
      <c r="CE192" s="61">
        <f t="shared" si="169"/>
        <v>3.51</v>
      </c>
      <c r="CF192" s="61">
        <f t="shared" si="170"/>
        <v>5.81</v>
      </c>
      <c r="CG192" s="61">
        <f t="shared" si="171"/>
        <v>4.419477611940299</v>
      </c>
      <c r="CH192" s="14"/>
      <c r="CI192" s="35">
        <f t="shared" si="154"/>
        <v>4.2581205931608546</v>
      </c>
      <c r="CJ192" s="15">
        <f t="shared" si="172"/>
        <v>4.5400000000000205</v>
      </c>
      <c r="CK192" s="35">
        <f t="shared" si="155"/>
        <v>4.8218794068391864</v>
      </c>
      <c r="CM192" s="14"/>
      <c r="CN192" s="17">
        <f t="shared" si="156"/>
        <v>1.1566666666666681</v>
      </c>
      <c r="CO192" s="17">
        <f t="shared" si="157"/>
        <v>2.3333333333333339</v>
      </c>
      <c r="CP192" s="17">
        <f t="shared" si="158"/>
        <v>3.4566666666666679</v>
      </c>
      <c r="CQ192" s="38">
        <f t="shared" si="173"/>
        <v>4.6333333333333337</v>
      </c>
      <c r="CR192" s="17">
        <f t="shared" si="159"/>
        <v>5.7566666666666677</v>
      </c>
      <c r="CS192" s="17">
        <f t="shared" si="160"/>
        <v>6.9333333333333336</v>
      </c>
      <c r="CT192" s="17">
        <f t="shared" si="161"/>
        <v>8.0566666666666684</v>
      </c>
      <c r="CU192" s="2" cm="1">
        <f t="array" aca="1" ref="CU192" ca="1">MAX(_xlfn._xlws.FILTER(CN192:CT192,CN192:CT192&lt;BP192))</f>
        <v>4.6333333333333337</v>
      </c>
      <c r="CV192" s="2" cm="1">
        <f t="array" aca="1" ref="CV192" ca="1">MIN(_xlfn._xlws.FILTER($CN192:$CT192,$CN192:$CT192&gt;BP192))</f>
        <v>5.7566666666666677</v>
      </c>
      <c r="CW192" s="16">
        <f t="shared" ca="1" si="209"/>
        <v>0.24244604316546781</v>
      </c>
      <c r="CX192" s="20">
        <f t="shared" ca="1" si="210"/>
        <v>-0.1212230215827339</v>
      </c>
      <c r="CY192" s="20">
        <f t="shared" ca="1" si="211"/>
        <v>-8.0815347721822597E-2</v>
      </c>
      <c r="CZ192" s="20">
        <f t="shared" ca="1" si="212"/>
        <v>-4.8489208633093563E-2</v>
      </c>
      <c r="DA192" s="20">
        <f t="shared" ca="1" si="213"/>
        <v>-2.6938449240607534E-2</v>
      </c>
      <c r="DB192" s="20">
        <f t="shared" ca="1" si="214"/>
        <v>-1.4261531950909871E-2</v>
      </c>
      <c r="DC192" s="20">
        <f t="shared" ca="1" si="215"/>
        <v>-7.3468497928929639E-3</v>
      </c>
      <c r="DD192" s="20">
        <f t="shared" ca="1" si="216"/>
        <v>-3.7299391256225816E-3</v>
      </c>
      <c r="DE192" s="21">
        <f t="shared" ca="1" si="217"/>
        <v>3.7299391256225816E-3</v>
      </c>
      <c r="DF192" s="21">
        <f t="shared" ca="1" si="218"/>
        <v>7.3468497928929639E-3</v>
      </c>
      <c r="DG192" s="21">
        <f t="shared" ca="1" si="219"/>
        <v>1.4261531950909871E-2</v>
      </c>
      <c r="DH192" s="21">
        <f t="shared" ca="1" si="220"/>
        <v>2.6938449240607534E-2</v>
      </c>
      <c r="DI192" s="21">
        <f t="shared" ca="1" si="221"/>
        <v>4.8489208633093563E-2</v>
      </c>
      <c r="DJ192" s="21">
        <f t="shared" ca="1" si="222"/>
        <v>8.0815347721822597E-2</v>
      </c>
      <c r="DK192" s="21">
        <f t="shared" ca="1" si="223"/>
        <v>0.1212230215827339</v>
      </c>
      <c r="DM192" s="16" cm="1">
        <f t="array" aca="1" ref="DM192" ca="1">MAX(_xlfn._xlws.FILTER(CX192:DK192,CX192:DK192&lt;BV192))</f>
        <v>1.4261531950909871E-2</v>
      </c>
      <c r="DN192" s="16" cm="1">
        <f t="array" aca="1" ref="DN192" ca="1">MIN(_xlfn._xlws.FILTER(CX192:DK192,CX192:DK192&gt;BV192))</f>
        <v>2.6938449240607534E-2</v>
      </c>
      <c r="DO192" s="2" cm="1">
        <f t="array" aca="1" ref="DO192" ca="1">_FV(ED192,"Fechamento anterior",TRUE)</f>
        <v>4.6900000000000004</v>
      </c>
      <c r="DP192" s="28">
        <f t="shared" ca="1" si="162"/>
        <v>5.2366136675664469E-2</v>
      </c>
      <c r="DQ192" s="15">
        <f t="shared" ca="1" si="224"/>
        <v>4.7568865848497675</v>
      </c>
      <c r="DR192" s="15">
        <f t="shared" ca="1" si="225"/>
        <v>4.8163413269384501</v>
      </c>
      <c r="DS192" s="9"/>
      <c r="DT192" s="9"/>
      <c r="DU192" s="9"/>
      <c r="DV192" s="89">
        <v>1.0474000445070826E-2</v>
      </c>
      <c r="DW192" s="89">
        <f t="shared" ca="1" si="163"/>
        <v>1.2676917289697663E-2</v>
      </c>
      <c r="DX192" s="72">
        <f t="shared" ca="1" si="164"/>
        <v>0.78047560290740359</v>
      </c>
      <c r="DY192" s="37"/>
      <c r="DZ192" s="35">
        <f t="shared" si="174"/>
        <v>0.14093970341958292</v>
      </c>
      <c r="EA192" s="56"/>
      <c r="EB192" s="56"/>
      <c r="ED192" s="2" t="e" vm="194">
        <v>#VALUE!</v>
      </c>
      <c r="EF192" s="10" cm="1">
        <f t="array" aca="1" ref="EF192" ca="1">_FV(ED192,"Ações em circulação",TRUE)</f>
        <v>339428000</v>
      </c>
      <c r="EG192" s="18">
        <f>VLOOKUP(BQ192,Fundamentus!A:U,5,FALSE)</f>
        <v>0.68899999999999995</v>
      </c>
      <c r="EH192" s="2">
        <f t="shared" ca="1" si="165"/>
        <v>2344959767.7793908</v>
      </c>
      <c r="EI192" s="17">
        <v>-368225682.39187235</v>
      </c>
      <c r="EJ192" s="17">
        <f t="shared" ca="1" si="166"/>
        <v>-382697434.10159659</v>
      </c>
      <c r="EL192" s="16">
        <f t="shared" ca="1" si="153"/>
        <v>3.9301310043668103E-2</v>
      </c>
      <c r="EM192" s="32" t="str">
        <f>IF(VLOOKUP(BQ192,Fundamentus!A:U,3,FALSE)&lt;15,"Bom",IF(VLOOKUP(BQ192,Fundamentus!A:U,3,FALSE)&gt;15,"Ruim","n/a"))</f>
        <v>Bom</v>
      </c>
      <c r="EN192" s="28" t="str">
        <f>IF(VLOOKUP(BQ192,Fundamentus!A:U,4,FALSE)&lt;1,"Baixo",IF(VLOOKUP(BQ192,Fundamentus!A:U,4,FALSE)&lt;1.5,"Moderado",IF(VLOOKUP(BQ192,Fundamentus!A:U,4,FALSE)&gt;1.5,"Alto","n/a")))</f>
        <v>Moderado</v>
      </c>
      <c r="EO192" s="17" t="str">
        <f>IF(VLOOKUP(BQ192,Fundamentus!A:U,8,FALSE)&lt;0,"Risco elevado",IF(VLOOKUP(BQ192,Fundamentus!A:U,8,FALSE)&lt;1,"Saudável",IF(VLOOKUP(BQ192,Fundamentus!A:U,8,FALSE)&lt;3,"Estável",IF(VLOOKUP(BQ192,Fundamentus!A:U,8,FALSE)&gt;3,"Alerta","n/a"))))</f>
        <v>Estável</v>
      </c>
      <c r="EP192" s="28" t="str">
        <f t="shared" si="167"/>
        <v>Ruim</v>
      </c>
      <c r="EQ192" s="17" t="str">
        <f>IF(VLOOKUP(BQ192,Fundamentus!A:U,12,FALSE)&lt;2,"Subvalorizada",IF(VLOOKUP(BQ192,Fundamentus!A:U,12,FALSE)&lt;6,"Muita barata",IF(VLOOKUP(BQ192,Fundamentus!A:U,12,FALSE)&lt;6,"Barata",IF(VLOOKUP(BQ192,Fundamentus!A:U,12,FALSE)&lt;8,"Atrativa",IF(VLOOKUP(BQ192,Fundamentus!A:U,12,FALSE)&gt;8,"Supervalorizada","n/a")))))</f>
        <v>Muita barata</v>
      </c>
      <c r="ES192" s="17" t="str">
        <f>IF(VLOOKUP(BQ192,Fundamentus!A:U,17,FALSE)&lt;0.1,"Fraco retorno",IF(VLOOKUP(BQ192,Fundamentus!A:U,17,FALSE)&gt;0.1,"Bom retorno","n/a"))</f>
        <v>Fraco retorno</v>
      </c>
      <c r="ET192" s="17" t="str">
        <f>IF(VLOOKUP(BQ192,Fundamentus!A:U,16,FALSE)&lt;0.1,"Ineficiente",IF(VLOOKUP(BQ192,Fundamentus!A:U,16,FALSE)&gt;0.1,"Eficiente","n/a"))</f>
        <v>Ineficiente</v>
      </c>
      <c r="EU192" s="33" t="str">
        <f>IF(VLOOKUP(BQ192,Fundamentus!A:U,16,FALSE)&lt;0.1,"Oper. Ineficiente",IF(VLOOKUP(BQ192,Fundamentus!A:U,16,FALSE)&gt;0.1,"Oper.Eficiente","n/a"))</f>
        <v>Oper. Ineficiente</v>
      </c>
      <c r="EV192" s="34">
        <f>VLOOKUP(BQ192,Fundamentus!A:U,14,FALSE)</f>
        <v>-0.16320000000000001</v>
      </c>
      <c r="EW192" s="17" t="str">
        <f>IF(VLOOKUP(BQ192,Fundamentus!A:U,21,FALSE)&lt;0,"Negativo",IF(VLOOKUP(BQ192,Fundamentus!A:U,21,FALSE)&lt;0.05,"Fraco",IF(VLOOKUP(BQ192,Fundamentus!A:U,21,FALSE)&lt;0.1,"Bom",IF(VLOOKUP(BQ192,Fundamentus!A:U,21,FALSE)&gt;0.1,"Muito bom","n/a"))))</f>
        <v>Muito bom</v>
      </c>
      <c r="EY192" s="29" t="str">
        <f>IF(VLOOKUP(BQ192,Fundamentus!A:U,15,FALSE)&gt;1,"Bom",IF(VLOOKUP(BQ192,Fundamentus!A:U,15,FALSE)&lt;1,"Ruim","n/a"))</f>
        <v>Bom</v>
      </c>
      <c r="EZ192" s="17" t="str">
        <f>IF(VLOOKUP(BQ192,Fundamentus!A:U,20,FALSE)&lt;0.5,"Baixa",IF(VLOOKUP(BQ192,Fundamentus!A:U,20,FALSE)&lt;1,"Moderada",IF(VLOOKUP(BQ192,Fundamentus!A:U,20,FALSE)&lt;2,"Alerta",IF(VLOOKUP(BQ192,Fundamentus!A:U,20,FALSE)&gt;2,"Alta","n/a"))))</f>
        <v>Moderada</v>
      </c>
      <c r="FA192" s="10"/>
    </row>
    <row r="193" spans="1:157" s="2" customFormat="1" ht="11.25" hidden="1" x14ac:dyDescent="0.2">
      <c r="A193" s="4">
        <v>0.82</v>
      </c>
      <c r="B193" s="4">
        <v>0.76</v>
      </c>
      <c r="C193" s="4">
        <v>0.75</v>
      </c>
      <c r="D193" s="4">
        <v>0.7</v>
      </c>
      <c r="E193" s="4">
        <v>0.66</v>
      </c>
      <c r="F193" s="4">
        <v>0.61</v>
      </c>
      <c r="G193" s="4">
        <v>0.66</v>
      </c>
      <c r="H193" s="4">
        <v>0.61</v>
      </c>
      <c r="I193" s="4">
        <v>0.53</v>
      </c>
      <c r="J193" s="4">
        <v>0.56000000000000005</v>
      </c>
      <c r="K193" s="4">
        <v>0.59</v>
      </c>
      <c r="L193" s="4">
        <v>0.52</v>
      </c>
      <c r="M193" s="4">
        <v>3.82</v>
      </c>
      <c r="N193" s="4">
        <v>3.56</v>
      </c>
      <c r="O193" s="4">
        <v>3.69</v>
      </c>
      <c r="P193" s="4">
        <v>4.5</v>
      </c>
      <c r="Q193" s="4">
        <v>3.55</v>
      </c>
      <c r="R193" s="4">
        <v>3.11</v>
      </c>
      <c r="S193" s="4">
        <v>2.7</v>
      </c>
      <c r="T193" s="4">
        <v>3.85</v>
      </c>
      <c r="U193" s="4">
        <v>4.3</v>
      </c>
      <c r="V193" s="4">
        <v>4.9000000000000004</v>
      </c>
      <c r="W193" s="4">
        <v>4.9000000000000004</v>
      </c>
      <c r="X193" s="4">
        <v>6.42</v>
      </c>
      <c r="Y193" s="4">
        <v>6.07</v>
      </c>
      <c r="Z193" s="4">
        <v>5.63</v>
      </c>
      <c r="AA193" s="4">
        <v>5.14</v>
      </c>
      <c r="AB193" s="4">
        <v>7.48</v>
      </c>
      <c r="AC193" s="4">
        <v>8.09</v>
      </c>
      <c r="AD193" s="4">
        <v>7.42</v>
      </c>
      <c r="AE193" s="4">
        <v>5.8</v>
      </c>
      <c r="AF193" s="4">
        <v>6.75</v>
      </c>
      <c r="AG193" s="4">
        <v>7.08</v>
      </c>
      <c r="AH193" s="4">
        <v>5.95</v>
      </c>
      <c r="AI193" s="4">
        <v>6.99</v>
      </c>
      <c r="AJ193" s="4">
        <v>6.95</v>
      </c>
      <c r="AK193" s="4">
        <v>6.58</v>
      </c>
      <c r="AL193" s="4">
        <v>6.17</v>
      </c>
      <c r="AM193" s="4">
        <v>6.11</v>
      </c>
      <c r="AN193" s="4">
        <v>6.14</v>
      </c>
      <c r="AO193" s="4">
        <v>5.05</v>
      </c>
      <c r="AP193" s="4">
        <v>5.0999999999999996</v>
      </c>
      <c r="AQ193" s="4">
        <v>5.22</v>
      </c>
      <c r="AR193" s="4">
        <v>5.2</v>
      </c>
      <c r="AS193" s="4">
        <v>5.13</v>
      </c>
      <c r="AT193" s="4">
        <v>5.46</v>
      </c>
      <c r="AU193" s="4">
        <v>5.6550000000000002</v>
      </c>
      <c r="AV193" s="4">
        <v>6.45</v>
      </c>
      <c r="AW193" s="4">
        <v>7.5</v>
      </c>
      <c r="AX193" s="4">
        <v>7.29</v>
      </c>
      <c r="AY193" s="12">
        <v>7</v>
      </c>
      <c r="AZ193" s="12">
        <v>6.6</v>
      </c>
      <c r="BA193" s="12">
        <v>6.63</v>
      </c>
      <c r="BB193" s="15">
        <v>7</v>
      </c>
      <c r="BC193" s="52">
        <v>6.97</v>
      </c>
      <c r="BD193" s="52">
        <v>7.89</v>
      </c>
      <c r="BE193" s="52">
        <v>9</v>
      </c>
      <c r="BF193" s="52">
        <v>8.19</v>
      </c>
      <c r="BG193" s="67">
        <v>7.2</v>
      </c>
      <c r="BH193" s="52">
        <v>7.85</v>
      </c>
      <c r="BI193" s="52">
        <v>7.27</v>
      </c>
      <c r="BJ193" s="52">
        <v>6.59</v>
      </c>
      <c r="BK193" s="52">
        <v>7.39</v>
      </c>
      <c r="BL193" s="52">
        <v>7.49</v>
      </c>
      <c r="BM193" s="52">
        <v>7.32</v>
      </c>
      <c r="BN193" s="52">
        <v>6.68</v>
      </c>
      <c r="BO193" s="52">
        <v>7.24</v>
      </c>
      <c r="BP193" s="52" cm="1">
        <f t="array" aca="1" ref="BP193" ca="1">_FV(ED193,"Preço")</f>
        <v>7.8</v>
      </c>
      <c r="BQ193" s="69" t="s">
        <v>189</v>
      </c>
      <c r="BR193" s="36" cm="1">
        <f t="array" aca="1" ref="BR193" ca="1">_FV(ED193,"Média de volume",TRUE)</f>
        <v>41380</v>
      </c>
      <c r="BS193" s="36">
        <v>10800</v>
      </c>
      <c r="BT193" s="36" cm="1">
        <f t="array" aca="1" ref="BT193" ca="1">_FV(ED193,"Volume")</f>
        <v>15300</v>
      </c>
      <c r="BU193" s="24" cm="1">
        <f t="array" aca="1" ref="BU193" ca="1">_FV(ED193,"Beta")</f>
        <v>0.57720000000000005</v>
      </c>
      <c r="BV193" s="71" cm="1">
        <f t="array" aca="1" ref="BV193" ca="1">_FV(ED193,"Variação (%)",TRUE)</f>
        <v>-7.0321999999999996E-2</v>
      </c>
      <c r="BX193" s="17" cm="1">
        <f t="array" aca="1" ref="BX193" ca="1">_FV(ED193,"Baixo")</f>
        <v>7.8</v>
      </c>
      <c r="BY193" s="17" cm="1">
        <f t="array" aca="1" ref="BY193" ca="1">_FV(ED193,"Alto")</f>
        <v>8.2899999999999991</v>
      </c>
      <c r="BZ193" s="24"/>
      <c r="CA193" s="63" t="e">
        <f ca="1">SQRT(22.5*(BP193/VLOOKUP(BQ193,Fundamentus!A:U,3,FALSE))*(BP193/VLOOKUP(BQ193,Fundamentus!A:U,4,FALSE)))</f>
        <v>#NUM!</v>
      </c>
      <c r="CC193" s="62">
        <f t="shared" ca="1" si="168"/>
        <v>7.7348066298342483E-2</v>
      </c>
      <c r="CD193" s="8"/>
      <c r="CE193" s="61">
        <f t="shared" si="169"/>
        <v>0.52</v>
      </c>
      <c r="CF193" s="61">
        <f t="shared" si="170"/>
        <v>9</v>
      </c>
      <c r="CG193" s="61">
        <f t="shared" si="171"/>
        <v>5.1311194029850737</v>
      </c>
      <c r="CH193" s="14"/>
      <c r="CI193" s="35">
        <f t="shared" si="154"/>
        <v>6.2666902253171353</v>
      </c>
      <c r="CJ193" s="15">
        <f t="shared" si="172"/>
        <v>6.8349999999999227</v>
      </c>
      <c r="CK193" s="35">
        <f t="shared" si="155"/>
        <v>7.4033097746827101</v>
      </c>
      <c r="CM193" s="14"/>
      <c r="CN193" s="17">
        <f t="shared" si="156"/>
        <v>-6.3066666666666684</v>
      </c>
      <c r="CO193" s="17">
        <f t="shared" si="157"/>
        <v>-2.8933333333333344</v>
      </c>
      <c r="CP193" s="17">
        <f t="shared" si="158"/>
        <v>2.173333333333332</v>
      </c>
      <c r="CQ193" s="38">
        <f t="shared" si="173"/>
        <v>5.586666666666666</v>
      </c>
      <c r="CR193" s="17">
        <f t="shared" si="159"/>
        <v>10.653333333333332</v>
      </c>
      <c r="CS193" s="17">
        <f t="shared" si="160"/>
        <v>14.066666666666666</v>
      </c>
      <c r="CT193" s="17">
        <f t="shared" si="161"/>
        <v>19.133333333333333</v>
      </c>
      <c r="CU193" s="2" cm="1">
        <f t="array" aca="1" ref="CU193" ca="1">MAX(_xlfn._xlws.FILTER(CN193:CT193,CN193:CT193&lt;BP193))</f>
        <v>5.586666666666666</v>
      </c>
      <c r="CV193" s="2" cm="1">
        <f t="array" aca="1" ref="CV193" ca="1">MIN(_xlfn._xlws.FILTER($CN193:$CT193,$CN193:$CT193&gt;BP193))</f>
        <v>10.653333333333332</v>
      </c>
      <c r="CW193" s="16">
        <f t="shared" ca="1" si="209"/>
        <v>0.90692124105011929</v>
      </c>
      <c r="CX193" s="20">
        <f t="shared" ca="1" si="210"/>
        <v>-0.45346062052505964</v>
      </c>
      <c r="CY193" s="20">
        <f t="shared" ca="1" si="211"/>
        <v>-0.30230708035003978</v>
      </c>
      <c r="CZ193" s="20">
        <f t="shared" ca="1" si="212"/>
        <v>-0.18138424821002386</v>
      </c>
      <c r="DA193" s="20">
        <f t="shared" ca="1" si="213"/>
        <v>-0.10076902678334659</v>
      </c>
      <c r="DB193" s="20">
        <f t="shared" ca="1" si="214"/>
        <v>-5.3348308297065841E-2</v>
      </c>
      <c r="DC193" s="20">
        <f t="shared" ca="1" si="215"/>
        <v>-2.7482461850003616E-2</v>
      </c>
      <c r="DD193" s="20">
        <f t="shared" ca="1" si="216"/>
        <v>-1.3952634477694143E-2</v>
      </c>
      <c r="DE193" s="21">
        <f t="shared" ca="1" si="217"/>
        <v>1.3952634477694143E-2</v>
      </c>
      <c r="DF193" s="21">
        <f t="shared" ca="1" si="218"/>
        <v>2.7482461850003616E-2</v>
      </c>
      <c r="DG193" s="21">
        <f t="shared" ca="1" si="219"/>
        <v>5.3348308297065841E-2</v>
      </c>
      <c r="DH193" s="21">
        <f t="shared" ca="1" si="220"/>
        <v>0.10076902678334659</v>
      </c>
      <c r="DI193" s="21">
        <f t="shared" ca="1" si="221"/>
        <v>0.18138424821002386</v>
      </c>
      <c r="DJ193" s="21">
        <f t="shared" ca="1" si="222"/>
        <v>0.30230708035003978</v>
      </c>
      <c r="DK193" s="21">
        <f t="shared" ca="1" si="223"/>
        <v>0.45346062052505964</v>
      </c>
      <c r="DM193" s="16" cm="1">
        <f t="array" aca="1" ref="DM193" ca="1">MAX(_xlfn._xlws.FILTER(CX193:DK193,CX193:DK193&lt;BV193))</f>
        <v>-0.10076902678334659</v>
      </c>
      <c r="DN193" s="16" cm="1">
        <f t="array" aca="1" ref="DN193" ca="1">MIN(_xlfn._xlws.FILTER(CX193:DK193,CX193:DK193&gt;BV193))</f>
        <v>-5.3348308297065841E-2</v>
      </c>
      <c r="DO193" s="2" cm="1">
        <f t="array" aca="1" ref="DO193" ca="1">_FV(ED193,"Fechamento anterior",TRUE)</f>
        <v>8.39</v>
      </c>
      <c r="DP193" s="28">
        <f t="shared" ca="1" si="162"/>
        <v>0.64206566401103926</v>
      </c>
      <c r="DQ193" s="15">
        <f t="shared" ca="1" si="224"/>
        <v>7.5445478652877229</v>
      </c>
      <c r="DR193" s="15">
        <f t="shared" ca="1" si="225"/>
        <v>7.9424076933876178</v>
      </c>
      <c r="DS193" s="9"/>
      <c r="DT193" s="9"/>
      <c r="DU193" s="9"/>
      <c r="DV193" s="89">
        <v>2.7905268955388286E-2</v>
      </c>
      <c r="DW193" s="89">
        <f t="shared" ca="1" si="163"/>
        <v>4.7420718486280752E-2</v>
      </c>
      <c r="DX193" s="72">
        <f t="shared" ca="1" si="164"/>
        <v>1.6980176005924053</v>
      </c>
      <c r="DY193" s="37"/>
      <c r="DZ193" s="35">
        <f t="shared" si="174"/>
        <v>0.28415488734139355</v>
      </c>
      <c r="EA193" s="56"/>
      <c r="EB193" s="56"/>
      <c r="ED193" s="2" t="e" vm="195">
        <v>#VALUE!</v>
      </c>
      <c r="EF193" s="10" cm="1">
        <f t="array" aca="1" ref="EF193" ca="1">_FV(ED193,"Ações em circulação",TRUE)</f>
        <v>40021020</v>
      </c>
      <c r="EG193" s="18">
        <f>VLOOKUP(BQ193,Fundamentus!A:U,5,FALSE)</f>
        <v>7.1740000000000004</v>
      </c>
      <c r="EH193" s="2">
        <f t="shared" ca="1" si="165"/>
        <v>43513236.13047114</v>
      </c>
      <c r="EI193" s="17">
        <v>-83520845.127950922</v>
      </c>
      <c r="EJ193" s="17">
        <f t="shared" ca="1" si="166"/>
        <v>-89981020.994201258</v>
      </c>
      <c r="EL193" s="16">
        <f t="shared" ca="1" si="153"/>
        <v>7.7348066298342344E-2</v>
      </c>
      <c r="EM193" s="32" t="str">
        <f>IF(VLOOKUP(BQ193,Fundamentus!A:U,3,FALSE)&lt;15,"Bom",IF(VLOOKUP(BQ193,Fundamentus!A:U,3,FALSE)&gt;15,"Ruim","n/a"))</f>
        <v>Bom</v>
      </c>
      <c r="EN193" s="28" t="str">
        <f>IF(VLOOKUP(BQ193,Fundamentus!A:U,4,FALSE)&lt;1,"Baixo",IF(VLOOKUP(BQ193,Fundamentus!A:U,4,FALSE)&lt;1.5,"Moderado",IF(VLOOKUP(BQ193,Fundamentus!A:U,4,FALSE)&gt;1.5,"Alto","n/a")))</f>
        <v>Alto</v>
      </c>
      <c r="EO193" s="17" t="str">
        <f>IF(VLOOKUP(BQ193,Fundamentus!A:U,8,FALSE)&lt;0,"Risco elevado",IF(VLOOKUP(BQ193,Fundamentus!A:U,8,FALSE)&lt;1,"Saudável",IF(VLOOKUP(BQ193,Fundamentus!A:U,8,FALSE)&lt;3,"Estável",IF(VLOOKUP(BQ193,Fundamentus!A:U,8,FALSE)&gt;3,"Alerta","n/a"))))</f>
        <v>Alerta</v>
      </c>
      <c r="EP193" s="28" t="str">
        <f t="shared" si="167"/>
        <v>Bom</v>
      </c>
      <c r="EQ193" s="17" t="str">
        <f>IF(VLOOKUP(BQ193,Fundamentus!A:U,12,FALSE)&lt;2,"Subvalorizada",IF(VLOOKUP(BQ193,Fundamentus!A:U,12,FALSE)&lt;6,"Muita barata",IF(VLOOKUP(BQ193,Fundamentus!A:U,12,FALSE)&lt;6,"Barata",IF(VLOOKUP(BQ193,Fundamentus!A:U,12,FALSE)&lt;8,"Atrativa",IF(VLOOKUP(BQ193,Fundamentus!A:U,12,FALSE)&gt;8,"Supervalorizada","n/a")))))</f>
        <v>Subvalorizada</v>
      </c>
      <c r="ES193" s="17" t="str">
        <f>IF(VLOOKUP(BQ193,Fundamentus!A:U,17,FALSE)&lt;0.1,"Fraco retorno",IF(VLOOKUP(BQ193,Fundamentus!A:U,17,FALSE)&gt;0.1,"Bom retorno","n/a"))</f>
        <v>Fraco retorno</v>
      </c>
      <c r="ET193" s="17" t="str">
        <f>IF(VLOOKUP(BQ193,Fundamentus!A:U,16,FALSE)&lt;0.1,"Ineficiente",IF(VLOOKUP(BQ193,Fundamentus!A:U,16,FALSE)&gt;0.1,"Eficiente","n/a"))</f>
        <v>Ineficiente</v>
      </c>
      <c r="EU193" s="33" t="str">
        <f>IF(VLOOKUP(BQ193,Fundamentus!A:U,16,FALSE)&lt;0.1,"Oper. Ineficiente",IF(VLOOKUP(BQ193,Fundamentus!A:U,16,FALSE)&gt;0.1,"Oper.Eficiente","n/a"))</f>
        <v>Oper. Ineficiente</v>
      </c>
      <c r="EV193" s="34">
        <f>VLOOKUP(BQ193,Fundamentus!A:U,14,FALSE)</f>
        <v>-2.0678999999999998</v>
      </c>
      <c r="EW193" s="17" t="str">
        <f>IF(VLOOKUP(BQ193,Fundamentus!A:U,21,FALSE)&lt;0,"Negativo",IF(VLOOKUP(BQ193,Fundamentus!A:U,21,FALSE)&lt;0.05,"Fraco",IF(VLOOKUP(BQ193,Fundamentus!A:U,21,FALSE)&lt;0.1,"Bom",IF(VLOOKUP(BQ193,Fundamentus!A:U,21,FALSE)&gt;0.1,"Muito bom","n/a"))))</f>
        <v>Negativo</v>
      </c>
      <c r="EY193" s="29" t="str">
        <f>IF(VLOOKUP(BQ193,Fundamentus!A:U,15,FALSE)&gt;1,"Bom",IF(VLOOKUP(BQ193,Fundamentus!A:U,15,FALSE)&lt;1,"Ruim","n/a"))</f>
        <v>Bom</v>
      </c>
      <c r="EZ193" s="17" t="str">
        <f>IF(VLOOKUP(BQ193,Fundamentus!A:U,20,FALSE)&lt;0.5,"Baixa",IF(VLOOKUP(BQ193,Fundamentus!A:U,20,FALSE)&lt;1,"Moderada",IF(VLOOKUP(BQ193,Fundamentus!A:U,20,FALSE)&lt;2,"Alerta",IF(VLOOKUP(BQ193,Fundamentus!A:U,20,FALSE)&gt;2,"Alta","n/a"))))</f>
        <v>Baixa</v>
      </c>
      <c r="FA193" s="10"/>
    </row>
    <row r="194" spans="1:157" s="2" customFormat="1" ht="11.25" hidden="1" x14ac:dyDescent="0.2">
      <c r="A194" s="4">
        <v>16.37</v>
      </c>
      <c r="B194" s="4">
        <v>15.73</v>
      </c>
      <c r="C194" s="4">
        <v>15.65</v>
      </c>
      <c r="D194" s="4">
        <v>15.3</v>
      </c>
      <c r="E194" s="4">
        <v>14.78</v>
      </c>
      <c r="F194" s="4">
        <v>14.9</v>
      </c>
      <c r="G194" s="4">
        <v>14.6</v>
      </c>
      <c r="H194" s="4">
        <v>14.46</v>
      </c>
      <c r="I194" s="4">
        <v>14.6</v>
      </c>
      <c r="J194" s="4">
        <v>15.03</v>
      </c>
      <c r="K194" s="4">
        <v>15.53</v>
      </c>
      <c r="L194" s="4">
        <v>15.62</v>
      </c>
      <c r="M194" s="4">
        <v>15.56</v>
      </c>
      <c r="N194" s="4">
        <v>15.78</v>
      </c>
      <c r="O194" s="4">
        <v>17.98</v>
      </c>
      <c r="P194" s="4">
        <v>17.75</v>
      </c>
      <c r="Q194" s="4">
        <v>17.73</v>
      </c>
      <c r="R194" s="4">
        <v>17.670000000000002</v>
      </c>
      <c r="S194" s="4">
        <v>18.32</v>
      </c>
      <c r="T194" s="4">
        <v>17.88</v>
      </c>
      <c r="U194" s="4">
        <v>16.8</v>
      </c>
      <c r="V194" s="4">
        <v>16.98</v>
      </c>
      <c r="W194" s="4">
        <v>16.93</v>
      </c>
      <c r="X194" s="4">
        <v>16.350000000000001</v>
      </c>
      <c r="Y194" s="4">
        <v>16.260000000000002</v>
      </c>
      <c r="Z194" s="4">
        <v>16.23</v>
      </c>
      <c r="AA194" s="4">
        <v>16.34</v>
      </c>
      <c r="AB194" s="4">
        <v>16.3</v>
      </c>
      <c r="AC194" s="4">
        <v>16.100000000000001</v>
      </c>
      <c r="AD194" s="4">
        <v>16.14</v>
      </c>
      <c r="AE194" s="4">
        <v>16.350000000000001</v>
      </c>
      <c r="AF194" s="4">
        <v>16.190000000000001</v>
      </c>
      <c r="AG194" s="4">
        <v>15.97</v>
      </c>
      <c r="AH194" s="4">
        <v>15.74</v>
      </c>
      <c r="AI194" s="4">
        <v>15.81</v>
      </c>
      <c r="AJ194" s="4">
        <v>15</v>
      </c>
      <c r="AK194" s="4">
        <v>15.79</v>
      </c>
      <c r="AL194" s="4">
        <v>16.510000000000002</v>
      </c>
      <c r="AM194" s="4">
        <v>16.79</v>
      </c>
      <c r="AN194" s="4">
        <v>17.010000000000002</v>
      </c>
      <c r="AO194" s="4">
        <v>16.649999999999999</v>
      </c>
      <c r="AP194" s="4">
        <v>17.03</v>
      </c>
      <c r="AQ194" s="4">
        <v>16.68</v>
      </c>
      <c r="AR194" s="4">
        <v>15.79</v>
      </c>
      <c r="AS194" s="4">
        <v>16.760000000000002</v>
      </c>
      <c r="AT194" s="4">
        <v>16</v>
      </c>
      <c r="AU194" s="4">
        <v>16.085000000000001</v>
      </c>
      <c r="AV194" s="4">
        <v>16.23</v>
      </c>
      <c r="AW194" s="4">
        <v>15.21</v>
      </c>
      <c r="AX194" s="4">
        <v>15.38</v>
      </c>
      <c r="AY194" s="12">
        <v>16.649999999999999</v>
      </c>
      <c r="AZ194" s="12">
        <v>17.100000000000001</v>
      </c>
      <c r="BA194" s="12">
        <v>16.8</v>
      </c>
      <c r="BB194" s="15">
        <v>20.3</v>
      </c>
      <c r="BC194" s="52">
        <v>21.38</v>
      </c>
      <c r="BD194" s="52">
        <v>20.32</v>
      </c>
      <c r="BE194" s="52">
        <v>20.3</v>
      </c>
      <c r="BF194" s="52">
        <v>19.61</v>
      </c>
      <c r="BG194" s="67">
        <v>19.5</v>
      </c>
      <c r="BH194" s="52">
        <v>19.7</v>
      </c>
      <c r="BI194" s="52">
        <v>20.71</v>
      </c>
      <c r="BJ194" s="52">
        <v>21.88</v>
      </c>
      <c r="BK194" s="52">
        <v>20.2</v>
      </c>
      <c r="BL194" s="52">
        <v>18.829999999999998</v>
      </c>
      <c r="BM194" s="52">
        <v>18.64</v>
      </c>
      <c r="BN194" s="52">
        <v>18.579999999999998</v>
      </c>
      <c r="BO194" s="52">
        <v>19.61</v>
      </c>
      <c r="BP194" s="52" cm="1">
        <f t="array" aca="1" ref="BP194" ca="1">_FV(ED194,"Preço")</f>
        <v>20.13</v>
      </c>
      <c r="BQ194" s="69" t="s">
        <v>190</v>
      </c>
      <c r="BR194" s="36" cm="1">
        <f t="array" aca="1" ref="BR194" ca="1">_FV(ED194,"Média de volume",TRUE)</f>
        <v>753550</v>
      </c>
      <c r="BS194" s="36">
        <v>1120500</v>
      </c>
      <c r="BT194" s="36" cm="1">
        <f t="array" aca="1" ref="BT194" ca="1">_FV(ED194,"Volume")</f>
        <v>2757100</v>
      </c>
      <c r="BU194" s="24" cm="1">
        <f t="array" aca="1" ref="BU194" ca="1">_FV(ED194,"Beta")</f>
        <v>0.94259999999999999</v>
      </c>
      <c r="BV194" s="71" cm="1">
        <f t="array" aca="1" ref="BV194" ca="1">_FV(ED194,"Variação (%)",TRUE)</f>
        <v>3.3368000000000002E-2</v>
      </c>
      <c r="BX194" s="17" cm="1">
        <f t="array" aca="1" ref="BX194" ca="1">_FV(ED194,"Baixo")</f>
        <v>19.489999999999998</v>
      </c>
      <c r="BY194" s="17" cm="1">
        <f t="array" aca="1" ref="BY194" ca="1">_FV(ED194,"Alto")</f>
        <v>20.28</v>
      </c>
      <c r="BZ194" s="24"/>
      <c r="CA194" s="63">
        <f ca="1">SQRT(22.5*(BP194/VLOOKUP(BQ194,Fundamentus!A:U,3,FALSE))*(BP194/VLOOKUP(BQ194,Fundamentus!A:U,4,FALSE)))</f>
        <v>21.216997228233431</v>
      </c>
      <c r="CC194" s="62">
        <f t="shared" ca="1" si="168"/>
        <v>2.6517083120856686E-2</v>
      </c>
      <c r="CD194" s="8"/>
      <c r="CE194" s="61">
        <f t="shared" si="169"/>
        <v>14.46</v>
      </c>
      <c r="CF194" s="61">
        <f t="shared" si="170"/>
        <v>21.88</v>
      </c>
      <c r="CG194" s="61">
        <f t="shared" si="171"/>
        <v>16.996343283582089</v>
      </c>
      <c r="CH194" s="14"/>
      <c r="CI194" s="35">
        <f t="shared" si="154"/>
        <v>18.220379898942106</v>
      </c>
      <c r="CJ194" s="15">
        <f t="shared" si="172"/>
        <v>19.485000000000127</v>
      </c>
      <c r="CK194" s="35">
        <f t="shared" si="155"/>
        <v>20.749620101058149</v>
      </c>
      <c r="CM194" s="14"/>
      <c r="CN194" s="17">
        <f t="shared" si="156"/>
        <v>8.0000000000000071</v>
      </c>
      <c r="CO194" s="17">
        <f t="shared" si="157"/>
        <v>11.230000000000004</v>
      </c>
      <c r="CP194" s="17">
        <f t="shared" si="158"/>
        <v>15.420000000000005</v>
      </c>
      <c r="CQ194" s="38">
        <f t="shared" si="173"/>
        <v>18.650000000000002</v>
      </c>
      <c r="CR194" s="17">
        <f t="shared" si="159"/>
        <v>22.840000000000003</v>
      </c>
      <c r="CS194" s="17">
        <f t="shared" si="160"/>
        <v>26.07</v>
      </c>
      <c r="CT194" s="17">
        <f t="shared" si="161"/>
        <v>30.26</v>
      </c>
      <c r="CU194" s="2" cm="1">
        <f t="array" aca="1" ref="CU194" ca="1">MAX(_xlfn._xlws.FILTER(CN194:CT194,CN194:CT194&lt;BP194))</f>
        <v>18.650000000000002</v>
      </c>
      <c r="CV194" s="2" cm="1">
        <f t="array" aca="1" ref="CV194" ca="1">MIN(_xlfn._xlws.FILTER($CN194:$CT194,$CN194:$CT194&gt;BP194))</f>
        <v>22.840000000000003</v>
      </c>
      <c r="CW194" s="16">
        <f t="shared" ca="1" si="209"/>
        <v>0.22466487935656843</v>
      </c>
      <c r="CX194" s="20">
        <f t="shared" ca="1" si="210"/>
        <v>-0.11233243967828421</v>
      </c>
      <c r="CY194" s="20">
        <f t="shared" ca="1" si="211"/>
        <v>-7.4888293118856142E-2</v>
      </c>
      <c r="CZ194" s="20">
        <f t="shared" ca="1" si="212"/>
        <v>-4.4932975871313688E-2</v>
      </c>
      <c r="DA194" s="20">
        <f t="shared" ca="1" si="213"/>
        <v>-2.4962764372952046E-2</v>
      </c>
      <c r="DB194" s="20">
        <f t="shared" ca="1" si="214"/>
        <v>-1.3215581138621672E-2</v>
      </c>
      <c r="DC194" s="20">
        <f t="shared" ca="1" si="215"/>
        <v>-6.8080266471687405E-3</v>
      </c>
      <c r="DD194" s="20">
        <f t="shared" ca="1" si="216"/>
        <v>-3.4563827593318218E-3</v>
      </c>
      <c r="DE194" s="21">
        <f t="shared" ca="1" si="217"/>
        <v>3.4563827593318218E-3</v>
      </c>
      <c r="DF194" s="21">
        <f t="shared" ca="1" si="218"/>
        <v>6.8080266471687405E-3</v>
      </c>
      <c r="DG194" s="21">
        <f t="shared" ca="1" si="219"/>
        <v>1.3215581138621672E-2</v>
      </c>
      <c r="DH194" s="21">
        <f t="shared" ca="1" si="220"/>
        <v>2.4962764372952046E-2</v>
      </c>
      <c r="DI194" s="21">
        <f t="shared" ca="1" si="221"/>
        <v>4.4932975871313688E-2</v>
      </c>
      <c r="DJ194" s="21">
        <f t="shared" ca="1" si="222"/>
        <v>7.4888293118856142E-2</v>
      </c>
      <c r="DK194" s="21">
        <f t="shared" ca="1" si="223"/>
        <v>0.11233243967828421</v>
      </c>
      <c r="DM194" s="16" cm="1">
        <f t="array" aca="1" ref="DM194" ca="1">MAX(_xlfn._xlws.FILTER(CX194:DK194,CX194:DK194&lt;BV194))</f>
        <v>2.4962764372952046E-2</v>
      </c>
      <c r="DN194" s="16" cm="1">
        <f t="array" aca="1" ref="DN194" ca="1">MIN(_xlfn._xlws.FILTER(CX194:DK194,CX194:DK194&gt;BV194))</f>
        <v>4.4932975871313688E-2</v>
      </c>
      <c r="DO194" s="2" cm="1">
        <f t="array" aca="1" ref="DO194" ca="1">_FV(ED194,"Fechamento anterior",TRUE)</f>
        <v>19.48</v>
      </c>
      <c r="DP194" s="28">
        <f t="shared" ca="1" si="162"/>
        <v>0.42086645381346682</v>
      </c>
      <c r="DQ194" s="15">
        <f t="shared" ca="1" si="224"/>
        <v>19.966274649985106</v>
      </c>
      <c r="DR194" s="15">
        <f t="shared" ca="1" si="225"/>
        <v>20.355294369973191</v>
      </c>
      <c r="DS194" s="9"/>
      <c r="DT194" s="9"/>
      <c r="DU194" s="9"/>
      <c r="DV194" s="89">
        <v>6.4075544914529315E-3</v>
      </c>
      <c r="DW194" s="89">
        <f t="shared" ca="1" si="163"/>
        <v>1.9970211498361642E-2</v>
      </c>
      <c r="DX194" s="72">
        <f t="shared" ca="1" si="164"/>
        <v>0.51003459415222341</v>
      </c>
      <c r="DY194" s="37"/>
      <c r="DZ194" s="35">
        <f t="shared" si="174"/>
        <v>0.63231005052901079</v>
      </c>
      <c r="EA194" s="56"/>
      <c r="EB194" s="56"/>
      <c r="ED194" s="2" t="e" vm="196">
        <v>#VALUE!</v>
      </c>
      <c r="EF194" s="10" cm="1">
        <f t="array" aca="1" ref="EF194" ca="1">_FV(ED194,"Ações em circulação",TRUE)</f>
        <v>275536300</v>
      </c>
      <c r="EG194" s="18">
        <f>VLOOKUP(BQ194,Fundamentus!A:U,5,FALSE)</f>
        <v>1.6259999999999999</v>
      </c>
      <c r="EH194" s="2">
        <f t="shared" ca="1" si="165"/>
        <v>3411159728.7822881</v>
      </c>
      <c r="EI194" s="17">
        <v>619082787.73118091</v>
      </c>
      <c r="EJ194" s="17">
        <f t="shared" ca="1" si="166"/>
        <v>635499057.47214019</v>
      </c>
      <c r="EL194" s="16">
        <f t="shared" ca="1" si="153"/>
        <v>2.6517083120856544E-2</v>
      </c>
      <c r="EM194" s="32" t="str">
        <f>IF(VLOOKUP(BQ194,Fundamentus!A:U,3,FALSE)&lt;15,"Bom",IF(VLOOKUP(BQ194,Fundamentus!A:U,3,FALSE)&gt;15,"Ruim","n/a"))</f>
        <v>Bom</v>
      </c>
      <c r="EN194" s="28" t="str">
        <f>IF(VLOOKUP(BQ194,Fundamentus!A:U,4,FALSE)&lt;1,"Baixo",IF(VLOOKUP(BQ194,Fundamentus!A:U,4,FALSE)&lt;1.5,"Moderado",IF(VLOOKUP(BQ194,Fundamentus!A:U,4,FALSE)&gt;1.5,"Alto","n/a")))</f>
        <v>Alto</v>
      </c>
      <c r="EO194" s="17" t="str">
        <f>IF(VLOOKUP(BQ194,Fundamentus!A:U,8,FALSE)&lt;0,"Risco elevado",IF(VLOOKUP(BQ194,Fundamentus!A:U,8,FALSE)&lt;1,"Saudável",IF(VLOOKUP(BQ194,Fundamentus!A:U,8,FALSE)&lt;3,"Estável",IF(VLOOKUP(BQ194,Fundamentus!A:U,8,FALSE)&gt;3,"Alerta","n/a"))))</f>
        <v>Alerta</v>
      </c>
      <c r="EP194" s="28" t="str">
        <f t="shared" si="167"/>
        <v>Bom</v>
      </c>
      <c r="EQ194" s="17" t="str">
        <f>IF(VLOOKUP(BQ194,Fundamentus!A:U,12,FALSE)&lt;2,"Subvalorizada",IF(VLOOKUP(BQ194,Fundamentus!A:U,12,FALSE)&lt;6,"Muita barata",IF(VLOOKUP(BQ194,Fundamentus!A:U,12,FALSE)&lt;6,"Barata",IF(VLOOKUP(BQ194,Fundamentus!A:U,12,FALSE)&lt;8,"Atrativa",IF(VLOOKUP(BQ194,Fundamentus!A:U,12,FALSE)&gt;8,"Supervalorizada","n/a")))))</f>
        <v>Atrativa</v>
      </c>
      <c r="ES194" s="17" t="str">
        <f>IF(VLOOKUP(BQ194,Fundamentus!A:U,17,FALSE)&lt;0.1,"Fraco retorno",IF(VLOOKUP(BQ194,Fundamentus!A:U,17,FALSE)&gt;0.1,"Bom retorno","n/a"))</f>
        <v>Bom retorno</v>
      </c>
      <c r="ET194" s="17" t="str">
        <f>IF(VLOOKUP(BQ194,Fundamentus!A:U,16,FALSE)&lt;0.1,"Ineficiente",IF(VLOOKUP(BQ194,Fundamentus!A:U,16,FALSE)&gt;0.1,"Eficiente","n/a"))</f>
        <v>Eficiente</v>
      </c>
      <c r="EU194" s="33" t="str">
        <f>IF(VLOOKUP(BQ194,Fundamentus!A:U,16,FALSE)&lt;0.1,"Oper. Ineficiente",IF(VLOOKUP(BQ194,Fundamentus!A:U,16,FALSE)&gt;0.1,"Oper.Eficiente","n/a"))</f>
        <v>Oper.Eficiente</v>
      </c>
      <c r="EV194" s="34">
        <f>VLOOKUP(BQ194,Fundamentus!A:U,14,FALSE)</f>
        <v>0.18629999999999999</v>
      </c>
      <c r="EW194" s="17" t="str">
        <f>IF(VLOOKUP(BQ194,Fundamentus!A:U,21,FALSE)&lt;0,"Negativo",IF(VLOOKUP(BQ194,Fundamentus!A:U,21,FALSE)&lt;0.05,"Fraco",IF(VLOOKUP(BQ194,Fundamentus!A:U,21,FALSE)&lt;0.1,"Bom",IF(VLOOKUP(BQ194,Fundamentus!A:U,21,FALSE)&gt;0.1,"Muito bom","n/a"))))</f>
        <v>Muito bom</v>
      </c>
      <c r="EY194" s="29" t="str">
        <f>IF(VLOOKUP(BQ194,Fundamentus!A:U,15,FALSE)&gt;1,"Bom",IF(VLOOKUP(BQ194,Fundamentus!A:U,15,FALSE)&lt;1,"Ruim","n/a"))</f>
        <v>Bom</v>
      </c>
      <c r="EZ194" s="17" t="str">
        <f>IF(VLOOKUP(BQ194,Fundamentus!A:U,20,FALSE)&lt;0.5,"Baixa",IF(VLOOKUP(BQ194,Fundamentus!A:U,20,FALSE)&lt;1,"Moderada",IF(VLOOKUP(BQ194,Fundamentus!A:U,20,FALSE)&lt;2,"Alerta",IF(VLOOKUP(BQ194,Fundamentus!A:U,20,FALSE)&gt;2,"Alta","n/a"))))</f>
        <v>Baixa</v>
      </c>
      <c r="FA194" s="10"/>
    </row>
    <row r="195" spans="1:157" s="2" customFormat="1" ht="11.25" hidden="1" x14ac:dyDescent="0.2">
      <c r="A195" s="4">
        <v>1.37</v>
      </c>
      <c r="B195" s="4">
        <v>1.41</v>
      </c>
      <c r="C195" s="4">
        <v>1.63</v>
      </c>
      <c r="D195" s="4">
        <v>1.66</v>
      </c>
      <c r="E195" s="4">
        <v>1.62</v>
      </c>
      <c r="F195" s="4">
        <v>1.53</v>
      </c>
      <c r="G195" s="4">
        <v>1.59</v>
      </c>
      <c r="H195" s="4">
        <v>1.55</v>
      </c>
      <c r="I195" s="4">
        <v>1.56</v>
      </c>
      <c r="J195" s="4">
        <v>1.69</v>
      </c>
      <c r="K195" s="4">
        <v>1.7</v>
      </c>
      <c r="L195" s="4">
        <v>1.72</v>
      </c>
      <c r="M195" s="4">
        <v>1.79</v>
      </c>
      <c r="N195" s="4">
        <v>1.71</v>
      </c>
      <c r="O195" s="4">
        <v>1.69</v>
      </c>
      <c r="P195" s="4">
        <v>1.55</v>
      </c>
      <c r="Q195" s="4">
        <v>1.6</v>
      </c>
      <c r="R195" s="4">
        <v>1.52</v>
      </c>
      <c r="S195" s="4">
        <v>1.5</v>
      </c>
      <c r="T195" s="4">
        <v>1.45</v>
      </c>
      <c r="U195" s="4">
        <v>1.41</v>
      </c>
      <c r="V195" s="4">
        <v>1.41</v>
      </c>
      <c r="W195" s="4">
        <v>1.4</v>
      </c>
      <c r="X195" s="4">
        <v>1.43</v>
      </c>
      <c r="Y195" s="4">
        <v>1.39</v>
      </c>
      <c r="Z195" s="4">
        <v>1.5</v>
      </c>
      <c r="AA195" s="4">
        <v>1.43</v>
      </c>
      <c r="AB195" s="4">
        <v>1.39</v>
      </c>
      <c r="AC195" s="4">
        <v>1.34</v>
      </c>
      <c r="AD195" s="4">
        <v>1.42</v>
      </c>
      <c r="AE195" s="4">
        <v>1.32</v>
      </c>
      <c r="AF195" s="4">
        <v>1.33</v>
      </c>
      <c r="AG195" s="4">
        <v>1.28</v>
      </c>
      <c r="AH195" s="4">
        <v>1.21</v>
      </c>
      <c r="AI195" s="4">
        <v>1.19</v>
      </c>
      <c r="AJ195" s="4">
        <v>1.22</v>
      </c>
      <c r="AK195" s="4">
        <v>1.26</v>
      </c>
      <c r="AL195" s="4">
        <v>1.25</v>
      </c>
      <c r="AM195" s="4">
        <v>1.28</v>
      </c>
      <c r="AN195" s="4">
        <v>1.28</v>
      </c>
      <c r="AO195" s="4">
        <v>1.28</v>
      </c>
      <c r="AP195" s="4">
        <v>1.28</v>
      </c>
      <c r="AQ195" s="4">
        <v>1.26</v>
      </c>
      <c r="AR195" s="4">
        <v>1.24</v>
      </c>
      <c r="AS195" s="4">
        <v>1.19</v>
      </c>
      <c r="AT195" s="4">
        <v>1.21</v>
      </c>
      <c r="AU195" s="4">
        <v>1.39</v>
      </c>
      <c r="AV195" s="4">
        <v>1.31</v>
      </c>
      <c r="AW195" s="4">
        <v>1.28</v>
      </c>
      <c r="AX195" s="4">
        <v>1.26</v>
      </c>
      <c r="AY195" s="12">
        <v>1.29</v>
      </c>
      <c r="AZ195" s="12">
        <v>1.29</v>
      </c>
      <c r="BA195" s="12">
        <v>1.29</v>
      </c>
      <c r="BB195" s="15">
        <v>1.25</v>
      </c>
      <c r="BC195" s="52">
        <v>1.25</v>
      </c>
      <c r="BD195" s="52">
        <v>1.23</v>
      </c>
      <c r="BE195" s="52">
        <v>1.22</v>
      </c>
      <c r="BF195" s="52">
        <v>1.22</v>
      </c>
      <c r="BG195" s="67">
        <v>1.21</v>
      </c>
      <c r="BH195" s="52">
        <v>1.2</v>
      </c>
      <c r="BI195" s="52">
        <v>1.21</v>
      </c>
      <c r="BJ195" s="52">
        <v>1.2</v>
      </c>
      <c r="BK195" s="52">
        <v>1.19</v>
      </c>
      <c r="BL195" s="52">
        <v>1.1599999999999999</v>
      </c>
      <c r="BM195" s="52">
        <v>1.1599999999999999</v>
      </c>
      <c r="BN195" s="52">
        <v>1.17</v>
      </c>
      <c r="BO195" s="52">
        <v>1.1499999999999999</v>
      </c>
      <c r="BP195" s="52" cm="1">
        <f t="array" aca="1" ref="BP195" ca="1">_FV(ED195,"Preço")</f>
        <v>1.1499999999999999</v>
      </c>
      <c r="BQ195" s="69" t="s">
        <v>191</v>
      </c>
      <c r="BR195" s="36" cm="1">
        <f t="array" aca="1" ref="BR195" ca="1">_FV(ED195,"Média de volume",TRUE)</f>
        <v>43970</v>
      </c>
      <c r="BS195" s="36">
        <v>62400</v>
      </c>
      <c r="BT195" s="36" cm="1">
        <f t="array" aca="1" ref="BT195" ca="1">_FV(ED195,"Volume")</f>
        <v>9800</v>
      </c>
      <c r="BU195" s="24" cm="1">
        <f t="array" aca="1" ref="BU195" ca="1">_FV(ED195,"Beta")</f>
        <v>1.7988</v>
      </c>
      <c r="BV195" s="71" cm="1">
        <f t="array" aca="1" ref="BV195" ca="1">_FV(ED195,"Variação (%)",TRUE)</f>
        <v>-1.7094000000000002E-2</v>
      </c>
      <c r="BX195" s="17" cm="1">
        <f t="array" aca="1" ref="BX195" ca="1">_FV(ED195,"Baixo")</f>
        <v>1.1399999999999999</v>
      </c>
      <c r="BY195" s="17" cm="1">
        <f t="array" aca="1" ref="BY195" ca="1">_FV(ED195,"Alto")</f>
        <v>1.17</v>
      </c>
      <c r="BZ195" s="24"/>
      <c r="CA195" s="63" t="e">
        <f ca="1">SQRT(22.5*(BP195/VLOOKUP(BQ195,Fundamentus!A:U,3,FALSE))*(BP195/VLOOKUP(BQ195,Fundamentus!A:U,4,FALSE)))</f>
        <v>#NUM!</v>
      </c>
      <c r="CC195" s="62">
        <f t="shared" ca="1" si="168"/>
        <v>0</v>
      </c>
      <c r="CD195" s="8"/>
      <c r="CE195" s="61">
        <f t="shared" si="169"/>
        <v>1.1499999999999999</v>
      </c>
      <c r="CF195" s="61">
        <f t="shared" si="170"/>
        <v>1.79</v>
      </c>
      <c r="CG195" s="61">
        <f t="shared" si="171"/>
        <v>1.3726865671641792</v>
      </c>
      <c r="CH195" s="14"/>
      <c r="CI195" s="35">
        <f t="shared" si="154"/>
        <v>1.1278706800674982</v>
      </c>
      <c r="CJ195" s="15">
        <f t="shared" si="172"/>
        <v>1.1549999999999994</v>
      </c>
      <c r="CK195" s="35">
        <f t="shared" si="155"/>
        <v>1.1821293199325005</v>
      </c>
      <c r="CM195" s="14"/>
      <c r="CN195" s="17">
        <f t="shared" si="156"/>
        <v>0.29666666666666641</v>
      </c>
      <c r="CO195" s="17">
        <f t="shared" si="157"/>
        <v>0.72333333333333316</v>
      </c>
      <c r="CP195" s="17">
        <f t="shared" si="158"/>
        <v>0.93666666666666654</v>
      </c>
      <c r="CQ195" s="38">
        <f t="shared" si="173"/>
        <v>1.3633333333333333</v>
      </c>
      <c r="CR195" s="17">
        <f t="shared" si="159"/>
        <v>1.5766666666666667</v>
      </c>
      <c r="CS195" s="17">
        <f t="shared" si="160"/>
        <v>2.0033333333333334</v>
      </c>
      <c r="CT195" s="17">
        <f t="shared" si="161"/>
        <v>2.2166666666666668</v>
      </c>
      <c r="CU195" s="2" cm="1">
        <f t="array" aca="1" ref="CU195" ca="1">MAX(_xlfn._xlws.FILTER(CN195:CT195,CN195:CT195&lt;BP195))</f>
        <v>0.93666666666666654</v>
      </c>
      <c r="CV195" s="2" cm="1">
        <f t="array" aca="1" ref="CV195" ca="1">MIN(_xlfn._xlws.FILTER($CN195:$CT195,$CN195:$CT195&gt;BP195))</f>
        <v>1.3633333333333333</v>
      </c>
      <c r="CW195" s="16">
        <f t="shared" ca="1" si="209"/>
        <v>0.45551601423487553</v>
      </c>
      <c r="CX195" s="20">
        <f t="shared" ca="1" si="210"/>
        <v>-0.22775800711743777</v>
      </c>
      <c r="CY195" s="20">
        <f t="shared" ca="1" si="211"/>
        <v>-0.15183867141162519</v>
      </c>
      <c r="CZ195" s="20">
        <f t="shared" ca="1" si="212"/>
        <v>-9.1103202846975109E-2</v>
      </c>
      <c r="DA195" s="20">
        <f t="shared" ca="1" si="213"/>
        <v>-5.0612890470541724E-2</v>
      </c>
      <c r="DB195" s="20">
        <f t="shared" ca="1" si="214"/>
        <v>-2.6795059660875031E-2</v>
      </c>
      <c r="DC195" s="20">
        <f t="shared" ca="1" si="215"/>
        <v>-1.3803515582875016E-2</v>
      </c>
      <c r="DD195" s="20">
        <f t="shared" ca="1" si="216"/>
        <v>-7.0079386805365464E-3</v>
      </c>
      <c r="DE195" s="21">
        <f t="shared" ca="1" si="217"/>
        <v>7.0079386805365464E-3</v>
      </c>
      <c r="DF195" s="21">
        <f t="shared" ca="1" si="218"/>
        <v>1.3803515582875016E-2</v>
      </c>
      <c r="DG195" s="21">
        <f t="shared" ca="1" si="219"/>
        <v>2.6795059660875031E-2</v>
      </c>
      <c r="DH195" s="21">
        <f t="shared" ca="1" si="220"/>
        <v>5.0612890470541724E-2</v>
      </c>
      <c r="DI195" s="21">
        <f t="shared" ca="1" si="221"/>
        <v>9.1103202846975109E-2</v>
      </c>
      <c r="DJ195" s="21">
        <f t="shared" ca="1" si="222"/>
        <v>0.15183867141162519</v>
      </c>
      <c r="DK195" s="21">
        <f t="shared" ca="1" si="223"/>
        <v>0.22775800711743777</v>
      </c>
      <c r="DM195" s="16" cm="1">
        <f t="array" aca="1" ref="DM195" ca="1">MAX(_xlfn._xlws.FILTER(CX195:DK195,CX195:DK195&lt;BV195))</f>
        <v>-2.6795059660875031E-2</v>
      </c>
      <c r="DN195" s="16" cm="1">
        <f t="array" aca="1" ref="DN195" ca="1">MIN(_xlfn._xlws.FILTER(CX195:DK195,CX195:DK195&gt;BV195))</f>
        <v>-1.3803515582875016E-2</v>
      </c>
      <c r="DO195" s="2" cm="1">
        <f t="array" aca="1" ref="DO195" ca="1">_FV(ED195,"Fechamento anterior",TRUE)</f>
        <v>1.17</v>
      </c>
      <c r="DP195" s="28">
        <f t="shared" ca="1" si="162"/>
        <v>0.74671975160256021</v>
      </c>
      <c r="DQ195" s="15">
        <f t="shared" ca="1" si="224"/>
        <v>1.1386497801967761</v>
      </c>
      <c r="DR195" s="15">
        <f t="shared" ca="1" si="225"/>
        <v>1.1538498867680362</v>
      </c>
      <c r="DS195" s="9"/>
      <c r="DT195" s="9"/>
      <c r="DU195" s="9"/>
      <c r="DV195" s="89">
        <v>6.7955769023384698E-3</v>
      </c>
      <c r="DW195" s="89">
        <f t="shared" ca="1" si="163"/>
        <v>1.2991544078000015E-2</v>
      </c>
      <c r="DX195" s="72">
        <f t="shared" ca="1" si="164"/>
        <v>-0.18430244519360081</v>
      </c>
      <c r="DY195" s="37"/>
      <c r="DZ195" s="35">
        <f t="shared" si="174"/>
        <v>1.3564659966250548E-2</v>
      </c>
      <c r="EA195" s="56"/>
      <c r="EB195" s="56"/>
      <c r="ED195" s="2" t="e" vm="197">
        <v>#VALUE!</v>
      </c>
      <c r="EF195" s="10" cm="1">
        <f t="array" aca="1" ref="EF195" ca="1">_FV(ED195,"Ações em circulação",TRUE)</f>
        <v>43716190</v>
      </c>
      <c r="EG195" s="18">
        <f>VLOOKUP(BQ195,Fundamentus!A:U,5,FALSE)</f>
        <v>0.48</v>
      </c>
      <c r="EH195" s="2">
        <f t="shared" ca="1" si="165"/>
        <v>104736705.20833333</v>
      </c>
      <c r="EI195" s="17">
        <v>-35149638.267916664</v>
      </c>
      <c r="EJ195" s="17">
        <f t="shared" ca="1" si="166"/>
        <v>-35149638.267916664</v>
      </c>
      <c r="EL195" s="16">
        <f t="shared" ref="EL195:EL258" ca="1" si="226">(EJ195/EI195)-1</f>
        <v>0</v>
      </c>
      <c r="EM195" s="32" t="str">
        <f>IF(VLOOKUP(BQ195,Fundamentus!A:U,3,FALSE)&lt;15,"Bom",IF(VLOOKUP(BQ195,Fundamentus!A:U,3,FALSE)&gt;15,"Ruim","n/a"))</f>
        <v>Bom</v>
      </c>
      <c r="EN195" s="28" t="str">
        <f>IF(VLOOKUP(BQ195,Fundamentus!A:U,4,FALSE)&lt;1,"Baixo",IF(VLOOKUP(BQ195,Fundamentus!A:U,4,FALSE)&lt;1.5,"Moderado",IF(VLOOKUP(BQ195,Fundamentus!A:U,4,FALSE)&gt;1.5,"Alto","n/a")))</f>
        <v>Baixo</v>
      </c>
      <c r="EO195" s="17" t="str">
        <f>IF(VLOOKUP(BQ195,Fundamentus!A:U,8,FALSE)&lt;0,"Risco elevado",IF(VLOOKUP(BQ195,Fundamentus!A:U,8,FALSE)&lt;1,"Saudável",IF(VLOOKUP(BQ195,Fundamentus!A:U,8,FALSE)&lt;3,"Estável",IF(VLOOKUP(BQ195,Fundamentus!A:U,8,FALSE)&gt;3,"Alerta","n/a"))))</f>
        <v>Alerta</v>
      </c>
      <c r="EP195" s="28" t="str">
        <f t="shared" si="167"/>
        <v>Ruim</v>
      </c>
      <c r="EQ195" s="17" t="str">
        <f>IF(VLOOKUP(BQ195,Fundamentus!A:U,12,FALSE)&lt;2,"Subvalorizada",IF(VLOOKUP(BQ195,Fundamentus!A:U,12,FALSE)&lt;6,"Muita barata",IF(VLOOKUP(BQ195,Fundamentus!A:U,12,FALSE)&lt;6,"Barata",IF(VLOOKUP(BQ195,Fundamentus!A:U,12,FALSE)&lt;8,"Atrativa",IF(VLOOKUP(BQ195,Fundamentus!A:U,12,FALSE)&gt;8,"Supervalorizada","n/a")))))</f>
        <v>Subvalorizada</v>
      </c>
      <c r="ES195" s="17" t="str">
        <f>IF(VLOOKUP(BQ195,Fundamentus!A:U,17,FALSE)&lt;0.1,"Fraco retorno",IF(VLOOKUP(BQ195,Fundamentus!A:U,17,FALSE)&gt;0.1,"Bom retorno","n/a"))</f>
        <v>Fraco retorno</v>
      </c>
      <c r="ET195" s="17" t="str">
        <f>IF(VLOOKUP(BQ195,Fundamentus!A:U,16,FALSE)&lt;0.1,"Ineficiente",IF(VLOOKUP(BQ195,Fundamentus!A:U,16,FALSE)&gt;0.1,"Eficiente","n/a"))</f>
        <v>Ineficiente</v>
      </c>
      <c r="EU195" s="33" t="str">
        <f>IF(VLOOKUP(BQ195,Fundamentus!A:U,16,FALSE)&lt;0.1,"Oper. Ineficiente",IF(VLOOKUP(BQ195,Fundamentus!A:U,16,FALSE)&gt;0.1,"Oper.Eficiente","n/a"))</f>
        <v>Oper. Ineficiente</v>
      </c>
      <c r="EV195" s="34">
        <f>VLOOKUP(BQ195,Fundamentus!A:U,14,FALSE)</f>
        <v>-0.33560000000000001</v>
      </c>
      <c r="EW195" s="17" t="str">
        <f>IF(VLOOKUP(BQ195,Fundamentus!A:U,21,FALSE)&lt;0,"Negativo",IF(VLOOKUP(BQ195,Fundamentus!A:U,21,FALSE)&lt;0.05,"Fraco",IF(VLOOKUP(BQ195,Fundamentus!A:U,21,FALSE)&lt;0.1,"Bom",IF(VLOOKUP(BQ195,Fundamentus!A:U,21,FALSE)&gt;0.1,"Muito bom","n/a"))))</f>
        <v>Muito bom</v>
      </c>
      <c r="EY195" s="29" t="str">
        <f>IF(VLOOKUP(BQ195,Fundamentus!A:U,15,FALSE)&gt;1,"Bom",IF(VLOOKUP(BQ195,Fundamentus!A:U,15,FALSE)&lt;1,"Ruim","n/a"))</f>
        <v>Bom</v>
      </c>
      <c r="EZ195" s="17" t="str">
        <f>IF(VLOOKUP(BQ195,Fundamentus!A:U,20,FALSE)&lt;0.5,"Baixa",IF(VLOOKUP(BQ195,Fundamentus!A:U,20,FALSE)&lt;1,"Moderada",IF(VLOOKUP(BQ195,Fundamentus!A:U,20,FALSE)&lt;2,"Alerta",IF(VLOOKUP(BQ195,Fundamentus!A:U,20,FALSE)&gt;2,"Alta","n/a"))))</f>
        <v>Alerta</v>
      </c>
      <c r="FA195" s="10"/>
    </row>
    <row r="196" spans="1:157" s="2" customFormat="1" ht="11.25" hidden="1" x14ac:dyDescent="0.2">
      <c r="A196" s="4">
        <v>7.42</v>
      </c>
      <c r="B196" s="4">
        <v>7.15</v>
      </c>
      <c r="C196" s="4">
        <v>7.31</v>
      </c>
      <c r="D196" s="4">
        <v>7.09</v>
      </c>
      <c r="E196" s="4">
        <v>6.88</v>
      </c>
      <c r="F196" s="4">
        <v>6.63</v>
      </c>
      <c r="G196" s="4">
        <v>6.27</v>
      </c>
      <c r="H196" s="4">
        <v>6.27</v>
      </c>
      <c r="I196" s="4">
        <v>6.65</v>
      </c>
      <c r="J196" s="4">
        <v>7.25</v>
      </c>
      <c r="K196" s="4">
        <v>7.44</v>
      </c>
      <c r="L196" s="4">
        <v>7.1</v>
      </c>
      <c r="M196" s="4">
        <v>7.07</v>
      </c>
      <c r="N196" s="4">
        <v>7.68</v>
      </c>
      <c r="O196" s="4">
        <v>7.85</v>
      </c>
      <c r="P196" s="4">
        <v>7.82</v>
      </c>
      <c r="Q196" s="4">
        <v>7.7</v>
      </c>
      <c r="R196" s="4">
        <v>7.83</v>
      </c>
      <c r="S196" s="4">
        <v>7.69</v>
      </c>
      <c r="T196" s="4">
        <v>7.99</v>
      </c>
      <c r="U196" s="4">
        <v>7.35</v>
      </c>
      <c r="V196" s="4">
        <v>7.14</v>
      </c>
      <c r="W196" s="4">
        <v>6.81</v>
      </c>
      <c r="X196" s="4">
        <v>7.12</v>
      </c>
      <c r="Y196" s="4">
        <v>7.01</v>
      </c>
      <c r="Z196" s="4">
        <v>6.89</v>
      </c>
      <c r="AA196" s="4">
        <v>6.71</v>
      </c>
      <c r="AB196" s="4">
        <v>6.73</v>
      </c>
      <c r="AC196" s="4">
        <v>6.72</v>
      </c>
      <c r="AD196" s="4">
        <v>6.91</v>
      </c>
      <c r="AE196" s="4">
        <v>5.5</v>
      </c>
      <c r="AF196" s="4">
        <v>5.08</v>
      </c>
      <c r="AG196" s="4">
        <v>4.5199999999999996</v>
      </c>
      <c r="AH196" s="4">
        <v>4.28</v>
      </c>
      <c r="AI196" s="4">
        <v>4.29</v>
      </c>
      <c r="AJ196" s="4">
        <v>4.07</v>
      </c>
      <c r="AK196" s="4">
        <v>4.55</v>
      </c>
      <c r="AL196" s="4">
        <v>4.6500000000000004</v>
      </c>
      <c r="AM196" s="4">
        <v>4.8499999999999996</v>
      </c>
      <c r="AN196" s="4">
        <v>5.2</v>
      </c>
      <c r="AO196" s="4">
        <v>4.83</v>
      </c>
      <c r="AP196" s="4">
        <v>5.31</v>
      </c>
      <c r="AQ196" s="4">
        <v>5.25</v>
      </c>
      <c r="AR196" s="4">
        <v>4.93</v>
      </c>
      <c r="AS196" s="4">
        <v>5.41</v>
      </c>
      <c r="AT196" s="4">
        <v>5.55</v>
      </c>
      <c r="AU196" s="4">
        <v>5.4550000000000001</v>
      </c>
      <c r="AV196" s="4">
        <v>5.33</v>
      </c>
      <c r="AW196" s="4">
        <v>5.75</v>
      </c>
      <c r="AX196" s="4">
        <v>6.07</v>
      </c>
      <c r="AY196" s="12">
        <v>6.19</v>
      </c>
      <c r="AZ196" s="12">
        <v>6.9</v>
      </c>
      <c r="BA196" s="12">
        <v>6.61</v>
      </c>
      <c r="BB196" s="15">
        <v>7.14</v>
      </c>
      <c r="BC196" s="52">
        <v>6.54</v>
      </c>
      <c r="BD196" s="52">
        <v>6.44</v>
      </c>
      <c r="BE196" s="52">
        <v>6.75</v>
      </c>
      <c r="BF196" s="52">
        <v>6.99</v>
      </c>
      <c r="BG196" s="67">
        <v>7.19</v>
      </c>
      <c r="BH196" s="52">
        <v>7.49</v>
      </c>
      <c r="BI196" s="52">
        <v>7.37</v>
      </c>
      <c r="BJ196" s="52">
        <v>7.37</v>
      </c>
      <c r="BK196" s="52">
        <v>6.91</v>
      </c>
      <c r="BL196" s="52">
        <v>6.79</v>
      </c>
      <c r="BM196" s="52">
        <v>6.75</v>
      </c>
      <c r="BN196" s="52">
        <v>6.74</v>
      </c>
      <c r="BO196" s="52">
        <v>6.8</v>
      </c>
      <c r="BP196" s="52" cm="1">
        <f t="array" aca="1" ref="BP196" ca="1">_FV(ED196,"Preço")</f>
        <v>7.07</v>
      </c>
      <c r="BQ196" s="69" t="s">
        <v>192</v>
      </c>
      <c r="BR196" s="36" cm="1">
        <f t="array" aca="1" ref="BR196" ca="1">_FV(ED196,"Média de volume",TRUE)</f>
        <v>3397790</v>
      </c>
      <c r="BS196" s="36">
        <v>1616100</v>
      </c>
      <c r="BT196" s="36" cm="1">
        <f t="array" aca="1" ref="BT196" ca="1">_FV(ED196,"Volume")</f>
        <v>2239500</v>
      </c>
      <c r="BU196" s="24" cm="1">
        <f t="array" aca="1" ref="BU196" ca="1">_FV(ED196,"Beta")</f>
        <v>1.6224000000000001</v>
      </c>
      <c r="BV196" s="71" cm="1">
        <f t="array" aca="1" ref="BV196" ca="1">_FV(ED196,"Variação (%)",TRUE)</f>
        <v>-1.9417E-2</v>
      </c>
      <c r="BX196" s="17" cm="1">
        <f t="array" aca="1" ref="BX196" ca="1">_FV(ED196,"Baixo")</f>
        <v>7.07</v>
      </c>
      <c r="BY196" s="17" cm="1">
        <f t="array" aca="1" ref="BY196" ca="1">_FV(ED196,"Alto")</f>
        <v>7.29</v>
      </c>
      <c r="BZ196" s="24"/>
      <c r="CA196" s="63">
        <f ca="1">SQRT(22.5*(BP196/VLOOKUP(BQ196,Fundamentus!A:U,3,FALSE))*(BP196/VLOOKUP(BQ196,Fundamentus!A:U,4,FALSE)))</f>
        <v>12.162209092880266</v>
      </c>
      <c r="CC196" s="62">
        <f t="shared" ca="1" si="168"/>
        <v>3.9705882352941244E-2</v>
      </c>
      <c r="CD196" s="8"/>
      <c r="CE196" s="61">
        <f t="shared" si="169"/>
        <v>4.07</v>
      </c>
      <c r="CF196" s="61">
        <f t="shared" si="170"/>
        <v>7.99</v>
      </c>
      <c r="CG196" s="61">
        <f t="shared" si="171"/>
        <v>6.4526119402985085</v>
      </c>
      <c r="CH196" s="14"/>
      <c r="CI196" s="35">
        <f t="shared" si="154"/>
        <v>6.6540702683373532</v>
      </c>
      <c r="CJ196" s="15">
        <f t="shared" si="172"/>
        <v>6.7750000000000012</v>
      </c>
      <c r="CK196" s="35">
        <f t="shared" si="155"/>
        <v>6.8959297316626493</v>
      </c>
      <c r="CM196" s="14"/>
      <c r="CN196" s="17">
        <f t="shared" si="156"/>
        <v>0.66333333333333222</v>
      </c>
      <c r="CO196" s="17">
        <f t="shared" si="157"/>
        <v>2.3666666666666663</v>
      </c>
      <c r="CP196" s="17">
        <f t="shared" si="158"/>
        <v>4.5833333333333321</v>
      </c>
      <c r="CQ196" s="38">
        <f t="shared" si="173"/>
        <v>6.2866666666666662</v>
      </c>
      <c r="CR196" s="17">
        <f t="shared" si="159"/>
        <v>8.5033333333333321</v>
      </c>
      <c r="CS196" s="17">
        <f t="shared" si="160"/>
        <v>10.206666666666667</v>
      </c>
      <c r="CT196" s="17">
        <f t="shared" si="161"/>
        <v>12.423333333333332</v>
      </c>
      <c r="CU196" s="2" cm="1">
        <f t="array" aca="1" ref="CU196" ca="1">MAX(_xlfn._xlws.FILTER(CN196:CT196,CN196:CT196&lt;BP196))</f>
        <v>6.2866666666666662</v>
      </c>
      <c r="CV196" s="2" cm="1">
        <f t="array" aca="1" ref="CV196" ca="1">MIN(_xlfn._xlws.FILTER($CN196:$CT196,$CN196:$CT196&gt;BP196))</f>
        <v>8.5033333333333321</v>
      </c>
      <c r="CW196" s="16">
        <f t="shared" ca="1" si="209"/>
        <v>0.3525980911983031</v>
      </c>
      <c r="CX196" s="20">
        <f t="shared" ca="1" si="210"/>
        <v>-0.17629904559915155</v>
      </c>
      <c r="CY196" s="20">
        <f t="shared" ca="1" si="211"/>
        <v>-0.11753269706610103</v>
      </c>
      <c r="CZ196" s="20">
        <f t="shared" ca="1" si="212"/>
        <v>-7.0519618239660617E-2</v>
      </c>
      <c r="DA196" s="20">
        <f t="shared" ca="1" si="213"/>
        <v>-3.9177565688700344E-2</v>
      </c>
      <c r="DB196" s="20">
        <f t="shared" ca="1" si="214"/>
        <v>-2.0741064188135476E-2</v>
      </c>
      <c r="DC196" s="20">
        <f t="shared" ca="1" si="215"/>
        <v>-1.0684790642372821E-2</v>
      </c>
      <c r="DD196" s="20">
        <f t="shared" ca="1" si="216"/>
        <v>-5.4245860184354323E-3</v>
      </c>
      <c r="DE196" s="21">
        <f t="shared" ca="1" si="217"/>
        <v>5.4245860184354323E-3</v>
      </c>
      <c r="DF196" s="21">
        <f t="shared" ca="1" si="218"/>
        <v>1.0684790642372821E-2</v>
      </c>
      <c r="DG196" s="21">
        <f t="shared" ca="1" si="219"/>
        <v>2.0741064188135476E-2</v>
      </c>
      <c r="DH196" s="21">
        <f t="shared" ca="1" si="220"/>
        <v>3.9177565688700344E-2</v>
      </c>
      <c r="DI196" s="21">
        <f t="shared" ca="1" si="221"/>
        <v>7.0519618239660617E-2</v>
      </c>
      <c r="DJ196" s="21">
        <f t="shared" ca="1" si="222"/>
        <v>0.11753269706610103</v>
      </c>
      <c r="DK196" s="21">
        <f t="shared" ca="1" si="223"/>
        <v>0.17629904559915155</v>
      </c>
      <c r="DM196" s="16" cm="1">
        <f t="array" aca="1" ref="DM196" ca="1">MAX(_xlfn._xlws.FILTER(CX196:DK196,CX196:DK196&lt;BV196))</f>
        <v>-2.0741064188135476E-2</v>
      </c>
      <c r="DN196" s="16" cm="1">
        <f t="array" aca="1" ref="DN196" ca="1">MIN(_xlfn._xlws.FILTER(CX196:DK196,CX196:DK196&gt;BV196))</f>
        <v>-1.0684790642372821E-2</v>
      </c>
      <c r="DO196" s="2" cm="1">
        <f t="array" aca="1" ref="DO196" ca="1">_FV(ED196,"Fechamento anterior",TRUE)</f>
        <v>7.21</v>
      </c>
      <c r="DP196" s="28">
        <f t="shared" ca="1" si="162"/>
        <v>0.13161818380903528</v>
      </c>
      <c r="DQ196" s="15">
        <f t="shared" ca="1" si="224"/>
        <v>7.0604569272035436</v>
      </c>
      <c r="DR196" s="15">
        <f t="shared" ca="1" si="225"/>
        <v>7.1329626594684923</v>
      </c>
      <c r="DS196" s="9"/>
      <c r="DT196" s="9"/>
      <c r="DU196" s="9"/>
      <c r="DV196" s="89">
        <v>1.0056273545762655E-2</v>
      </c>
      <c r="DW196" s="89">
        <f t="shared" ca="1" si="163"/>
        <v>1.0056273545762655E-2</v>
      </c>
      <c r="DX196" s="72">
        <f t="shared" ca="1" si="164"/>
        <v>2.4394331811050942</v>
      </c>
      <c r="DY196" s="37"/>
      <c r="DZ196" s="35">
        <f t="shared" si="174"/>
        <v>6.0464865831323912E-2</v>
      </c>
      <c r="EA196" s="56"/>
      <c r="EB196" s="56"/>
      <c r="ED196" s="2" t="e" vm="198">
        <v>#VALUE!</v>
      </c>
      <c r="EF196" s="10" cm="1">
        <f t="array" aca="1" ref="EF196" ca="1">_FV(ED196,"Ações em circulação",TRUE)</f>
        <v>696334200</v>
      </c>
      <c r="EG196" s="18">
        <f>VLOOKUP(BQ196,Fundamentus!A:U,5,FALSE)</f>
        <v>0.46400000000000002</v>
      </c>
      <c r="EH196" s="2">
        <f t="shared" ca="1" si="165"/>
        <v>10610092228.448275</v>
      </c>
      <c r="EI196" s="17">
        <v>815371330.91379309</v>
      </c>
      <c r="EJ196" s="17">
        <f t="shared" ca="1" si="166"/>
        <v>847746369.05301714</v>
      </c>
      <c r="EL196" s="16">
        <f t="shared" ca="1" si="226"/>
        <v>3.9705882352941035E-2</v>
      </c>
      <c r="EM196" s="32" t="str">
        <f>IF(VLOOKUP(BQ196,Fundamentus!A:U,3,FALSE)&lt;15,"Bom",IF(VLOOKUP(BQ196,Fundamentus!A:U,3,FALSE)&gt;15,"Ruim","n/a"))</f>
        <v>Bom</v>
      </c>
      <c r="EN196" s="28" t="str">
        <f>IF(VLOOKUP(BQ196,Fundamentus!A:U,4,FALSE)&lt;1,"Baixo",IF(VLOOKUP(BQ196,Fundamentus!A:U,4,FALSE)&lt;1.5,"Moderado",IF(VLOOKUP(BQ196,Fundamentus!A:U,4,FALSE)&gt;1.5,"Alto","n/a")))</f>
        <v>Moderado</v>
      </c>
      <c r="EO196" s="17" t="str">
        <f>IF(VLOOKUP(BQ196,Fundamentus!A:U,8,FALSE)&lt;0,"Risco elevado",IF(VLOOKUP(BQ196,Fundamentus!A:U,8,FALSE)&lt;1,"Saudável",IF(VLOOKUP(BQ196,Fundamentus!A:U,8,FALSE)&lt;3,"Estável",IF(VLOOKUP(BQ196,Fundamentus!A:U,8,FALSE)&gt;3,"Alerta","n/a"))))</f>
        <v>Risco elevado</v>
      </c>
      <c r="EP196" s="28" t="str">
        <f t="shared" si="167"/>
        <v>Ruim</v>
      </c>
      <c r="EQ196" s="17" t="str">
        <f>IF(VLOOKUP(BQ196,Fundamentus!A:U,12,FALSE)&lt;2,"Subvalorizada",IF(VLOOKUP(BQ196,Fundamentus!A:U,12,FALSE)&lt;6,"Muita barata",IF(VLOOKUP(BQ196,Fundamentus!A:U,12,FALSE)&lt;6,"Barata",IF(VLOOKUP(BQ196,Fundamentus!A:U,12,FALSE)&lt;8,"Atrativa",IF(VLOOKUP(BQ196,Fundamentus!A:U,12,FALSE)&gt;8,"Supervalorizada","n/a")))))</f>
        <v>Muita barata</v>
      </c>
      <c r="ES196" s="17" t="str">
        <f>IF(VLOOKUP(BQ196,Fundamentus!A:U,17,FALSE)&lt;0.1,"Fraco retorno",IF(VLOOKUP(BQ196,Fundamentus!A:U,17,FALSE)&gt;0.1,"Bom retorno","n/a"))</f>
        <v>Bom retorno</v>
      </c>
      <c r="ET196" s="17" t="str">
        <f>IF(VLOOKUP(BQ196,Fundamentus!A:U,16,FALSE)&lt;0.1,"Ineficiente",IF(VLOOKUP(BQ196,Fundamentus!A:U,16,FALSE)&gt;0.1,"Eficiente","n/a"))</f>
        <v>Eficiente</v>
      </c>
      <c r="EU196" s="33" t="str">
        <f>IF(VLOOKUP(BQ196,Fundamentus!A:U,16,FALSE)&lt;0.1,"Oper. Ineficiente",IF(VLOOKUP(BQ196,Fundamentus!A:U,16,FALSE)&gt;0.1,"Oper.Eficiente","n/a"))</f>
        <v>Oper.Eficiente</v>
      </c>
      <c r="EV196" s="34">
        <f>VLOOKUP(BQ196,Fundamentus!A:U,14,FALSE)</f>
        <v>7.9899999999999999E-2</v>
      </c>
      <c r="EW196" s="17" t="str">
        <f>IF(VLOOKUP(BQ196,Fundamentus!A:U,21,FALSE)&lt;0,"Negativo",IF(VLOOKUP(BQ196,Fundamentus!A:U,21,FALSE)&lt;0.05,"Fraco",IF(VLOOKUP(BQ196,Fundamentus!A:U,21,FALSE)&lt;0.1,"Bom",IF(VLOOKUP(BQ196,Fundamentus!A:U,21,FALSE)&gt;0.1,"Muito bom","n/a"))))</f>
        <v>Muito bom</v>
      </c>
      <c r="EY196" s="29" t="str">
        <f>IF(VLOOKUP(BQ196,Fundamentus!A:U,15,FALSE)&gt;1,"Bom",IF(VLOOKUP(BQ196,Fundamentus!A:U,15,FALSE)&lt;1,"Ruim","n/a"))</f>
        <v>Ruim</v>
      </c>
      <c r="EZ196" s="17" t="str">
        <f>IF(VLOOKUP(BQ196,Fundamentus!A:U,20,FALSE)&lt;0.5,"Baixa",IF(VLOOKUP(BQ196,Fundamentus!A:U,20,FALSE)&lt;1,"Moderada",IF(VLOOKUP(BQ196,Fundamentus!A:U,20,FALSE)&lt;2,"Alerta",IF(VLOOKUP(BQ196,Fundamentus!A:U,20,FALSE)&gt;2,"Alta","n/a"))))</f>
        <v>Alta</v>
      </c>
      <c r="FA196" s="10"/>
    </row>
    <row r="197" spans="1:157" s="2" customFormat="1" ht="11.25" hidden="1" x14ac:dyDescent="0.2">
      <c r="A197" s="4">
        <v>0.2</v>
      </c>
      <c r="B197" s="4">
        <v>0.23</v>
      </c>
      <c r="C197" s="4">
        <v>0.24</v>
      </c>
      <c r="D197" s="4">
        <v>0.26</v>
      </c>
      <c r="E197" s="4">
        <v>0.22</v>
      </c>
      <c r="F197" s="4">
        <v>0.19</v>
      </c>
      <c r="G197" s="4">
        <v>0.19</v>
      </c>
      <c r="H197" s="4">
        <v>0.18</v>
      </c>
      <c r="I197" s="4">
        <v>0.17</v>
      </c>
      <c r="J197" s="4">
        <v>0.18</v>
      </c>
      <c r="K197" s="4">
        <v>0.2</v>
      </c>
      <c r="L197" s="4">
        <v>0.18</v>
      </c>
      <c r="M197" s="4">
        <v>0.18</v>
      </c>
      <c r="N197" s="4">
        <v>0.18</v>
      </c>
      <c r="O197" s="4">
        <v>0.19</v>
      </c>
      <c r="P197" s="4">
        <v>0.18</v>
      </c>
      <c r="Q197" s="4">
        <v>0.16</v>
      </c>
      <c r="R197" s="4">
        <v>0.16</v>
      </c>
      <c r="S197" s="4">
        <v>0.16</v>
      </c>
      <c r="T197" s="4">
        <v>0.16</v>
      </c>
      <c r="U197" s="4">
        <v>0.15</v>
      </c>
      <c r="V197" s="4">
        <v>0.01</v>
      </c>
      <c r="W197" s="4">
        <v>0.01</v>
      </c>
      <c r="X197" s="4">
        <v>0.01</v>
      </c>
      <c r="Y197" s="4">
        <v>0.01</v>
      </c>
      <c r="Z197" s="4">
        <v>0.01</v>
      </c>
      <c r="AA197" s="4">
        <v>0.01</v>
      </c>
      <c r="AB197" s="4">
        <v>0.01</v>
      </c>
      <c r="AC197" s="4">
        <v>0.01</v>
      </c>
      <c r="AD197" s="4">
        <v>0.01</v>
      </c>
      <c r="AE197" s="4">
        <v>0.01</v>
      </c>
      <c r="AF197" s="4">
        <v>0.01</v>
      </c>
      <c r="AG197" s="4">
        <v>0.01</v>
      </c>
      <c r="AH197" s="4">
        <v>0.01</v>
      </c>
      <c r="AI197" s="4">
        <v>0.01</v>
      </c>
      <c r="AJ197" s="4">
        <v>0.01</v>
      </c>
      <c r="AK197" s="4">
        <v>0.01</v>
      </c>
      <c r="AL197" s="4">
        <v>0.01</v>
      </c>
      <c r="AM197" s="4">
        <v>0.01</v>
      </c>
      <c r="AN197" s="4">
        <v>0.01</v>
      </c>
      <c r="AO197" s="4">
        <v>0.01</v>
      </c>
      <c r="AP197" s="4">
        <v>0.01</v>
      </c>
      <c r="AQ197" s="4">
        <v>0.01</v>
      </c>
      <c r="AR197" s="4">
        <v>0.71</v>
      </c>
      <c r="AS197" s="4">
        <v>1.05</v>
      </c>
      <c r="AT197" s="4">
        <v>0.85</v>
      </c>
      <c r="AU197" s="4">
        <v>0.81499999999999995</v>
      </c>
      <c r="AV197" s="4">
        <v>0.75</v>
      </c>
      <c r="AW197" s="4">
        <v>0.91</v>
      </c>
      <c r="AX197" s="4">
        <v>0.88</v>
      </c>
      <c r="AY197" s="12">
        <v>0.75</v>
      </c>
      <c r="AZ197" s="12">
        <v>0.69</v>
      </c>
      <c r="BA197" s="12">
        <v>0.67</v>
      </c>
      <c r="BB197" s="15">
        <v>0.66</v>
      </c>
      <c r="BC197" s="52">
        <v>0.56999999999999995</v>
      </c>
      <c r="BD197" s="52">
        <v>0.42</v>
      </c>
      <c r="BE197" s="52">
        <v>0.34</v>
      </c>
      <c r="BF197" s="52">
        <v>0.27</v>
      </c>
      <c r="BG197" s="67">
        <v>0.3</v>
      </c>
      <c r="BH197" s="52">
        <v>0.27</v>
      </c>
      <c r="BI197" s="52">
        <v>0.3</v>
      </c>
      <c r="BJ197" s="52">
        <v>0.25</v>
      </c>
      <c r="BK197" s="52">
        <v>0.24</v>
      </c>
      <c r="BL197" s="52">
        <v>0.22</v>
      </c>
      <c r="BM197" s="52">
        <v>0.22</v>
      </c>
      <c r="BN197" s="52">
        <v>0.22</v>
      </c>
      <c r="BO197" s="52">
        <v>0.18</v>
      </c>
      <c r="BP197" s="52" cm="1">
        <f t="array" aca="1" ref="BP197" ca="1">_FV(ED197,"Preço")</f>
        <v>0.18</v>
      </c>
      <c r="BQ197" s="69" t="s">
        <v>193</v>
      </c>
      <c r="BR197" s="36" cm="1">
        <f t="array" aca="1" ref="BR197" ca="1">_FV(ED197,"Média de volume",TRUE)</f>
        <v>1222450</v>
      </c>
      <c r="BS197" s="36">
        <v>1691500</v>
      </c>
      <c r="BT197" s="36" cm="1">
        <f t="array" aca="1" ref="BT197" ca="1">_FV(ED197,"Volume")</f>
        <v>2068300</v>
      </c>
      <c r="BU197" s="24" cm="1">
        <f t="array" aca="1" ref="BU197" ca="1">_FV(ED197,"Beta")</f>
        <v>1.7743</v>
      </c>
      <c r="BV197" s="71" cm="1">
        <f t="array" aca="1" ref="BV197" ca="1">_FV(ED197,"Variação (%)",TRUE)</f>
        <v>0</v>
      </c>
      <c r="BX197" s="17" cm="1">
        <f t="array" aca="1" ref="BX197" ca="1">_FV(ED197,"Baixo")</f>
        <v>0.18</v>
      </c>
      <c r="BY197" s="17" cm="1">
        <f t="array" aca="1" ref="BY197" ca="1">_FV(ED197,"Alto")</f>
        <v>0.21</v>
      </c>
      <c r="BZ197" s="24"/>
      <c r="CA197" s="63" t="e">
        <f ca="1">SQRT(22.5*(BP197/VLOOKUP(BQ197,Fundamentus!A:U,3,FALSE))*(BP197/VLOOKUP(BQ197,Fundamentus!A:U,4,FALSE)))</f>
        <v>#DIV/0!</v>
      </c>
      <c r="CC197" s="62">
        <f t="shared" ca="1" si="168"/>
        <v>0</v>
      </c>
      <c r="CD197" s="8"/>
      <c r="CE197" s="61">
        <f t="shared" si="169"/>
        <v>0.01</v>
      </c>
      <c r="CF197" s="61">
        <f t="shared" si="170"/>
        <v>1.05</v>
      </c>
      <c r="CG197" s="61">
        <f t="shared" si="171"/>
        <v>0.24947761194029847</v>
      </c>
      <c r="CH197" s="14"/>
      <c r="CI197" s="35">
        <f t="shared" si="154"/>
        <v>0.14080816411546176</v>
      </c>
      <c r="CJ197" s="15">
        <f t="shared" si="172"/>
        <v>0.17999999999999261</v>
      </c>
      <c r="CK197" s="35">
        <f t="shared" si="155"/>
        <v>0.21919183588452346</v>
      </c>
      <c r="CM197" s="14"/>
      <c r="CN197" s="17">
        <f t="shared" si="156"/>
        <v>-1.2633333333333334</v>
      </c>
      <c r="CO197" s="17">
        <f t="shared" si="157"/>
        <v>-0.62666666666666671</v>
      </c>
      <c r="CP197" s="17">
        <f t="shared" si="158"/>
        <v>-0.22333333333333338</v>
      </c>
      <c r="CQ197" s="38">
        <f t="shared" si="173"/>
        <v>0.41333333333333333</v>
      </c>
      <c r="CR197" s="17">
        <f t="shared" si="159"/>
        <v>0.81666666666666665</v>
      </c>
      <c r="CS197" s="17">
        <f t="shared" si="160"/>
        <v>1.4533333333333334</v>
      </c>
      <c r="CT197" s="17">
        <f t="shared" si="161"/>
        <v>1.8566666666666667</v>
      </c>
      <c r="CU197" s="2" cm="1">
        <f t="array" aca="1" ref="CU197" ca="1">MAX(_xlfn._xlws.FILTER(CN197:CT197,CN197:CT197&lt;BP197))</f>
        <v>-0.22333333333333338</v>
      </c>
      <c r="CV197" s="2" cm="1">
        <f t="array" aca="1" ref="CV197" ca="1">MIN(_xlfn._xlws.FILTER($CN197:$CT197,$CN197:$CT197&gt;BP197))</f>
        <v>0.41333333333333333</v>
      </c>
      <c r="CW197" s="16">
        <f t="shared" ca="1" si="209"/>
        <v>-2.850746268656716</v>
      </c>
      <c r="CX197" s="20">
        <f t="shared" ca="1" si="210"/>
        <v>1.425373134328358</v>
      </c>
      <c r="CY197" s="20">
        <f t="shared" ca="1" si="211"/>
        <v>0.95024875621890537</v>
      </c>
      <c r="CZ197" s="20">
        <f t="shared" ca="1" si="212"/>
        <v>0.57014925373134318</v>
      </c>
      <c r="DA197" s="20">
        <f t="shared" ca="1" si="213"/>
        <v>0.31674958540630177</v>
      </c>
      <c r="DB197" s="20">
        <f t="shared" ca="1" si="214"/>
        <v>0.16769095697980682</v>
      </c>
      <c r="DC197" s="20">
        <f t="shared" ca="1" si="215"/>
        <v>8.6386250565355024E-2</v>
      </c>
      <c r="DD197" s="20">
        <f t="shared" ca="1" si="216"/>
        <v>4.3857634902411013E-2</v>
      </c>
      <c r="DE197" s="21">
        <f t="shared" ca="1" si="217"/>
        <v>-4.3857634902411013E-2</v>
      </c>
      <c r="DF197" s="21">
        <f t="shared" ca="1" si="218"/>
        <v>-8.6386250565355024E-2</v>
      </c>
      <c r="DG197" s="21">
        <f t="shared" ca="1" si="219"/>
        <v>-0.16769095697980682</v>
      </c>
      <c r="DH197" s="21">
        <f t="shared" ca="1" si="220"/>
        <v>-0.31674958540630177</v>
      </c>
      <c r="DI197" s="21">
        <f t="shared" ca="1" si="221"/>
        <v>-0.57014925373134318</v>
      </c>
      <c r="DJ197" s="21">
        <f t="shared" ca="1" si="222"/>
        <v>-0.95024875621890537</v>
      </c>
      <c r="DK197" s="21">
        <f t="shared" ca="1" si="223"/>
        <v>-1.425373134328358</v>
      </c>
      <c r="DM197" s="16" cm="1">
        <f t="array" aca="1" ref="DM197" ca="1">MAX(_xlfn._xlws.FILTER(CX197:DK197,CX197:DK197&lt;BV197))</f>
        <v>-4.3857634902411013E-2</v>
      </c>
      <c r="DN197" s="16" cm="1">
        <f t="array" aca="1" ref="DN197" ca="1">MIN(_xlfn._xlws.FILTER(CX197:DK197,CX197:DK197&gt;BV197))</f>
        <v>4.3857634902411013E-2</v>
      </c>
      <c r="DO197" s="2" cm="1">
        <f t="array" aca="1" ref="DO197" ca="1">_FV(ED197,"Fechamento anterior",TRUE)</f>
        <v>0.18</v>
      </c>
      <c r="DP197" s="28">
        <f t="shared" ca="1" si="162"/>
        <v>0.5</v>
      </c>
      <c r="DQ197" s="15">
        <f t="shared" ca="1" si="224"/>
        <v>0.17210562571756602</v>
      </c>
      <c r="DR197" s="15">
        <f t="shared" ca="1" si="225"/>
        <v>0.18789437428243397</v>
      </c>
      <c r="DS197" s="9"/>
      <c r="DT197" s="9"/>
      <c r="DU197" s="9"/>
      <c r="DV197" s="89">
        <v>8.1304706414451797E-2</v>
      </c>
      <c r="DW197" s="89">
        <f t="shared" ca="1" si="163"/>
        <v>8.7715269804822027E-2</v>
      </c>
      <c r="DX197" s="72">
        <f t="shared" ca="1" si="164"/>
        <v>1.8838063966968641E-13</v>
      </c>
      <c r="DY197" s="37"/>
      <c r="DZ197" s="35">
        <f t="shared" si="174"/>
        <v>1.9595917942265426E-2</v>
      </c>
      <c r="EA197" s="56"/>
      <c r="EB197" s="56"/>
      <c r="ED197" s="2" t="e" vm="199">
        <v>#VALUE!</v>
      </c>
      <c r="EF197" s="10" cm="1">
        <f t="array" aca="1" ref="EF197" ca="1">_FV(ED197,"Ações em circulação",TRUE)</f>
        <v>657497300</v>
      </c>
      <c r="EG197" s="18">
        <f>VLOOKUP(BQ197,Fundamentus!A:U,5,FALSE)</f>
        <v>4.7E-2</v>
      </c>
      <c r="EH197" s="2">
        <f t="shared" ca="1" si="165"/>
        <v>2518074765.9574466</v>
      </c>
      <c r="EI197" s="17">
        <v>-382100814.03446805</v>
      </c>
      <c r="EJ197" s="17">
        <f t="shared" ca="1" si="166"/>
        <v>-8461486636.0468082</v>
      </c>
      <c r="EL197" s="16">
        <f t="shared" ca="1" si="226"/>
        <v>21.144644358919177</v>
      </c>
      <c r="EM197" s="32" t="str">
        <f>IF(VLOOKUP(BQ197,Fundamentus!A:U,3,FALSE)&lt;15,"Bom",IF(VLOOKUP(BQ197,Fundamentus!A:U,3,FALSE)&gt;15,"Ruim","n/a"))</f>
        <v>Bom</v>
      </c>
      <c r="EN197" s="28" t="str">
        <f>IF(VLOOKUP(BQ197,Fundamentus!A:U,4,FALSE)&lt;1,"Baixo",IF(VLOOKUP(BQ197,Fundamentus!A:U,4,FALSE)&lt;1.5,"Moderado",IF(VLOOKUP(BQ197,Fundamentus!A:U,4,FALSE)&gt;1.5,"Alto","n/a")))</f>
        <v>Baixo</v>
      </c>
      <c r="EO197" s="17" t="str">
        <f>IF(VLOOKUP(BQ197,Fundamentus!A:U,8,FALSE)&lt;0,"Risco elevado",IF(VLOOKUP(BQ197,Fundamentus!A:U,8,FALSE)&lt;1,"Saudável",IF(VLOOKUP(BQ197,Fundamentus!A:U,8,FALSE)&lt;3,"Estável",IF(VLOOKUP(BQ197,Fundamentus!A:U,8,FALSE)&gt;3,"Alerta","n/a"))))</f>
        <v>Risco elevado</v>
      </c>
      <c r="EP197" s="28" t="str">
        <f t="shared" si="167"/>
        <v>Ruim</v>
      </c>
      <c r="EQ197" s="17" t="str">
        <f>IF(VLOOKUP(BQ197,Fundamentus!A:U,12,FALSE)&lt;2,"Subvalorizada",IF(VLOOKUP(BQ197,Fundamentus!A:U,12,FALSE)&lt;6,"Muita barata",IF(VLOOKUP(BQ197,Fundamentus!A:U,12,FALSE)&lt;6,"Barata",IF(VLOOKUP(BQ197,Fundamentus!A:U,12,FALSE)&lt;8,"Atrativa",IF(VLOOKUP(BQ197,Fundamentus!A:U,12,FALSE)&gt;8,"Supervalorizada","n/a")))))</f>
        <v>Subvalorizada</v>
      </c>
      <c r="ES197" s="17" t="str">
        <f>IF(VLOOKUP(BQ197,Fundamentus!A:U,17,FALSE)&lt;0.1,"Fraco retorno",IF(VLOOKUP(BQ197,Fundamentus!A:U,17,FALSE)&gt;0.1,"Bom retorno","n/a"))</f>
        <v>Bom retorno</v>
      </c>
      <c r="ET197" s="17" t="str">
        <f>IF(VLOOKUP(BQ197,Fundamentus!A:U,16,FALSE)&lt;0.1,"Ineficiente",IF(VLOOKUP(BQ197,Fundamentus!A:U,16,FALSE)&gt;0.1,"Eficiente","n/a"))</f>
        <v>Ineficiente</v>
      </c>
      <c r="EU197" s="33" t="str">
        <f>IF(VLOOKUP(BQ197,Fundamentus!A:U,16,FALSE)&lt;0.1,"Oper. Ineficiente",IF(VLOOKUP(BQ197,Fundamentus!A:U,16,FALSE)&gt;0.1,"Oper.Eficiente","n/a"))</f>
        <v>Oper. Ineficiente</v>
      </c>
      <c r="EV197" s="34">
        <f>VLOOKUP(BQ197,Fundamentus!A:U,14,FALSE)</f>
        <v>-3.3603000000000001</v>
      </c>
      <c r="EW197" s="17" t="str">
        <f>IF(VLOOKUP(BQ197,Fundamentus!A:U,21,FALSE)&lt;0,"Negativo",IF(VLOOKUP(BQ197,Fundamentus!A:U,21,FALSE)&lt;0.05,"Fraco",IF(VLOOKUP(BQ197,Fundamentus!A:U,21,FALSE)&lt;0.1,"Bom",IF(VLOOKUP(BQ197,Fundamentus!A:U,21,FALSE)&gt;0.1,"Muito bom","n/a"))))</f>
        <v>Negativo</v>
      </c>
      <c r="EY197" s="29" t="str">
        <f>IF(VLOOKUP(BQ197,Fundamentus!A:U,15,FALSE)&gt;1,"Bom",IF(VLOOKUP(BQ197,Fundamentus!A:U,15,FALSE)&lt;1,"Ruim","n/a"))</f>
        <v>Ruim</v>
      </c>
      <c r="EZ197" s="17" t="str">
        <f>IF(VLOOKUP(BQ197,Fundamentus!A:U,20,FALSE)&lt;0.5,"Baixa",IF(VLOOKUP(BQ197,Fundamentus!A:U,20,FALSE)&lt;1,"Moderada",IF(VLOOKUP(BQ197,Fundamentus!A:U,20,FALSE)&lt;2,"Alerta",IF(VLOOKUP(BQ197,Fundamentus!A:U,20,FALSE)&gt;2,"Alta","n/a"))))</f>
        <v>Baixa</v>
      </c>
      <c r="FA197" s="10"/>
    </row>
    <row r="198" spans="1:157" s="2" customFormat="1" ht="11.25" hidden="1" x14ac:dyDescent="0.2">
      <c r="A198" s="4">
        <v>35.51</v>
      </c>
      <c r="B198" s="4">
        <v>37.15</v>
      </c>
      <c r="C198" s="4">
        <v>33.97</v>
      </c>
      <c r="D198" s="4">
        <v>33.299999999999997</v>
      </c>
      <c r="E198" s="4">
        <v>32.1</v>
      </c>
      <c r="F198" s="4">
        <v>34</v>
      </c>
      <c r="G198" s="4">
        <v>30.74</v>
      </c>
      <c r="H198" s="4">
        <v>29.9</v>
      </c>
      <c r="I198" s="4">
        <v>30.6</v>
      </c>
      <c r="J198" s="4">
        <v>30</v>
      </c>
      <c r="K198" s="4">
        <v>30.75</v>
      </c>
      <c r="L198" s="4">
        <v>30.37</v>
      </c>
      <c r="M198" s="4">
        <v>30.4</v>
      </c>
      <c r="N198" s="4">
        <v>31.4</v>
      </c>
      <c r="O198" s="4">
        <v>31.9</v>
      </c>
      <c r="P198" s="4">
        <v>31.39</v>
      </c>
      <c r="Q198" s="4">
        <v>31.77</v>
      </c>
      <c r="R198" s="4">
        <v>32.299999999999997</v>
      </c>
      <c r="S198" s="4">
        <v>30.8</v>
      </c>
      <c r="T198" s="4">
        <v>29.45</v>
      </c>
      <c r="U198" s="4">
        <v>29.03</v>
      </c>
      <c r="V198" s="4">
        <v>28.25</v>
      </c>
      <c r="W198" s="4">
        <v>27.33</v>
      </c>
      <c r="X198" s="4">
        <v>26.45</v>
      </c>
      <c r="Y198" s="4">
        <v>26.99</v>
      </c>
      <c r="Z198" s="4">
        <v>27.65</v>
      </c>
      <c r="AA198" s="4">
        <v>26.2</v>
      </c>
      <c r="AB198" s="4">
        <v>27.06</v>
      </c>
      <c r="AC198" s="4">
        <v>26.55</v>
      </c>
      <c r="AD198" s="4">
        <v>25.7</v>
      </c>
      <c r="AE198" s="4">
        <v>25</v>
      </c>
      <c r="AF198" s="4">
        <v>23.77</v>
      </c>
      <c r="AG198" s="4">
        <v>24.11</v>
      </c>
      <c r="AH198" s="4">
        <v>23.91</v>
      </c>
      <c r="AI198" s="4">
        <v>24.46</v>
      </c>
      <c r="AJ198" s="4">
        <v>24.4</v>
      </c>
      <c r="AK198" s="4">
        <v>24.6</v>
      </c>
      <c r="AL198" s="4">
        <v>23.9</v>
      </c>
      <c r="AM198" s="4">
        <v>23.48</v>
      </c>
      <c r="AN198" s="4">
        <v>24.9</v>
      </c>
      <c r="AO198" s="4">
        <v>24.81</v>
      </c>
      <c r="AP198" s="4">
        <v>25.29</v>
      </c>
      <c r="AQ198" s="4">
        <v>25.71</v>
      </c>
      <c r="AR198" s="4">
        <v>25.64</v>
      </c>
      <c r="AS198" s="4">
        <v>24.75</v>
      </c>
      <c r="AT198" s="4">
        <v>24.02</v>
      </c>
      <c r="AU198" s="4">
        <v>24.215</v>
      </c>
      <c r="AV198" s="4">
        <v>24.5</v>
      </c>
      <c r="AW198" s="4">
        <v>24.37</v>
      </c>
      <c r="AX198" s="4">
        <v>24.84</v>
      </c>
      <c r="AY198" s="12">
        <v>25</v>
      </c>
      <c r="AZ198" s="12">
        <v>25.7</v>
      </c>
      <c r="BA198" s="12">
        <v>25.01</v>
      </c>
      <c r="BB198" s="15">
        <v>25.99</v>
      </c>
      <c r="BC198" s="52">
        <v>25.4</v>
      </c>
      <c r="BD198" s="52">
        <v>25.82</v>
      </c>
      <c r="BE198" s="52">
        <v>26.83</v>
      </c>
      <c r="BF198" s="52">
        <v>25.99</v>
      </c>
      <c r="BG198" s="67">
        <v>25.4</v>
      </c>
      <c r="BH198" s="52">
        <v>26.4</v>
      </c>
      <c r="BI198" s="52">
        <v>26.17</v>
      </c>
      <c r="BJ198" s="52">
        <v>28.11</v>
      </c>
      <c r="BK198" s="52">
        <v>26.82</v>
      </c>
      <c r="BL198" s="52">
        <v>27.76</v>
      </c>
      <c r="BM198" s="52">
        <v>27.7</v>
      </c>
      <c r="BN198" s="52">
        <v>28.79</v>
      </c>
      <c r="BO198" s="52">
        <v>28.33</v>
      </c>
      <c r="BP198" s="52" cm="1">
        <f t="array" aca="1" ref="BP198" ca="1">_FV(ED198,"Preço")</f>
        <v>29</v>
      </c>
      <c r="BQ198" s="69" t="s">
        <v>194</v>
      </c>
      <c r="BR198" s="36" cm="1">
        <f t="array" aca="1" ref="BR198" ca="1">_FV(ED198,"Média de volume",TRUE)</f>
        <v>7980</v>
      </c>
      <c r="BS198" s="36">
        <v>1900</v>
      </c>
      <c r="BT198" s="36" cm="1">
        <f t="array" aca="1" ref="BT198" ca="1">_FV(ED198,"Volume")</f>
        <v>1100</v>
      </c>
      <c r="BU198" s="24" cm="1">
        <f t="array" aca="1" ref="BU198" ca="1">_FV(ED198,"Beta")</f>
        <v>0.31430000000000002</v>
      </c>
      <c r="BV198" s="71" cm="1">
        <f t="array" aca="1" ref="BV198" ca="1">_FV(ED198,"Variação (%)",TRUE)</f>
        <v>-3.4360000000000003E-3</v>
      </c>
      <c r="BX198" s="17" cm="1">
        <f t="array" aca="1" ref="BX198" ca="1">_FV(ED198,"Baixo")</f>
        <v>28.75</v>
      </c>
      <c r="BY198" s="17" cm="1">
        <f t="array" aca="1" ref="BY198" ca="1">_FV(ED198,"Alto")</f>
        <v>29</v>
      </c>
      <c r="BZ198" s="24"/>
      <c r="CA198" s="63">
        <f ca="1">SQRT(22.5*(BP198/VLOOKUP(BQ198,Fundamentus!A:U,3,FALSE))*(BP198/VLOOKUP(BQ198,Fundamentus!A:U,4,FALSE)))</f>
        <v>80.046588425551818</v>
      </c>
      <c r="CC198" s="62">
        <f t="shared" ca="1" si="168"/>
        <v>2.3649841157783329E-2</v>
      </c>
      <c r="CD198" s="8"/>
      <c r="CE198" s="61">
        <f t="shared" si="169"/>
        <v>23.48</v>
      </c>
      <c r="CF198" s="61">
        <f t="shared" si="170"/>
        <v>37.15</v>
      </c>
      <c r="CG198" s="61">
        <f t="shared" si="171"/>
        <v>27.625447761194028</v>
      </c>
      <c r="CH198" s="14"/>
      <c r="CI198" s="35">
        <f t="shared" ref="CI198:CI261" si="227">CJ198-DZ198*2</f>
        <v>27.518048606768158</v>
      </c>
      <c r="CJ198" s="15">
        <f t="shared" si="172"/>
        <v>28.845000000000027</v>
      </c>
      <c r="CK198" s="35">
        <f t="shared" ref="CK198:CK261" si="228">CJ198+DZ198*2</f>
        <v>30.171951393231897</v>
      </c>
      <c r="CM198" s="14"/>
      <c r="CN198" s="17">
        <f t="shared" ref="CN198:CN261" si="229">CE198-2*(CF198-CQ198)</f>
        <v>8.4866666666666681</v>
      </c>
      <c r="CO198" s="17">
        <f t="shared" ref="CO198:CO261" si="230">CQ198-(CF198-CE198)</f>
        <v>15.983333333333334</v>
      </c>
      <c r="CP198" s="17">
        <f t="shared" ref="CP198:CP261" si="231">2*CQ198-CF198</f>
        <v>22.156666666666666</v>
      </c>
      <c r="CQ198" s="38">
        <f t="shared" si="173"/>
        <v>29.653333333333332</v>
      </c>
      <c r="CR198" s="17">
        <f t="shared" ref="CR198:CR261" si="232">2*CQ198-CE198</f>
        <v>35.826666666666668</v>
      </c>
      <c r="CS198" s="17">
        <f t="shared" ref="CS198:CS261" si="233">CQ198+(CF198-CE198)</f>
        <v>43.323333333333331</v>
      </c>
      <c r="CT198" s="17">
        <f t="shared" ref="CT198:CT261" si="234">CF198+2*(CQ198-CE198)</f>
        <v>49.496666666666663</v>
      </c>
      <c r="CU198" s="2" cm="1">
        <f t="array" aca="1" ref="CU198" ca="1">MAX(_xlfn._xlws.FILTER(CN198:CT198,CN198:CT198&lt;BP198))</f>
        <v>22.156666666666666</v>
      </c>
      <c r="CV198" s="2" cm="1">
        <f t="array" aca="1" ref="CV198" ca="1">MIN(_xlfn._xlws.FILTER($CN198:$CT198,$CN198:$CT198&gt;BP198))</f>
        <v>29.653333333333332</v>
      </c>
      <c r="CW198" s="16">
        <f t="shared" ca="1" si="209"/>
        <v>0.33834812697457495</v>
      </c>
      <c r="CX198" s="20">
        <f t="shared" ca="1" si="210"/>
        <v>-0.16917406348728747</v>
      </c>
      <c r="CY198" s="20">
        <f t="shared" ca="1" si="211"/>
        <v>-0.11278270899152498</v>
      </c>
      <c r="CZ198" s="20">
        <f t="shared" ca="1" si="212"/>
        <v>-6.7669625394914987E-2</v>
      </c>
      <c r="DA198" s="20">
        <f t="shared" ca="1" si="213"/>
        <v>-3.7594236330508325E-2</v>
      </c>
      <c r="DB198" s="20">
        <f t="shared" ca="1" si="214"/>
        <v>-1.9902830998504407E-2</v>
      </c>
      <c r="DC198" s="20">
        <f t="shared" ca="1" si="215"/>
        <v>-1.025297354468409E-2</v>
      </c>
      <c r="DD198" s="20">
        <f t="shared" ca="1" si="216"/>
        <v>-5.2053557996088453E-3</v>
      </c>
      <c r="DE198" s="21">
        <f t="shared" ca="1" si="217"/>
        <v>5.2053557996088453E-3</v>
      </c>
      <c r="DF198" s="21">
        <f t="shared" ca="1" si="218"/>
        <v>1.025297354468409E-2</v>
      </c>
      <c r="DG198" s="21">
        <f t="shared" ca="1" si="219"/>
        <v>1.9902830998504407E-2</v>
      </c>
      <c r="DH198" s="21">
        <f t="shared" ca="1" si="220"/>
        <v>3.7594236330508325E-2</v>
      </c>
      <c r="DI198" s="21">
        <f t="shared" ca="1" si="221"/>
        <v>6.7669625394914987E-2</v>
      </c>
      <c r="DJ198" s="21">
        <f t="shared" ca="1" si="222"/>
        <v>0.11278270899152498</v>
      </c>
      <c r="DK198" s="21">
        <f t="shared" ca="1" si="223"/>
        <v>0.16917406348728747</v>
      </c>
      <c r="DM198" s="16" cm="1">
        <f t="array" aca="1" ref="DM198" ca="1">MAX(_xlfn._xlws.FILTER(CX198:DK198,CX198:DK198&lt;BV198))</f>
        <v>-5.2053557996088453E-3</v>
      </c>
      <c r="DN198" s="16" cm="1">
        <f t="array" aca="1" ref="DN198" ca="1">MIN(_xlfn._xlws.FILTER(CX198:DK198,CX198:DK198&gt;BV198))</f>
        <v>5.2053557996088453E-3</v>
      </c>
      <c r="DO198" s="2" cm="1">
        <f t="array" aca="1" ref="DO198" ca="1">_FV(ED198,"Fechamento anterior",TRUE)</f>
        <v>29.1</v>
      </c>
      <c r="DP198" s="28">
        <f t="shared" ref="DP198:DP261" ca="1" si="235">(BP198-DQ198)/(DR198-DQ198)</f>
        <v>0.16991438730309355</v>
      </c>
      <c r="DQ198" s="15">
        <f t="shared" ca="1" si="224"/>
        <v>28.948524146231385</v>
      </c>
      <c r="DR198" s="15">
        <f t="shared" ca="1" si="225"/>
        <v>29.251475853768618</v>
      </c>
      <c r="DS198" s="9"/>
      <c r="DT198" s="9"/>
      <c r="DU198" s="9"/>
      <c r="DV198" s="89">
        <v>1.7691405332003918E-2</v>
      </c>
      <c r="DW198" s="89">
        <f t="shared" ref="DW198:DW261" ca="1" si="236">DN198-DM198</f>
        <v>1.0410711599217691E-2</v>
      </c>
      <c r="DX198" s="72">
        <f t="shared" ref="DX198:DX261" ca="1" si="237">(BP198-CJ198)/(CJ198-CI198)</f>
        <v>0.11680910151686939</v>
      </c>
      <c r="DY198" s="37"/>
      <c r="DZ198" s="35">
        <f t="shared" si="174"/>
        <v>0.6634756966159342</v>
      </c>
      <c r="EA198" s="56"/>
      <c r="EB198" s="56"/>
      <c r="ED198" s="2" t="e" vm="200">
        <v>#VALUE!</v>
      </c>
      <c r="EF198" s="10" cm="1">
        <f t="array" aca="1" ref="EF198" ca="1">_FV(ED198,"Ações em circulação",TRUE)</f>
        <v>86302020</v>
      </c>
      <c r="EG198" s="18">
        <f>VLOOKUP(BQ198,Fundamentus!A:U,5,FALSE)</f>
        <v>0.28299999999999997</v>
      </c>
      <c r="EH198" s="2">
        <f t="shared" ref="EH198:EH261" ca="1" si="238">(BP198*EF198)/EG198</f>
        <v>8843669893.9929333</v>
      </c>
      <c r="EI198" s="17">
        <v>380131427.4572438</v>
      </c>
      <c r="EJ198" s="17">
        <f t="shared" ref="EJ198:EJ261" ca="1" si="239">EH198*EV198</f>
        <v>389121475.33568907</v>
      </c>
      <c r="EL198" s="16">
        <f t="shared" ca="1" si="226"/>
        <v>2.3649841157783458E-2</v>
      </c>
      <c r="EM198" s="32" t="str">
        <f>IF(VLOOKUP(BQ198,Fundamentus!A:U,3,FALSE)&lt;15,"Bom",IF(VLOOKUP(BQ198,Fundamentus!A:U,3,FALSE)&gt;15,"Ruim","n/a"))</f>
        <v>Bom</v>
      </c>
      <c r="EN198" s="28" t="str">
        <f>IF(VLOOKUP(BQ198,Fundamentus!A:U,4,FALSE)&lt;1,"Baixo",IF(VLOOKUP(BQ198,Fundamentus!A:U,4,FALSE)&lt;1.5,"Moderado",IF(VLOOKUP(BQ198,Fundamentus!A:U,4,FALSE)&gt;1.5,"Alto","n/a")))</f>
        <v>Baixo</v>
      </c>
      <c r="EO198" s="17" t="str">
        <f>IF(VLOOKUP(BQ198,Fundamentus!A:U,8,FALSE)&lt;0,"Risco elevado",IF(VLOOKUP(BQ198,Fundamentus!A:U,8,FALSE)&lt;1,"Saudável",IF(VLOOKUP(BQ198,Fundamentus!A:U,8,FALSE)&lt;3,"Estável",IF(VLOOKUP(BQ198,Fundamentus!A:U,8,FALSE)&gt;3,"Alerta","n/a"))))</f>
        <v>Risco elevado</v>
      </c>
      <c r="EP198" s="28" t="str">
        <f t="shared" ref="EP198:EP261" si="240">IF(EG198&gt;1,"Bom","Ruim")</f>
        <v>Ruim</v>
      </c>
      <c r="EQ198" s="17" t="str">
        <f>IF(VLOOKUP(BQ198,Fundamentus!A:U,12,FALSE)&lt;2,"Subvalorizada",IF(VLOOKUP(BQ198,Fundamentus!A:U,12,FALSE)&lt;6,"Muita barata",IF(VLOOKUP(BQ198,Fundamentus!A:U,12,FALSE)&lt;6,"Barata",IF(VLOOKUP(BQ198,Fundamentus!A:U,12,FALSE)&lt;8,"Atrativa",IF(VLOOKUP(BQ198,Fundamentus!A:U,12,FALSE)&gt;8,"Supervalorizada","n/a")))))</f>
        <v>Muita barata</v>
      </c>
      <c r="ES198" s="17" t="str">
        <f>IF(VLOOKUP(BQ198,Fundamentus!A:U,17,FALSE)&lt;0.1,"Fraco retorno",IF(VLOOKUP(BQ198,Fundamentus!A:U,17,FALSE)&gt;0.1,"Bom retorno","n/a"))</f>
        <v>Fraco retorno</v>
      </c>
      <c r="ET198" s="17" t="str">
        <f>IF(VLOOKUP(BQ198,Fundamentus!A:U,16,FALSE)&lt;0.1,"Ineficiente",IF(VLOOKUP(BQ198,Fundamentus!A:U,16,FALSE)&gt;0.1,"Eficiente","n/a"))</f>
        <v>Ineficiente</v>
      </c>
      <c r="EU198" s="33" t="str">
        <f>IF(VLOOKUP(BQ198,Fundamentus!A:U,16,FALSE)&lt;0.1,"Oper. Ineficiente",IF(VLOOKUP(BQ198,Fundamentus!A:U,16,FALSE)&gt;0.1,"Oper.Eficiente","n/a"))</f>
        <v>Oper. Ineficiente</v>
      </c>
      <c r="EV198" s="34">
        <f>VLOOKUP(BQ198,Fundamentus!A:U,14,FALSE)</f>
        <v>4.3999999999999997E-2</v>
      </c>
      <c r="EW198" s="17" t="str">
        <f>IF(VLOOKUP(BQ198,Fundamentus!A:U,21,FALSE)&lt;0,"Negativo",IF(VLOOKUP(BQ198,Fundamentus!A:U,21,FALSE)&lt;0.05,"Fraco",IF(VLOOKUP(BQ198,Fundamentus!A:U,21,FALSE)&lt;0.1,"Bom",IF(VLOOKUP(BQ198,Fundamentus!A:U,21,FALSE)&gt;0.1,"Muito bom","n/a"))))</f>
        <v>Bom</v>
      </c>
      <c r="EY198" s="29" t="str">
        <f>IF(VLOOKUP(BQ198,Fundamentus!A:U,15,FALSE)&gt;1,"Bom",IF(VLOOKUP(BQ198,Fundamentus!A:U,15,FALSE)&lt;1,"Ruim","n/a"))</f>
        <v>Ruim</v>
      </c>
      <c r="EZ198" s="17" t="str">
        <f>IF(VLOOKUP(BQ198,Fundamentus!A:U,20,FALSE)&lt;0.5,"Baixa",IF(VLOOKUP(BQ198,Fundamentus!A:U,20,FALSE)&lt;1,"Moderada",IF(VLOOKUP(BQ198,Fundamentus!A:U,20,FALSE)&lt;2,"Alerta",IF(VLOOKUP(BQ198,Fundamentus!A:U,20,FALSE)&gt;2,"Alta","n/a"))))</f>
        <v>Alerta</v>
      </c>
      <c r="FA198" s="10"/>
    </row>
    <row r="199" spans="1:157" s="2" customFormat="1" ht="11.25" hidden="1" x14ac:dyDescent="0.2">
      <c r="A199" s="4">
        <v>12.02</v>
      </c>
      <c r="B199" s="4">
        <v>12.26</v>
      </c>
      <c r="C199" s="4">
        <v>10.36</v>
      </c>
      <c r="D199" s="4">
        <v>9.49</v>
      </c>
      <c r="E199" s="4">
        <v>9.6</v>
      </c>
      <c r="F199" s="4">
        <v>9.66</v>
      </c>
      <c r="G199" s="4">
        <v>9.58</v>
      </c>
      <c r="H199" s="4">
        <v>9.65</v>
      </c>
      <c r="I199" s="4">
        <v>9.36</v>
      </c>
      <c r="J199" s="4">
        <v>9.99</v>
      </c>
      <c r="K199" s="4">
        <v>10.54</v>
      </c>
      <c r="L199" s="4">
        <v>9.3000000000000007</v>
      </c>
      <c r="M199" s="4">
        <v>8.5299999999999994</v>
      </c>
      <c r="N199" s="4">
        <v>8.9600000000000009</v>
      </c>
      <c r="O199" s="4">
        <v>8.56</v>
      </c>
      <c r="P199" s="4">
        <v>9.15</v>
      </c>
      <c r="Q199" s="4">
        <v>10.34</v>
      </c>
      <c r="R199" s="4">
        <v>10.17</v>
      </c>
      <c r="S199" s="4">
        <v>10.220000000000001</v>
      </c>
      <c r="T199" s="4">
        <v>10.54</v>
      </c>
      <c r="U199" s="4">
        <v>10.34</v>
      </c>
      <c r="V199" s="4">
        <v>10.46</v>
      </c>
      <c r="W199" s="4">
        <v>9.9499999999999993</v>
      </c>
      <c r="X199" s="4">
        <v>11.02</v>
      </c>
      <c r="Y199" s="4">
        <v>11.73</v>
      </c>
      <c r="Z199" s="4">
        <v>12.91</v>
      </c>
      <c r="AA199" s="4">
        <v>12.72</v>
      </c>
      <c r="AB199" s="4">
        <v>12.8</v>
      </c>
      <c r="AC199" s="4">
        <v>11.55</v>
      </c>
      <c r="AD199" s="4">
        <v>12.45</v>
      </c>
      <c r="AE199" s="4">
        <v>10.57</v>
      </c>
      <c r="AF199" s="4">
        <v>10.06</v>
      </c>
      <c r="AG199" s="4">
        <v>9.91</v>
      </c>
      <c r="AH199" s="4">
        <v>9.17</v>
      </c>
      <c r="AI199" s="4">
        <v>8.4700000000000006</v>
      </c>
      <c r="AJ199" s="4">
        <v>7.44</v>
      </c>
      <c r="AK199" s="4">
        <v>7.72</v>
      </c>
      <c r="AL199" s="4">
        <v>7.99</v>
      </c>
      <c r="AM199" s="4">
        <v>8.7899999999999991</v>
      </c>
      <c r="AN199" s="4">
        <v>9.7899999999999991</v>
      </c>
      <c r="AO199" s="4">
        <v>9.65</v>
      </c>
      <c r="AP199" s="4">
        <v>10.3</v>
      </c>
      <c r="AQ199" s="4">
        <v>9.7899999999999991</v>
      </c>
      <c r="AR199" s="4">
        <v>9.8699999999999992</v>
      </c>
      <c r="AS199" s="4">
        <v>10.52</v>
      </c>
      <c r="AT199" s="4">
        <v>10.79</v>
      </c>
      <c r="AU199" s="4">
        <v>10.335000000000001</v>
      </c>
      <c r="AV199" s="4">
        <v>11.04</v>
      </c>
      <c r="AW199" s="4">
        <v>11.32</v>
      </c>
      <c r="AX199" s="4">
        <v>12.05</v>
      </c>
      <c r="AY199" s="12">
        <v>12.72</v>
      </c>
      <c r="AZ199" s="12">
        <v>13.42</v>
      </c>
      <c r="BA199" s="12">
        <v>13.31</v>
      </c>
      <c r="BB199" s="15">
        <v>14.6</v>
      </c>
      <c r="BC199" s="52">
        <v>16.5</v>
      </c>
      <c r="BD199" s="52">
        <v>17.059999999999999</v>
      </c>
      <c r="BE199" s="52">
        <v>17.829999999999998</v>
      </c>
      <c r="BF199" s="52">
        <v>17.100000000000001</v>
      </c>
      <c r="BG199" s="67">
        <v>16.649999999999999</v>
      </c>
      <c r="BH199" s="52">
        <v>16.89</v>
      </c>
      <c r="BI199" s="52">
        <v>19.940000000000001</v>
      </c>
      <c r="BJ199" s="52">
        <v>19.73</v>
      </c>
      <c r="BK199" s="52">
        <v>17.649999999999999</v>
      </c>
      <c r="BL199" s="52">
        <v>16.53</v>
      </c>
      <c r="BM199" s="52">
        <v>15.96</v>
      </c>
      <c r="BN199" s="52">
        <v>17.07</v>
      </c>
      <c r="BO199" s="52">
        <v>16.5</v>
      </c>
      <c r="BP199" s="52" cm="1">
        <f t="array" aca="1" ref="BP199" ca="1">_FV(ED199,"Preço")</f>
        <v>14.95</v>
      </c>
      <c r="BQ199" s="69" t="s">
        <v>195</v>
      </c>
      <c r="BR199" s="36" cm="1">
        <f t="array" aca="1" ref="BR199" ca="1">_FV(ED199,"Média de volume",TRUE)</f>
        <v>4209740</v>
      </c>
      <c r="BS199" s="36">
        <v>4571200</v>
      </c>
      <c r="BT199" s="36" cm="1">
        <f t="array" aca="1" ref="BT199" ca="1">_FV(ED199,"Volume")</f>
        <v>3730700</v>
      </c>
      <c r="BU199" s="24" cm="1">
        <f t="array" aca="1" ref="BU199" ca="1">_FV(ED199,"Beta")</f>
        <v>2.0823</v>
      </c>
      <c r="BV199" s="71" cm="1">
        <f t="array" aca="1" ref="BV199" ca="1">_FV(ED199,"Variação (%)",TRUE)</f>
        <v>-9.9340000000000001E-3</v>
      </c>
      <c r="BX199" s="17" cm="1">
        <f t="array" aca="1" ref="BX199" ca="1">_FV(ED199,"Baixo")</f>
        <v>14.88</v>
      </c>
      <c r="BY199" s="17" cm="1">
        <f t="array" aca="1" ref="BY199" ca="1">_FV(ED199,"Alto")</f>
        <v>15.45</v>
      </c>
      <c r="BZ199" s="24"/>
      <c r="CA199" s="63">
        <f ca="1">SQRT(22.5*(BP199/VLOOKUP(BQ199,Fundamentus!A:U,3,FALSE))*(BP199/VLOOKUP(BQ199,Fundamentus!A:U,4,FALSE)))</f>
        <v>14.951993732088614</v>
      </c>
      <c r="CC199" s="62">
        <f t="shared" ref="CC199:CC262" ca="1" si="241">(BP199 - BO199) / BO199</f>
        <v>-9.3939393939393989E-2</v>
      </c>
      <c r="CD199" s="8"/>
      <c r="CE199" s="61">
        <f t="shared" ref="CE199:CE262" si="242">MIN(A199:BO199)</f>
        <v>7.44</v>
      </c>
      <c r="CF199" s="61">
        <f t="shared" ref="CF199:CF262" si="243">MAX(A199:BO199)</f>
        <v>19.940000000000001</v>
      </c>
      <c r="CG199" s="61">
        <f t="shared" ref="CG199:CG262" si="244">AVERAGE(A199:BO199)</f>
        <v>11.779776119402989</v>
      </c>
      <c r="CH199" s="14"/>
      <c r="CI199" s="35">
        <f t="shared" si="227"/>
        <v>15.622104534376044</v>
      </c>
      <c r="CJ199" s="15">
        <f t="shared" ref="CJ199:CJ262" si="245">FORECAST("15/08/2025", BL199:BO199, $BL$5:$BO$5)</f>
        <v>16.769999999999982</v>
      </c>
      <c r="CK199" s="35">
        <f t="shared" si="228"/>
        <v>17.917895465623921</v>
      </c>
      <c r="CM199" s="14"/>
      <c r="CN199" s="17">
        <f t="shared" si="229"/>
        <v>-3.1866666666666683</v>
      </c>
      <c r="CO199" s="17">
        <f t="shared" si="230"/>
        <v>2.1266666666666669</v>
      </c>
      <c r="CP199" s="17">
        <f t="shared" si="231"/>
        <v>9.3133333333333326</v>
      </c>
      <c r="CQ199" s="38">
        <f t="shared" ref="CQ199:CQ262" si="246">(CF199+CE199+BO199)/3</f>
        <v>14.626666666666667</v>
      </c>
      <c r="CR199" s="17">
        <f t="shared" si="232"/>
        <v>21.813333333333333</v>
      </c>
      <c r="CS199" s="17">
        <f t="shared" si="233"/>
        <v>27.126666666666665</v>
      </c>
      <c r="CT199" s="17">
        <f t="shared" si="234"/>
        <v>34.313333333333333</v>
      </c>
      <c r="CU199" s="2" cm="1">
        <f t="array" aca="1" ref="CU199" ca="1">MAX(_xlfn._xlws.FILTER(CN199:CT199,CN199:CT199&lt;BP199))</f>
        <v>14.626666666666667</v>
      </c>
      <c r="CV199" s="2" cm="1">
        <f t="array" aca="1" ref="CV199" ca="1">MIN(_xlfn._xlws.FILTER($CN199:$CT199,$CN199:$CT199&gt;BP199))</f>
        <v>21.813333333333333</v>
      </c>
      <c r="CW199" s="16">
        <f t="shared" ca="1" si="209"/>
        <v>0.49134001823154039</v>
      </c>
      <c r="CX199" s="20">
        <f t="shared" ca="1" si="210"/>
        <v>-0.24567000911577019</v>
      </c>
      <c r="CY199" s="20">
        <f t="shared" ca="1" si="211"/>
        <v>-0.16378000607718013</v>
      </c>
      <c r="CZ199" s="20">
        <f t="shared" ca="1" si="212"/>
        <v>-9.8268003646308083E-2</v>
      </c>
      <c r="DA199" s="20">
        <f t="shared" ca="1" si="213"/>
        <v>-5.4593335359060045E-2</v>
      </c>
      <c r="DB199" s="20">
        <f t="shared" ca="1" si="214"/>
        <v>-2.8902354013620023E-2</v>
      </c>
      <c r="DC199" s="20">
        <f t="shared" ca="1" si="215"/>
        <v>-1.4889091461561831E-2</v>
      </c>
      <c r="DD199" s="20">
        <f t="shared" ca="1" si="216"/>
        <v>-7.5590772035621602E-3</v>
      </c>
      <c r="DE199" s="21">
        <f t="shared" ca="1" si="217"/>
        <v>7.5590772035621602E-3</v>
      </c>
      <c r="DF199" s="21">
        <f t="shared" ca="1" si="218"/>
        <v>1.4889091461561831E-2</v>
      </c>
      <c r="DG199" s="21">
        <f t="shared" ca="1" si="219"/>
        <v>2.8902354013620023E-2</v>
      </c>
      <c r="DH199" s="21">
        <f t="shared" ca="1" si="220"/>
        <v>5.4593335359060045E-2</v>
      </c>
      <c r="DI199" s="21">
        <f t="shared" ca="1" si="221"/>
        <v>9.8268003646308083E-2</v>
      </c>
      <c r="DJ199" s="21">
        <f t="shared" ca="1" si="222"/>
        <v>0.16378000607718013</v>
      </c>
      <c r="DK199" s="21">
        <f t="shared" ca="1" si="223"/>
        <v>0.24567000911577019</v>
      </c>
      <c r="DM199" s="16" cm="1">
        <f t="array" aca="1" ref="DM199" ca="1">MAX(_xlfn._xlws.FILTER(CX199:DK199,CX199:DK199&lt;BV199))</f>
        <v>-1.4889091461561831E-2</v>
      </c>
      <c r="DN199" s="16" cm="1">
        <f t="array" aca="1" ref="DN199" ca="1">MIN(_xlfn._xlws.FILTER(CX199:DK199,CX199:DK199&gt;BV199))</f>
        <v>-7.5590772035621602E-3</v>
      </c>
      <c r="DO199" s="2" cm="1">
        <f t="array" aca="1" ref="DO199" ca="1">_FV(ED199,"Fechamento anterior",TRUE)</f>
        <v>15.1</v>
      </c>
      <c r="DP199" s="28">
        <f t="shared" ca="1" si="235"/>
        <v>0.67603096702256837</v>
      </c>
      <c r="DQ199" s="15">
        <f t="shared" ca="1" si="224"/>
        <v>14.875174718930417</v>
      </c>
      <c r="DR199" s="15">
        <f t="shared" ca="1" si="225"/>
        <v>14.98585793422621</v>
      </c>
      <c r="DS199" s="9"/>
      <c r="DT199" s="9"/>
      <c r="DU199" s="9"/>
      <c r="DV199" s="89">
        <v>2.5690981345440022E-2</v>
      </c>
      <c r="DW199" s="89">
        <f t="shared" ca="1" si="236"/>
        <v>7.3300142579996704E-3</v>
      </c>
      <c r="DX199" s="72">
        <f t="shared" ca="1" si="237"/>
        <v>-1.5855102267615657</v>
      </c>
      <c r="DY199" s="37"/>
      <c r="DZ199" s="35">
        <f t="shared" ref="DZ199:DZ262" si="247">_xlfn.STDEV.P(BK199:BO199)</f>
        <v>0.57394773281196887</v>
      </c>
      <c r="EA199" s="56"/>
      <c r="EB199" s="56"/>
      <c r="ED199" s="2" t="e" vm="201">
        <v>#VALUE!</v>
      </c>
      <c r="EF199" s="10" cm="1">
        <f t="array" aca="1" ref="EF199" ca="1">_FV(ED199,"Ações em circulação",TRUE)</f>
        <v>308245100</v>
      </c>
      <c r="EG199" s="18">
        <f>VLOOKUP(BQ199,Fundamentus!A:U,5,FALSE)</f>
        <v>0.68300000000000005</v>
      </c>
      <c r="EH199" s="2">
        <f t="shared" ca="1" si="238"/>
        <v>6747092598.8286963</v>
      </c>
      <c r="EI199" s="17">
        <v>368607884.95607615</v>
      </c>
      <c r="EJ199" s="17">
        <f t="shared" ca="1" si="239"/>
        <v>333981083.64202046</v>
      </c>
      <c r="EL199" s="16">
        <f t="shared" ca="1" si="226"/>
        <v>-9.39393939393941E-2</v>
      </c>
      <c r="EM199" s="32" t="str">
        <f>IF(VLOOKUP(BQ199,Fundamentus!A:U,3,FALSE)&lt;15,"Bom",IF(VLOOKUP(BQ199,Fundamentus!A:U,3,FALSE)&gt;15,"Ruim","n/a"))</f>
        <v>Bom</v>
      </c>
      <c r="EN199" s="28" t="str">
        <f>IF(VLOOKUP(BQ199,Fundamentus!A:U,4,FALSE)&lt;1,"Baixo",IF(VLOOKUP(BQ199,Fundamentus!A:U,4,FALSE)&lt;1.5,"Moderado",IF(VLOOKUP(BQ199,Fundamentus!A:U,4,FALSE)&gt;1.5,"Alto","n/a")))</f>
        <v>Alto</v>
      </c>
      <c r="EO199" s="17" t="str">
        <f>IF(VLOOKUP(BQ199,Fundamentus!A:U,8,FALSE)&lt;0,"Risco elevado",IF(VLOOKUP(BQ199,Fundamentus!A:U,8,FALSE)&lt;1,"Saudável",IF(VLOOKUP(BQ199,Fundamentus!A:U,8,FALSE)&lt;3,"Estável",IF(VLOOKUP(BQ199,Fundamentus!A:U,8,FALSE)&gt;3,"Alerta","n/a"))))</f>
        <v>Alerta</v>
      </c>
      <c r="EP199" s="28" t="str">
        <f t="shared" si="240"/>
        <v>Ruim</v>
      </c>
      <c r="EQ199" s="17" t="str">
        <f>IF(VLOOKUP(BQ199,Fundamentus!A:U,12,FALSE)&lt;2,"Subvalorizada",IF(VLOOKUP(BQ199,Fundamentus!A:U,12,FALSE)&lt;6,"Muita barata",IF(VLOOKUP(BQ199,Fundamentus!A:U,12,FALSE)&lt;6,"Barata",IF(VLOOKUP(BQ199,Fundamentus!A:U,12,FALSE)&lt;8,"Atrativa",IF(VLOOKUP(BQ199,Fundamentus!A:U,12,FALSE)&gt;8,"Supervalorizada","n/a")))))</f>
        <v>Muita barata</v>
      </c>
      <c r="ES199" s="17" t="str">
        <f>IF(VLOOKUP(BQ199,Fundamentus!A:U,17,FALSE)&lt;0.1,"Fraco retorno",IF(VLOOKUP(BQ199,Fundamentus!A:U,17,FALSE)&gt;0.1,"Bom retorno","n/a"))</f>
        <v>Bom retorno</v>
      </c>
      <c r="ET199" s="17" t="str">
        <f>IF(VLOOKUP(BQ199,Fundamentus!A:U,16,FALSE)&lt;0.1,"Ineficiente",IF(VLOOKUP(BQ199,Fundamentus!A:U,16,FALSE)&gt;0.1,"Eficiente","n/a"))</f>
        <v>Eficiente</v>
      </c>
      <c r="EU199" s="33" t="str">
        <f>IF(VLOOKUP(BQ199,Fundamentus!A:U,16,FALSE)&lt;0.1,"Oper. Ineficiente",IF(VLOOKUP(BQ199,Fundamentus!A:U,16,FALSE)&gt;0.1,"Oper.Eficiente","n/a"))</f>
        <v>Oper.Eficiente</v>
      </c>
      <c r="EV199" s="34">
        <f>VLOOKUP(BQ199,Fundamentus!A:U,14,FALSE)</f>
        <v>4.9500000000000002E-2</v>
      </c>
      <c r="EW199" s="17" t="str">
        <f>IF(VLOOKUP(BQ199,Fundamentus!A:U,21,FALSE)&lt;0,"Negativo",IF(VLOOKUP(BQ199,Fundamentus!A:U,21,FALSE)&lt;0.05,"Fraco",IF(VLOOKUP(BQ199,Fundamentus!A:U,21,FALSE)&lt;0.1,"Bom",IF(VLOOKUP(BQ199,Fundamentus!A:U,21,FALSE)&gt;0.1,"Muito bom","n/a"))))</f>
        <v>Muito bom</v>
      </c>
      <c r="EY199" s="29" t="str">
        <f>IF(VLOOKUP(BQ199,Fundamentus!A:U,15,FALSE)&gt;1,"Bom",IF(VLOOKUP(BQ199,Fundamentus!A:U,15,FALSE)&lt;1,"Ruim","n/a"))</f>
        <v>Bom</v>
      </c>
      <c r="EZ199" s="17" t="str">
        <f>IF(VLOOKUP(BQ199,Fundamentus!A:U,20,FALSE)&lt;0.5,"Baixa",IF(VLOOKUP(BQ199,Fundamentus!A:U,20,FALSE)&lt;1,"Moderada",IF(VLOOKUP(BQ199,Fundamentus!A:U,20,FALSE)&lt;2,"Alerta",IF(VLOOKUP(BQ199,Fundamentus!A:U,20,FALSE)&gt;2,"Alta","n/a"))))</f>
        <v>Baixa</v>
      </c>
      <c r="FA199" s="10"/>
    </row>
    <row r="200" spans="1:157" s="2" customFormat="1" ht="11.25" hidden="1" x14ac:dyDescent="0.2">
      <c r="A200" s="4">
        <v>10.65</v>
      </c>
      <c r="B200" s="4">
        <v>10.9</v>
      </c>
      <c r="C200" s="4">
        <v>8.99</v>
      </c>
      <c r="D200" s="4">
        <v>8.52</v>
      </c>
      <c r="E200" s="4">
        <v>8.08</v>
      </c>
      <c r="F200" s="4">
        <v>9.08</v>
      </c>
      <c r="G200" s="4">
        <v>8.4</v>
      </c>
      <c r="H200" s="4">
        <v>9.5299999999999994</v>
      </c>
      <c r="I200" s="4">
        <v>12.76</v>
      </c>
      <c r="J200" s="4">
        <v>19</v>
      </c>
      <c r="K200" s="4">
        <v>21</v>
      </c>
      <c r="L200" s="4">
        <v>27.12</v>
      </c>
      <c r="M200" s="4">
        <v>43.87</v>
      </c>
      <c r="N200" s="4">
        <v>66.900000000000006</v>
      </c>
      <c r="O200" s="4">
        <v>97.35</v>
      </c>
      <c r="P200" s="4">
        <v>76.5</v>
      </c>
      <c r="Q200" s="4">
        <v>88.22</v>
      </c>
      <c r="R200" s="4">
        <v>71.260000000000005</v>
      </c>
      <c r="S200" s="4">
        <v>65.89</v>
      </c>
      <c r="T200" s="4">
        <v>67.5</v>
      </c>
      <c r="U200" s="4">
        <v>75</v>
      </c>
      <c r="V200" s="4">
        <v>134.5</v>
      </c>
      <c r="W200" s="4">
        <v>135</v>
      </c>
      <c r="X200" s="4">
        <v>133.01</v>
      </c>
      <c r="Y200" s="4">
        <v>135.21</v>
      </c>
      <c r="Z200" s="4">
        <v>131.55000000000001</v>
      </c>
      <c r="AA200" s="4">
        <v>126.8</v>
      </c>
      <c r="AB200" s="4">
        <v>158</v>
      </c>
      <c r="AC200" s="4">
        <v>168.31</v>
      </c>
      <c r="AD200" s="4">
        <v>170</v>
      </c>
      <c r="AE200" s="4">
        <v>160.99</v>
      </c>
      <c r="AF200" s="4">
        <v>146.61000000000001</v>
      </c>
      <c r="AG200" s="4">
        <v>268.51</v>
      </c>
      <c r="AH200" s="4">
        <v>140</v>
      </c>
      <c r="AI200" s="4">
        <v>134.96</v>
      </c>
      <c r="AJ200" s="4">
        <v>118.87</v>
      </c>
      <c r="AK200" s="4">
        <v>120.25</v>
      </c>
      <c r="AL200" s="4">
        <v>124.3</v>
      </c>
      <c r="AM200" s="4">
        <v>120.32</v>
      </c>
      <c r="AN200" s="4">
        <v>131.54</v>
      </c>
      <c r="AO200" s="4">
        <v>121.33</v>
      </c>
      <c r="AP200" s="4">
        <v>122.04</v>
      </c>
      <c r="AQ200" s="4">
        <v>120.6</v>
      </c>
      <c r="AR200" s="4">
        <v>125.17</v>
      </c>
      <c r="AS200" s="4">
        <v>132.88</v>
      </c>
      <c r="AT200" s="4">
        <v>130.44</v>
      </c>
      <c r="AU200" s="4">
        <v>123.005</v>
      </c>
      <c r="AV200" s="4">
        <v>120.1</v>
      </c>
      <c r="AW200" s="4">
        <v>123.68</v>
      </c>
      <c r="AX200" s="4">
        <v>127.94</v>
      </c>
      <c r="AY200" s="12">
        <v>135.25</v>
      </c>
      <c r="AZ200" s="12">
        <v>141.75</v>
      </c>
      <c r="BA200" s="12">
        <v>122</v>
      </c>
      <c r="BB200" s="15">
        <v>120.01</v>
      </c>
      <c r="BC200" s="52">
        <v>125.01</v>
      </c>
      <c r="BD200" s="52">
        <v>130.66999999999999</v>
      </c>
      <c r="BE200" s="52">
        <v>192</v>
      </c>
      <c r="BF200" s="52">
        <v>178.01</v>
      </c>
      <c r="BG200" s="67">
        <v>169.82</v>
      </c>
      <c r="BH200" s="52">
        <v>172.18</v>
      </c>
      <c r="BI200" s="52">
        <v>159.75</v>
      </c>
      <c r="BJ200" s="52">
        <v>161.49</v>
      </c>
      <c r="BK200" s="52">
        <v>162.13999999999999</v>
      </c>
      <c r="BL200" s="52">
        <v>141.79</v>
      </c>
      <c r="BM200" s="52">
        <v>132.54</v>
      </c>
      <c r="BN200" s="52">
        <v>136</v>
      </c>
      <c r="BO200" s="52">
        <v>15.25</v>
      </c>
      <c r="BP200" s="52" cm="1">
        <f t="array" aca="1" ref="BP200" ca="1">_FV(ED200,"Preço")</f>
        <v>14.01</v>
      </c>
      <c r="BQ200" s="69" t="s">
        <v>196</v>
      </c>
      <c r="BR200" s="36" cm="1">
        <f t="array" aca="1" ref="BR200" ca="1">_FV(ED200,"Média de volume",TRUE)</f>
        <v>554170</v>
      </c>
      <c r="BS200" s="36">
        <v>461200</v>
      </c>
      <c r="BT200" s="36" cm="1">
        <f t="array" aca="1" ref="BT200" ca="1">_FV(ED200,"Volume")</f>
        <v>287300</v>
      </c>
      <c r="BU200" s="24" cm="1">
        <f t="array" aca="1" ref="BU200" ca="1">_FV(ED200,"Beta")</f>
        <v>1.601</v>
      </c>
      <c r="BV200" s="71" cm="1">
        <f t="array" aca="1" ref="BV200" ca="1">_FV(ED200,"Variação (%)",TRUE)</f>
        <v>-2.5051999999999998E-2</v>
      </c>
      <c r="BX200" s="17" cm="1">
        <f t="array" aca="1" ref="BX200" ca="1">_FV(ED200,"Baixo")</f>
        <v>14.01</v>
      </c>
      <c r="BY200" s="17" cm="1">
        <f t="array" aca="1" ref="BY200" ca="1">_FV(ED200,"Alto")</f>
        <v>14.44</v>
      </c>
      <c r="BZ200" s="24"/>
      <c r="CA200" s="63" t="e">
        <f ca="1">SQRT(22.5*(BP200/VLOOKUP(BQ200,Fundamentus!A:U,3,FALSE))*(BP200/VLOOKUP(BQ200,Fundamentus!A:U,4,FALSE)))</f>
        <v>#NUM!</v>
      </c>
      <c r="CC200" s="62">
        <f t="shared" ca="1" si="241"/>
        <v>-8.1311475409836076E-2</v>
      </c>
      <c r="CD200" s="8"/>
      <c r="CE200" s="61">
        <f t="shared" si="242"/>
        <v>8.08</v>
      </c>
      <c r="CF200" s="61">
        <f t="shared" si="243"/>
        <v>268.51</v>
      </c>
      <c r="CG200" s="61">
        <f t="shared" si="244"/>
        <v>107.58350746268657</v>
      </c>
      <c r="CH200" s="14"/>
      <c r="CI200" s="35">
        <f t="shared" si="227"/>
        <v>-91.976157838863358</v>
      </c>
      <c r="CJ200" s="15">
        <f t="shared" si="245"/>
        <v>12.355000000010477</v>
      </c>
      <c r="CK200" s="35">
        <f t="shared" si="228"/>
        <v>116.68615783888431</v>
      </c>
      <c r="CM200" s="14"/>
      <c r="CN200" s="17">
        <f t="shared" si="229"/>
        <v>-334.38000000000005</v>
      </c>
      <c r="CO200" s="17">
        <f t="shared" si="230"/>
        <v>-163.15000000000003</v>
      </c>
      <c r="CP200" s="17">
        <f t="shared" si="231"/>
        <v>-73.950000000000017</v>
      </c>
      <c r="CQ200" s="38">
        <f t="shared" si="246"/>
        <v>97.279999999999987</v>
      </c>
      <c r="CR200" s="17">
        <f t="shared" si="232"/>
        <v>186.47999999999996</v>
      </c>
      <c r="CS200" s="17">
        <f t="shared" si="233"/>
        <v>357.71</v>
      </c>
      <c r="CT200" s="17">
        <f t="shared" si="234"/>
        <v>446.90999999999997</v>
      </c>
      <c r="CU200" s="2" cm="1">
        <f t="array" aca="1" ref="CU200" ca="1">MAX(_xlfn._xlws.FILTER(CN200:CT200,CN200:CT200&lt;BP200))</f>
        <v>-73.950000000000017</v>
      </c>
      <c r="CV200" s="2" cm="1">
        <f t="array" aca="1" ref="CV200" ca="1">MIN(_xlfn._xlws.FILTER($CN200:$CT200,$CN200:$CT200&gt;BP200))</f>
        <v>97.279999999999987</v>
      </c>
      <c r="CW200" s="16">
        <f t="shared" ca="1" si="209"/>
        <v>-2.3154834347532112</v>
      </c>
      <c r="CX200" s="20">
        <f t="shared" ca="1" si="210"/>
        <v>1.1577417173766056</v>
      </c>
      <c r="CY200" s="20">
        <f t="shared" ca="1" si="211"/>
        <v>0.77182781158440372</v>
      </c>
      <c r="CZ200" s="20">
        <f t="shared" ca="1" si="212"/>
        <v>0.46309668695064221</v>
      </c>
      <c r="DA200" s="20">
        <f t="shared" ca="1" si="213"/>
        <v>0.25727593719480124</v>
      </c>
      <c r="DB200" s="20">
        <f t="shared" ca="1" si="214"/>
        <v>0.13620490792665949</v>
      </c>
      <c r="DC200" s="20">
        <f t="shared" ca="1" si="215"/>
        <v>7.0166164689491245E-2</v>
      </c>
      <c r="DD200" s="20">
        <f t="shared" ca="1" si="216"/>
        <v>3.5622822073126323E-2</v>
      </c>
      <c r="DE200" s="21">
        <f t="shared" ca="1" si="217"/>
        <v>-3.5622822073126323E-2</v>
      </c>
      <c r="DF200" s="21">
        <f t="shared" ca="1" si="218"/>
        <v>-7.0166164689491245E-2</v>
      </c>
      <c r="DG200" s="21">
        <f t="shared" ca="1" si="219"/>
        <v>-0.13620490792665949</v>
      </c>
      <c r="DH200" s="21">
        <f t="shared" ca="1" si="220"/>
        <v>-0.25727593719480124</v>
      </c>
      <c r="DI200" s="21">
        <f t="shared" ca="1" si="221"/>
        <v>-0.46309668695064221</v>
      </c>
      <c r="DJ200" s="21">
        <f t="shared" ca="1" si="222"/>
        <v>-0.77182781158440372</v>
      </c>
      <c r="DK200" s="21">
        <f t="shared" ca="1" si="223"/>
        <v>-1.1577417173766056</v>
      </c>
      <c r="DM200" s="16" cm="1">
        <f t="array" aca="1" ref="DM200" ca="1">MAX(_xlfn._xlws.FILTER(CX200:DK200,CX200:DK200&lt;BV200))</f>
        <v>-3.5622822073126323E-2</v>
      </c>
      <c r="DN200" s="16" cm="1">
        <f t="array" aca="1" ref="DN200" ca="1">MIN(_xlfn._xlws.FILTER(CX200:DK200,CX200:DK200&gt;BV200))</f>
        <v>3.5622822073126323E-2</v>
      </c>
      <c r="DO200" s="2" cm="1">
        <f t="array" aca="1" ref="DO200" ca="1">_FV(ED200,"Fechamento anterior",TRUE)</f>
        <v>14.37</v>
      </c>
      <c r="DP200" s="28">
        <f t="shared" ca="1" si="235"/>
        <v>0.14836878988168314</v>
      </c>
      <c r="DQ200" s="15">
        <f t="shared" ca="1" si="224"/>
        <v>13.858100046809174</v>
      </c>
      <c r="DR200" s="15">
        <f t="shared" ca="1" si="225"/>
        <v>14.881899953190825</v>
      </c>
      <c r="DS200" s="9"/>
      <c r="DT200" s="9"/>
      <c r="DU200" s="9"/>
      <c r="DV200" s="89">
        <v>3.4543342616364922E-2</v>
      </c>
      <c r="DW200" s="89">
        <f t="shared" ca="1" si="236"/>
        <v>7.1245644146252646E-2</v>
      </c>
      <c r="DX200" s="72">
        <f t="shared" ca="1" si="237"/>
        <v>1.5862950572689501E-2</v>
      </c>
      <c r="DY200" s="37"/>
      <c r="DZ200" s="35">
        <f t="shared" si="247"/>
        <v>52.165578919436918</v>
      </c>
      <c r="EA200" s="56"/>
      <c r="EB200" s="56"/>
      <c r="ED200" s="2" t="e" vm="202">
        <v>#VALUE!</v>
      </c>
      <c r="EF200" s="10" cm="1">
        <f t="array" aca="1" ref="EF200" ca="1">_FV(ED200,"Ações em circulação",TRUE)</f>
        <v>1670419000</v>
      </c>
      <c r="EG200" s="18">
        <f>VLOOKUP(BQ200,Fundamentus!A:U,5,FALSE)</f>
        <v>3.4649999999999999</v>
      </c>
      <c r="EH200" s="2">
        <f t="shared" ca="1" si="238"/>
        <v>6753988510.8225107</v>
      </c>
      <c r="EI200" s="17">
        <v>-144829907.09235209</v>
      </c>
      <c r="EJ200" s="17">
        <f t="shared" ca="1" si="239"/>
        <v>-133053573.66320345</v>
      </c>
      <c r="EL200" s="16">
        <f t="shared" ca="1" si="226"/>
        <v>-8.1311475409836187E-2</v>
      </c>
      <c r="EM200" s="32" t="str">
        <f>IF(VLOOKUP(BQ200,Fundamentus!A:U,3,FALSE)&lt;15,"Bom",IF(VLOOKUP(BQ200,Fundamentus!A:U,3,FALSE)&gt;15,"Ruim","n/a"))</f>
        <v>Bom</v>
      </c>
      <c r="EN200" s="28" t="str">
        <f>IF(VLOOKUP(BQ200,Fundamentus!A:U,4,FALSE)&lt;1,"Baixo",IF(VLOOKUP(BQ200,Fundamentus!A:U,4,FALSE)&lt;1.5,"Moderado",IF(VLOOKUP(BQ200,Fundamentus!A:U,4,FALSE)&gt;1.5,"Alto","n/a")))</f>
        <v>Alto</v>
      </c>
      <c r="EO200" s="17" t="str">
        <f>IF(VLOOKUP(BQ200,Fundamentus!A:U,8,FALSE)&lt;0,"Risco elevado",IF(VLOOKUP(BQ200,Fundamentus!A:U,8,FALSE)&lt;1,"Saudável",IF(VLOOKUP(BQ200,Fundamentus!A:U,8,FALSE)&lt;3,"Estável",IF(VLOOKUP(BQ200,Fundamentus!A:U,8,FALSE)&gt;3,"Alerta","n/a"))))</f>
        <v>Alerta</v>
      </c>
      <c r="EP200" s="28" t="str">
        <f t="shared" si="240"/>
        <v>Bom</v>
      </c>
      <c r="EQ200" s="17" t="str">
        <f>IF(VLOOKUP(BQ200,Fundamentus!A:U,12,FALSE)&lt;2,"Subvalorizada",IF(VLOOKUP(BQ200,Fundamentus!A:U,12,FALSE)&lt;6,"Muita barata",IF(VLOOKUP(BQ200,Fundamentus!A:U,12,FALSE)&lt;6,"Barata",IF(VLOOKUP(BQ200,Fundamentus!A:U,12,FALSE)&lt;8,"Atrativa",IF(VLOOKUP(BQ200,Fundamentus!A:U,12,FALSE)&gt;8,"Supervalorizada","n/a")))))</f>
        <v>Supervalorizada</v>
      </c>
      <c r="ES200" s="17" t="str">
        <f>IF(VLOOKUP(BQ200,Fundamentus!A:U,17,FALSE)&lt;0.1,"Fraco retorno",IF(VLOOKUP(BQ200,Fundamentus!A:U,17,FALSE)&gt;0.1,"Bom retorno","n/a"))</f>
        <v>Fraco retorno</v>
      </c>
      <c r="ET200" s="17" t="str">
        <f>IF(VLOOKUP(BQ200,Fundamentus!A:U,16,FALSE)&lt;0.1,"Ineficiente",IF(VLOOKUP(BQ200,Fundamentus!A:U,16,FALSE)&gt;0.1,"Eficiente","n/a"))</f>
        <v>Ineficiente</v>
      </c>
      <c r="EU200" s="33" t="str">
        <f>IF(VLOOKUP(BQ200,Fundamentus!A:U,16,FALSE)&lt;0.1,"Oper. Ineficiente",IF(VLOOKUP(BQ200,Fundamentus!A:U,16,FALSE)&gt;0.1,"Oper.Eficiente","n/a"))</f>
        <v>Oper. Ineficiente</v>
      </c>
      <c r="EV200" s="34">
        <f>VLOOKUP(BQ200,Fundamentus!A:U,14,FALSE)</f>
        <v>-1.9699999999999999E-2</v>
      </c>
      <c r="EW200" s="17" t="str">
        <f>IF(VLOOKUP(BQ200,Fundamentus!A:U,21,FALSE)&lt;0,"Negativo",IF(VLOOKUP(BQ200,Fundamentus!A:U,21,FALSE)&lt;0.05,"Fraco",IF(VLOOKUP(BQ200,Fundamentus!A:U,21,FALSE)&lt;0.1,"Bom",IF(VLOOKUP(BQ200,Fundamentus!A:U,21,FALSE)&gt;0.1,"Muito bom","n/a"))))</f>
        <v>Muito bom</v>
      </c>
      <c r="EY200" s="29" t="str">
        <f>IF(VLOOKUP(BQ200,Fundamentus!A:U,15,FALSE)&gt;1,"Bom",IF(VLOOKUP(BQ200,Fundamentus!A:U,15,FALSE)&lt;1,"Ruim","n/a"))</f>
        <v>Bom</v>
      </c>
      <c r="EZ200" s="17" t="str">
        <f>IF(VLOOKUP(BQ200,Fundamentus!A:U,20,FALSE)&lt;0.5,"Baixa",IF(VLOOKUP(BQ200,Fundamentus!A:U,20,FALSE)&lt;1,"Moderada",IF(VLOOKUP(BQ200,Fundamentus!A:U,20,FALSE)&lt;2,"Alerta",IF(VLOOKUP(BQ200,Fundamentus!A:U,20,FALSE)&gt;2,"Alta","n/a"))))</f>
        <v>Alta</v>
      </c>
      <c r="FA200" s="10"/>
    </row>
    <row r="201" spans="1:157" s="2" customFormat="1" ht="11.25" hidden="1" x14ac:dyDescent="0.2">
      <c r="A201" s="4">
        <v>1.06</v>
      </c>
      <c r="B201" s="4">
        <v>1.04</v>
      </c>
      <c r="C201" s="4">
        <v>0.98</v>
      </c>
      <c r="D201" s="4">
        <v>0.95</v>
      </c>
      <c r="E201" s="4">
        <v>0.97</v>
      </c>
      <c r="F201" s="4">
        <v>0.84</v>
      </c>
      <c r="G201" s="4">
        <v>0.8</v>
      </c>
      <c r="H201" s="4">
        <v>0.79</v>
      </c>
      <c r="I201" s="4">
        <v>0.82</v>
      </c>
      <c r="J201" s="4">
        <v>0.92</v>
      </c>
      <c r="K201" s="4">
        <v>0.99</v>
      </c>
      <c r="L201" s="4">
        <v>1.1000000000000001</v>
      </c>
      <c r="M201" s="4">
        <v>1.1100000000000001</v>
      </c>
      <c r="N201" s="4">
        <v>1.1499999999999999</v>
      </c>
      <c r="O201" s="4">
        <v>1.18</v>
      </c>
      <c r="P201" s="4">
        <v>1.17</v>
      </c>
      <c r="Q201" s="4">
        <v>1.35</v>
      </c>
      <c r="R201" s="4">
        <v>1.31</v>
      </c>
      <c r="S201" s="4">
        <v>1.1499999999999999</v>
      </c>
      <c r="T201" s="4">
        <v>1.1599999999999999</v>
      </c>
      <c r="U201" s="4">
        <v>1.0900000000000001</v>
      </c>
      <c r="V201" s="4">
        <v>1.1399999999999999</v>
      </c>
      <c r="W201" s="4">
        <v>1.1599999999999999</v>
      </c>
      <c r="X201" s="4">
        <v>31.5</v>
      </c>
      <c r="Y201" s="4">
        <v>28.34</v>
      </c>
      <c r="Z201" s="4">
        <v>24.76</v>
      </c>
      <c r="AA201" s="4">
        <v>24.13</v>
      </c>
      <c r="AB201" s="4">
        <v>26.86</v>
      </c>
      <c r="AC201" s="4">
        <v>27.46</v>
      </c>
      <c r="AD201" s="4">
        <v>29.52</v>
      </c>
      <c r="AE201" s="4">
        <v>27.4</v>
      </c>
      <c r="AF201" s="4">
        <v>26.32</v>
      </c>
      <c r="AG201" s="4">
        <v>26.81</v>
      </c>
      <c r="AH201" s="4">
        <v>24.68</v>
      </c>
      <c r="AI201" s="4">
        <v>24.64</v>
      </c>
      <c r="AJ201" s="4">
        <v>21.82</v>
      </c>
      <c r="AK201" s="4">
        <v>19.3</v>
      </c>
      <c r="AL201" s="4">
        <v>20.49</v>
      </c>
      <c r="AM201" s="4">
        <v>21.47</v>
      </c>
      <c r="AN201" s="4">
        <v>20.329999999999998</v>
      </c>
      <c r="AO201" s="4">
        <v>20.27</v>
      </c>
      <c r="AP201" s="4">
        <v>20.399999999999999</v>
      </c>
      <c r="AQ201" s="4">
        <v>20.68</v>
      </c>
      <c r="AR201" s="4">
        <v>21.76</v>
      </c>
      <c r="AS201" s="4">
        <v>21.91</v>
      </c>
      <c r="AT201" s="4">
        <v>22.25</v>
      </c>
      <c r="AU201" s="4">
        <v>22.99</v>
      </c>
      <c r="AV201" s="4">
        <v>22.37</v>
      </c>
      <c r="AW201" s="4">
        <v>19.34</v>
      </c>
      <c r="AX201" s="4">
        <v>20.3</v>
      </c>
      <c r="AY201" s="12">
        <v>19.95</v>
      </c>
      <c r="AZ201" s="12">
        <v>20.02</v>
      </c>
      <c r="BA201" s="12">
        <v>19.8</v>
      </c>
      <c r="BB201" s="15">
        <v>20.190000000000001</v>
      </c>
      <c r="BC201" s="52">
        <v>20.21</v>
      </c>
      <c r="BD201" s="52">
        <v>26.36</v>
      </c>
      <c r="BE201" s="52">
        <v>26</v>
      </c>
      <c r="BF201" s="52">
        <v>26.41</v>
      </c>
      <c r="BG201" s="67">
        <v>26.56</v>
      </c>
      <c r="BH201" s="52">
        <v>26.5</v>
      </c>
      <c r="BI201" s="52">
        <v>26</v>
      </c>
      <c r="BJ201" s="52">
        <v>25.5</v>
      </c>
      <c r="BK201" s="52">
        <v>24.48</v>
      </c>
      <c r="BL201" s="52">
        <v>25</v>
      </c>
      <c r="BM201" s="52">
        <v>25.6</v>
      </c>
      <c r="BN201" s="52">
        <v>25.37</v>
      </c>
      <c r="BO201" s="52">
        <v>25.1</v>
      </c>
      <c r="BP201" s="52" cm="1">
        <f t="array" aca="1" ref="BP201" ca="1">_FV(ED201,"Preço")</f>
        <v>26</v>
      </c>
      <c r="BQ201" s="69" t="s">
        <v>197</v>
      </c>
      <c r="BR201" s="36" cm="1">
        <f t="array" aca="1" ref="BR201" ca="1">_FV(ED201,"Média de volume",TRUE)</f>
        <v>10250</v>
      </c>
      <c r="BS201" s="36">
        <v>9100</v>
      </c>
      <c r="BT201" s="36" cm="1">
        <f t="array" aca="1" ref="BT201" ca="1">_FV(ED201,"Volume")</f>
        <v>9800</v>
      </c>
      <c r="BU201" s="24" cm="1">
        <f t="array" aca="1" ref="BU201" ca="1">_FV(ED201,"Beta")</f>
        <v>1.0531999999999999</v>
      </c>
      <c r="BV201" s="71" cm="1">
        <f t="array" aca="1" ref="BV201" ca="1">_FV(ED201,"Variação (%)",TRUE)</f>
        <v>1.5625E-2</v>
      </c>
      <c r="BX201" s="17" cm="1">
        <f t="array" aca="1" ref="BX201" ca="1">_FV(ED201,"Baixo")</f>
        <v>25.4</v>
      </c>
      <c r="BY201" s="17" cm="1">
        <f t="array" aca="1" ref="BY201" ca="1">_FV(ED201,"Alto")</f>
        <v>26</v>
      </c>
      <c r="BZ201" s="24"/>
      <c r="CA201" s="63" t="e">
        <f ca="1">SQRT(22.5*(BP201/VLOOKUP(BQ201,Fundamentus!A:U,3,FALSE))*(BP201/VLOOKUP(BQ201,Fundamentus!A:U,4,FALSE)))</f>
        <v>#NUM!</v>
      </c>
      <c r="CC201" s="62">
        <f t="shared" ca="1" si="241"/>
        <v>3.5856573705179223E-2</v>
      </c>
      <c r="CD201" s="8"/>
      <c r="CE201" s="61">
        <f t="shared" si="242"/>
        <v>0.79</v>
      </c>
      <c r="CF201" s="61">
        <f t="shared" si="243"/>
        <v>31.5</v>
      </c>
      <c r="CG201" s="61">
        <f t="shared" si="244"/>
        <v>15.990746268656714</v>
      </c>
      <c r="CH201" s="14"/>
      <c r="CI201" s="35">
        <f t="shared" si="227"/>
        <v>24.527741787763244</v>
      </c>
      <c r="CJ201" s="15">
        <f t="shared" si="245"/>
        <v>25.284999999999997</v>
      </c>
      <c r="CK201" s="35">
        <f t="shared" si="228"/>
        <v>26.042258212236749</v>
      </c>
      <c r="CM201" s="14"/>
      <c r="CN201" s="17">
        <f t="shared" si="229"/>
        <v>-23.950000000000003</v>
      </c>
      <c r="CO201" s="17">
        <f t="shared" si="230"/>
        <v>-11.580000000000002</v>
      </c>
      <c r="CP201" s="17">
        <f t="shared" si="231"/>
        <v>6.759999999999998</v>
      </c>
      <c r="CQ201" s="38">
        <f t="shared" si="246"/>
        <v>19.13</v>
      </c>
      <c r="CR201" s="17">
        <f t="shared" si="232"/>
        <v>37.47</v>
      </c>
      <c r="CS201" s="17">
        <f t="shared" si="233"/>
        <v>49.84</v>
      </c>
      <c r="CT201" s="17">
        <f t="shared" si="234"/>
        <v>68.180000000000007</v>
      </c>
      <c r="CU201" s="2" cm="1">
        <f t="array" aca="1" ref="CU201" ca="1">MAX(_xlfn._xlws.FILTER(CN201:CT201,CN201:CT201&lt;BP201))</f>
        <v>19.13</v>
      </c>
      <c r="CV201" s="2" cm="1">
        <f t="array" aca="1" ref="CV201" ca="1">MIN(_xlfn._xlws.FILTER($CN201:$CT201,$CN201:$CT201&gt;BP201))</f>
        <v>37.47</v>
      </c>
      <c r="CW201" s="16">
        <f t="shared" ca="1" si="209"/>
        <v>0.95870360690015688</v>
      </c>
      <c r="CX201" s="20">
        <f t="shared" ca="1" si="210"/>
        <v>-0.47935180345007844</v>
      </c>
      <c r="CY201" s="20">
        <f t="shared" ca="1" si="211"/>
        <v>-0.31956786896671896</v>
      </c>
      <c r="CZ201" s="20">
        <f t="shared" ca="1" si="212"/>
        <v>-0.19174072138003137</v>
      </c>
      <c r="DA201" s="20">
        <f t="shared" ca="1" si="213"/>
        <v>-0.10652262298890632</v>
      </c>
      <c r="DB201" s="20">
        <f t="shared" ca="1" si="214"/>
        <v>-5.639432981765629E-2</v>
      </c>
      <c r="DC201" s="20">
        <f t="shared" ca="1" si="215"/>
        <v>-2.9051624451519906E-2</v>
      </c>
      <c r="DD201" s="20">
        <f t="shared" ca="1" si="216"/>
        <v>-1.4749286260002414E-2</v>
      </c>
      <c r="DE201" s="21">
        <f t="shared" ca="1" si="217"/>
        <v>1.4749286260002414E-2</v>
      </c>
      <c r="DF201" s="21">
        <f t="shared" ca="1" si="218"/>
        <v>2.9051624451519906E-2</v>
      </c>
      <c r="DG201" s="21">
        <f t="shared" ca="1" si="219"/>
        <v>5.639432981765629E-2</v>
      </c>
      <c r="DH201" s="21">
        <f t="shared" ca="1" si="220"/>
        <v>0.10652262298890632</v>
      </c>
      <c r="DI201" s="21">
        <f t="shared" ca="1" si="221"/>
        <v>0.19174072138003137</v>
      </c>
      <c r="DJ201" s="21">
        <f t="shared" ca="1" si="222"/>
        <v>0.31956786896671896</v>
      </c>
      <c r="DK201" s="21">
        <f t="shared" ca="1" si="223"/>
        <v>0.47935180345007844</v>
      </c>
      <c r="DM201" s="16" cm="1">
        <f t="array" aca="1" ref="DM201" ca="1">MAX(_xlfn._xlws.FILTER(CX201:DK201,CX201:DK201&lt;BV201))</f>
        <v>1.4749286260002414E-2</v>
      </c>
      <c r="DN201" s="16" cm="1">
        <f t="array" aca="1" ref="DN201" ca="1">MIN(_xlfn._xlws.FILTER(CX201:DK201,CX201:DK201&gt;BV201))</f>
        <v>2.9051624451519906E-2</v>
      </c>
      <c r="DO201" s="2" cm="1">
        <f t="array" aca="1" ref="DO201" ca="1">_FV(ED201,"Fechamento anterior",TRUE)</f>
        <v>25.6</v>
      </c>
      <c r="DP201" s="28">
        <f t="shared" ca="1" si="235"/>
        <v>6.1228711576470501E-2</v>
      </c>
      <c r="DQ201" s="15">
        <f t="shared" ca="1" si="224"/>
        <v>25.977581728256062</v>
      </c>
      <c r="DR201" s="15">
        <f t="shared" ca="1" si="225"/>
        <v>26.34372158595891</v>
      </c>
      <c r="DS201" s="9"/>
      <c r="DT201" s="9"/>
      <c r="DU201" s="9"/>
      <c r="DV201" s="89">
        <v>1.4302338191517492E-2</v>
      </c>
      <c r="DW201" s="89">
        <f t="shared" ca="1" si="236"/>
        <v>1.4302338191517492E-2</v>
      </c>
      <c r="DX201" s="72">
        <f t="shared" ca="1" si="237"/>
        <v>0.94419576895451662</v>
      </c>
      <c r="DY201" s="37"/>
      <c r="DZ201" s="35">
        <f t="shared" si="247"/>
        <v>0.3786291061183758</v>
      </c>
      <c r="EA201" s="56"/>
      <c r="EB201" s="56"/>
      <c r="ED201" s="2" t="e" vm="203">
        <v>#VALUE!</v>
      </c>
      <c r="EF201" s="10" cm="1">
        <f t="array" aca="1" ref="EF201" ca="1">_FV(ED201,"Ações em circulação",TRUE)</f>
        <v>9140940</v>
      </c>
      <c r="EG201" s="18">
        <f>VLOOKUP(BQ201,Fundamentus!A:U,5,FALSE)</f>
        <v>0.85299999999999998</v>
      </c>
      <c r="EH201" s="2">
        <f t="shared" ca="1" si="238"/>
        <v>278621852.28604925</v>
      </c>
      <c r="EI201" s="17">
        <v>-30421326.941852286</v>
      </c>
      <c r="EJ201" s="17">
        <f t="shared" ca="1" si="239"/>
        <v>-31512131.493552171</v>
      </c>
      <c r="EL201" s="16">
        <f t="shared" ca="1" si="226"/>
        <v>3.5856573705179251E-2</v>
      </c>
      <c r="EM201" s="32" t="str">
        <f>IF(VLOOKUP(BQ201,Fundamentus!A:U,3,FALSE)&lt;15,"Bom",IF(VLOOKUP(BQ201,Fundamentus!A:U,3,FALSE)&gt;15,"Ruim","n/a"))</f>
        <v>Bom</v>
      </c>
      <c r="EN201" s="28" t="str">
        <f>IF(VLOOKUP(BQ201,Fundamentus!A:U,4,FALSE)&lt;1,"Baixo",IF(VLOOKUP(BQ201,Fundamentus!A:U,4,FALSE)&lt;1.5,"Moderado",IF(VLOOKUP(BQ201,Fundamentus!A:U,4,FALSE)&gt;1.5,"Alto","n/a")))</f>
        <v>Baixo</v>
      </c>
      <c r="EO201" s="17" t="str">
        <f>IF(VLOOKUP(BQ201,Fundamentus!A:U,8,FALSE)&lt;0,"Risco elevado",IF(VLOOKUP(BQ201,Fundamentus!A:U,8,FALSE)&lt;1,"Saudável",IF(VLOOKUP(BQ201,Fundamentus!A:U,8,FALSE)&lt;3,"Estável",IF(VLOOKUP(BQ201,Fundamentus!A:U,8,FALSE)&gt;3,"Alerta","n/a"))))</f>
        <v>Estável</v>
      </c>
      <c r="EP201" s="28" t="str">
        <f t="shared" si="240"/>
        <v>Ruim</v>
      </c>
      <c r="EQ201" s="17" t="str">
        <f>IF(VLOOKUP(BQ201,Fundamentus!A:U,12,FALSE)&lt;2,"Subvalorizada",IF(VLOOKUP(BQ201,Fundamentus!A:U,12,FALSE)&lt;6,"Muita barata",IF(VLOOKUP(BQ201,Fundamentus!A:U,12,FALSE)&lt;6,"Barata",IF(VLOOKUP(BQ201,Fundamentus!A:U,12,FALSE)&lt;8,"Atrativa",IF(VLOOKUP(BQ201,Fundamentus!A:U,12,FALSE)&gt;8,"Supervalorizada","n/a")))))</f>
        <v>Muita barata</v>
      </c>
      <c r="ES201" s="17" t="str">
        <f>IF(VLOOKUP(BQ201,Fundamentus!A:U,17,FALSE)&lt;0.1,"Fraco retorno",IF(VLOOKUP(BQ201,Fundamentus!A:U,17,FALSE)&gt;0.1,"Bom retorno","n/a"))</f>
        <v>Fraco retorno</v>
      </c>
      <c r="ET201" s="17" t="str">
        <f>IF(VLOOKUP(BQ201,Fundamentus!A:U,16,FALSE)&lt;0.1,"Ineficiente",IF(VLOOKUP(BQ201,Fundamentus!A:U,16,FALSE)&gt;0.1,"Eficiente","n/a"))</f>
        <v>Ineficiente</v>
      </c>
      <c r="EU201" s="33" t="str">
        <f>IF(VLOOKUP(BQ201,Fundamentus!A:U,16,FALSE)&lt;0.1,"Oper. Ineficiente",IF(VLOOKUP(BQ201,Fundamentus!A:U,16,FALSE)&gt;0.1,"Oper.Eficiente","n/a"))</f>
        <v>Oper. Ineficiente</v>
      </c>
      <c r="EV201" s="34">
        <f>VLOOKUP(BQ201,Fundamentus!A:U,14,FALSE)</f>
        <v>-0.11310000000000001</v>
      </c>
      <c r="EW201" s="17" t="str">
        <f>IF(VLOOKUP(BQ201,Fundamentus!A:U,21,FALSE)&lt;0,"Negativo",IF(VLOOKUP(BQ201,Fundamentus!A:U,21,FALSE)&lt;0.05,"Fraco",IF(VLOOKUP(BQ201,Fundamentus!A:U,21,FALSE)&lt;0.1,"Bom",IF(VLOOKUP(BQ201,Fundamentus!A:U,21,FALSE)&gt;0.1,"Muito bom","n/a"))))</f>
        <v>Bom</v>
      </c>
      <c r="EY201" s="29" t="str">
        <f>IF(VLOOKUP(BQ201,Fundamentus!A:U,15,FALSE)&gt;1,"Bom",IF(VLOOKUP(BQ201,Fundamentus!A:U,15,FALSE)&lt;1,"Ruim","n/a"))</f>
        <v>Bom</v>
      </c>
      <c r="EZ201" s="17" t="str">
        <f>IF(VLOOKUP(BQ201,Fundamentus!A:U,20,FALSE)&lt;0.5,"Baixa",IF(VLOOKUP(BQ201,Fundamentus!A:U,20,FALSE)&lt;1,"Moderada",IF(VLOOKUP(BQ201,Fundamentus!A:U,20,FALSE)&lt;2,"Alerta",IF(VLOOKUP(BQ201,Fundamentus!A:U,20,FALSE)&gt;2,"Alta","n/a"))))</f>
        <v>Baixa</v>
      </c>
      <c r="FA201" s="10"/>
    </row>
    <row r="202" spans="1:157" s="2" customFormat="1" ht="11.25" hidden="1" x14ac:dyDescent="0.2">
      <c r="A202" s="4">
        <v>8.85</v>
      </c>
      <c r="B202" s="4">
        <v>9.06</v>
      </c>
      <c r="C202" s="4">
        <v>9.9499999999999993</v>
      </c>
      <c r="D202" s="4">
        <v>10</v>
      </c>
      <c r="E202" s="4">
        <v>9.57</v>
      </c>
      <c r="F202" s="4">
        <v>9.6999999999999993</v>
      </c>
      <c r="G202" s="4">
        <v>9.0399999999999991</v>
      </c>
      <c r="H202" s="4">
        <v>8.27</v>
      </c>
      <c r="I202" s="4">
        <v>8.26</v>
      </c>
      <c r="J202" s="4">
        <v>8.5299999999999994</v>
      </c>
      <c r="K202" s="4">
        <v>9.24</v>
      </c>
      <c r="L202" s="4">
        <v>8.8699999999999992</v>
      </c>
      <c r="M202" s="4">
        <v>8.83</v>
      </c>
      <c r="N202" s="4">
        <v>9.3000000000000007</v>
      </c>
      <c r="O202" s="4">
        <v>9.8000000000000007</v>
      </c>
      <c r="P202" s="4">
        <v>9.4600000000000009</v>
      </c>
      <c r="Q202" s="4">
        <v>9.2899999999999991</v>
      </c>
      <c r="R202" s="4">
        <v>9.5299999999999994</v>
      </c>
      <c r="S202" s="4">
        <v>9.61</v>
      </c>
      <c r="T202" s="4">
        <v>9.43</v>
      </c>
      <c r="U202" s="4">
        <v>8.8000000000000007</v>
      </c>
      <c r="V202" s="4">
        <v>8.7899999999999991</v>
      </c>
      <c r="W202" s="4">
        <v>8.66</v>
      </c>
      <c r="X202" s="4">
        <v>8.24</v>
      </c>
      <c r="Y202" s="4">
        <v>8.1300000000000008</v>
      </c>
      <c r="Z202" s="4">
        <v>7.94</v>
      </c>
      <c r="AA202" s="4">
        <v>7.79</v>
      </c>
      <c r="AB202" s="4">
        <v>7.84</v>
      </c>
      <c r="AC202" s="4">
        <v>7.73</v>
      </c>
      <c r="AD202" s="4">
        <v>7.72</v>
      </c>
      <c r="AE202" s="4">
        <v>7.16</v>
      </c>
      <c r="AF202" s="4">
        <v>6.91</v>
      </c>
      <c r="AG202" s="4">
        <v>6.81</v>
      </c>
      <c r="AH202" s="4">
        <v>6.1</v>
      </c>
      <c r="AI202" s="4">
        <v>5.99</v>
      </c>
      <c r="AJ202" s="4">
        <v>5.6</v>
      </c>
      <c r="AK202" s="4">
        <v>4.91</v>
      </c>
      <c r="AL202" s="4">
        <v>4.68</v>
      </c>
      <c r="AM202" s="4">
        <v>4.6900000000000004</v>
      </c>
      <c r="AN202" s="4">
        <v>4.76</v>
      </c>
      <c r="AO202" s="4">
        <v>4.3899999999999997</v>
      </c>
      <c r="AP202" s="4">
        <v>4.5</v>
      </c>
      <c r="AQ202" s="4">
        <v>4.33</v>
      </c>
      <c r="AR202" s="4">
        <v>3.55</v>
      </c>
      <c r="AS202" s="4">
        <v>3.81</v>
      </c>
      <c r="AT202" s="4">
        <v>3.8</v>
      </c>
      <c r="AU202" s="4">
        <v>3.8450000000000002</v>
      </c>
      <c r="AV202" s="4">
        <v>3.93</v>
      </c>
      <c r="AW202" s="4">
        <v>3.96</v>
      </c>
      <c r="AX202" s="4">
        <v>3.97</v>
      </c>
      <c r="AY202" s="12">
        <v>4.09</v>
      </c>
      <c r="AZ202" s="12">
        <v>4.2699999999999996</v>
      </c>
      <c r="BA202" s="12">
        <v>4.3600000000000003</v>
      </c>
      <c r="BB202" s="15">
        <v>4.4400000000000004</v>
      </c>
      <c r="BC202" s="52">
        <v>5.0199999999999996</v>
      </c>
      <c r="BD202" s="52">
        <v>4.82</v>
      </c>
      <c r="BE202" s="52">
        <v>4.75</v>
      </c>
      <c r="BF202" s="52">
        <v>4.76</v>
      </c>
      <c r="BG202" s="67">
        <v>5.0599999999999996</v>
      </c>
      <c r="BH202" s="52">
        <v>5.0599999999999996</v>
      </c>
      <c r="BI202" s="52">
        <v>5.04</v>
      </c>
      <c r="BJ202" s="52">
        <v>5.31</v>
      </c>
      <c r="BK202" s="52">
        <v>5.14</v>
      </c>
      <c r="BL202" s="52">
        <v>4.9800000000000004</v>
      </c>
      <c r="BM202" s="52">
        <v>4.84</v>
      </c>
      <c r="BN202" s="52">
        <v>4.5199999999999996</v>
      </c>
      <c r="BO202" s="52">
        <v>4.59</v>
      </c>
      <c r="BP202" s="52" cm="1">
        <f t="array" aca="1" ref="BP202" ca="1">_FV(ED202,"Preço")</f>
        <v>4.43</v>
      </c>
      <c r="BQ202" s="69" t="s">
        <v>251</v>
      </c>
      <c r="BR202" s="36" cm="1">
        <f t="array" aca="1" ref="BR202" ca="1">_FV(ED202,"Média de volume",TRUE)</f>
        <v>1080170</v>
      </c>
      <c r="BS202" s="36">
        <v>1062100</v>
      </c>
      <c r="BT202" s="36" cm="1">
        <f t="array" aca="1" ref="BT202" ca="1">_FV(ED202,"Volume")</f>
        <v>992700</v>
      </c>
      <c r="BU202" s="24" cm="1">
        <f t="array" aca="1" ref="BU202" ca="1">_FV(ED202,"Beta")</f>
        <v>0.3982</v>
      </c>
      <c r="BV202" s="71" cm="1">
        <f t="array" aca="1" ref="BV202" ca="1">_FV(ED202,"Variação (%)",TRUE)</f>
        <v>-1.3363E-2</v>
      </c>
      <c r="BX202" s="17" cm="1">
        <f t="array" aca="1" ref="BX202" ca="1">_FV(ED202,"Baixo")</f>
        <v>4.3899999999999997</v>
      </c>
      <c r="BY202" s="17" cm="1">
        <f t="array" aca="1" ref="BY202" ca="1">_FV(ED202,"Alto")</f>
        <v>4.53</v>
      </c>
      <c r="BZ202" s="24"/>
      <c r="CA202" s="63">
        <f ca="1">SQRT(22.5*(BP202/VLOOKUP(BQ202,Fundamentus!A:U,3,FALSE))*(BP202/VLOOKUP(BQ202,Fundamentus!A:U,4,FALSE)))</f>
        <v>10.332983168226422</v>
      </c>
      <c r="CC202" s="62">
        <f t="shared" ca="1" si="241"/>
        <v>-3.4858387799564301E-2</v>
      </c>
      <c r="CD202" s="8"/>
      <c r="CE202" s="61">
        <f t="shared" si="242"/>
        <v>3.55</v>
      </c>
      <c r="CF202" s="61">
        <f t="shared" si="243"/>
        <v>10</v>
      </c>
      <c r="CG202" s="61">
        <f t="shared" si="244"/>
        <v>6.6414179104477622</v>
      </c>
      <c r="CH202" s="14"/>
      <c r="CI202" s="35">
        <f t="shared" si="227"/>
        <v>3.8942790535094076</v>
      </c>
      <c r="CJ202" s="15">
        <f t="shared" si="245"/>
        <v>4.3599999999999</v>
      </c>
      <c r="CK202" s="35">
        <f t="shared" si="228"/>
        <v>4.8257209464903923</v>
      </c>
      <c r="CM202" s="14"/>
      <c r="CN202" s="17">
        <f t="shared" si="229"/>
        <v>-4.3566666666666665</v>
      </c>
      <c r="CO202" s="17">
        <f t="shared" si="230"/>
        <v>-0.40333333333333332</v>
      </c>
      <c r="CP202" s="17">
        <f t="shared" si="231"/>
        <v>2.0933333333333337</v>
      </c>
      <c r="CQ202" s="38">
        <f t="shared" si="246"/>
        <v>6.0466666666666669</v>
      </c>
      <c r="CR202" s="17">
        <f t="shared" si="232"/>
        <v>8.543333333333333</v>
      </c>
      <c r="CS202" s="17">
        <f t="shared" si="233"/>
        <v>12.496666666666666</v>
      </c>
      <c r="CT202" s="17">
        <f t="shared" si="234"/>
        <v>14.993333333333334</v>
      </c>
      <c r="CU202" s="2" cm="1">
        <f t="array" aca="1" ref="CU202" ca="1">MAX(_xlfn._xlws.FILTER(CN202:CT202,CN202:CT202&lt;BP202))</f>
        <v>2.0933333333333337</v>
      </c>
      <c r="CV202" s="2" cm="1">
        <f t="array" aca="1" ref="CV202" ca="1">MIN(_xlfn._xlws.FILTER($CN202:$CT202,$CN202:$CT202&gt;BP202))</f>
        <v>6.0466666666666669</v>
      </c>
      <c r="CW202" s="16">
        <f t="shared" ca="1" si="209"/>
        <v>1.8885350318471334</v>
      </c>
      <c r="CX202" s="20">
        <f t="shared" ca="1" si="210"/>
        <v>-0.94426751592356672</v>
      </c>
      <c r="CY202" s="20">
        <f t="shared" ca="1" si="211"/>
        <v>-0.62951167728237778</v>
      </c>
      <c r="CZ202" s="20">
        <f t="shared" ca="1" si="212"/>
        <v>-0.37770700636942667</v>
      </c>
      <c r="DA202" s="20">
        <f t="shared" ca="1" si="213"/>
        <v>-0.20983722576079261</v>
      </c>
      <c r="DB202" s="20">
        <f t="shared" ca="1" si="214"/>
        <v>-0.11109029599100785</v>
      </c>
      <c r="DC202" s="20">
        <f t="shared" ca="1" si="215"/>
        <v>-5.7228334298397986E-2</v>
      </c>
      <c r="DD202" s="20">
        <f t="shared" ca="1" si="216"/>
        <v>-2.9054385105340516E-2</v>
      </c>
      <c r="DE202" s="21">
        <f t="shared" ca="1" si="217"/>
        <v>2.9054385105340516E-2</v>
      </c>
      <c r="DF202" s="21">
        <f t="shared" ca="1" si="218"/>
        <v>5.7228334298397986E-2</v>
      </c>
      <c r="DG202" s="21">
        <f t="shared" ca="1" si="219"/>
        <v>0.11109029599100785</v>
      </c>
      <c r="DH202" s="21">
        <f t="shared" ca="1" si="220"/>
        <v>0.20983722576079261</v>
      </c>
      <c r="DI202" s="21">
        <f t="shared" ca="1" si="221"/>
        <v>0.37770700636942667</v>
      </c>
      <c r="DJ202" s="21">
        <f t="shared" ca="1" si="222"/>
        <v>0.62951167728237778</v>
      </c>
      <c r="DK202" s="21">
        <f t="shared" ca="1" si="223"/>
        <v>0.94426751592356672</v>
      </c>
      <c r="DM202" s="16" cm="1">
        <f t="array" aca="1" ref="DM202" ca="1">MAX(_xlfn._xlws.FILTER(CX202:DK202,CX202:DK202&lt;BV202))</f>
        <v>-2.9054385105340516E-2</v>
      </c>
      <c r="DN202" s="16" cm="1">
        <f t="array" aca="1" ref="DN202" ca="1">MIN(_xlfn._xlws.FILTER(CX202:DK202,CX202:DK202&gt;BV202))</f>
        <v>2.9054385105340516E-2</v>
      </c>
      <c r="DO202" s="2" cm="1">
        <f t="array" aca="1" ref="DO202" ca="1">_FV(ED202,"Fechamento anterior",TRUE)</f>
        <v>4.49</v>
      </c>
      <c r="DP202" s="28">
        <f t="shared" ca="1" si="235"/>
        <v>0.27003421506288838</v>
      </c>
      <c r="DQ202" s="15">
        <f t="shared" ca="1" si="224"/>
        <v>4.3595458108770213</v>
      </c>
      <c r="DR202" s="15">
        <f t="shared" ca="1" si="225"/>
        <v>4.6204541891229791</v>
      </c>
      <c r="DS202" s="9"/>
      <c r="DT202" s="9"/>
      <c r="DU202" s="9"/>
      <c r="DV202" s="89">
        <v>5.8108770210681032E-2</v>
      </c>
      <c r="DW202" s="89">
        <f t="shared" ca="1" si="236"/>
        <v>5.8108770210681032E-2</v>
      </c>
      <c r="DX202" s="72">
        <f t="shared" ca="1" si="237"/>
        <v>0.15030459876798521</v>
      </c>
      <c r="DY202" s="37"/>
      <c r="DZ202" s="35">
        <f t="shared" si="247"/>
        <v>0.23286047324524625</v>
      </c>
      <c r="EA202" s="56"/>
      <c r="EB202" s="56"/>
      <c r="ED202" s="2" t="e" vm="204">
        <v>#VALUE!</v>
      </c>
      <c r="EF202" s="10" cm="1">
        <f t="array" aca="1" ref="EF202" ca="1">_FV(ED202,"Ações em circulação",TRUE)</f>
        <v>350000000</v>
      </c>
      <c r="EG202" s="18">
        <f>VLOOKUP(BQ202,Fundamentus!A:U,5,FALSE)</f>
        <v>0.14299999999999999</v>
      </c>
      <c r="EH202" s="2">
        <f t="shared" ca="1" si="238"/>
        <v>10842657342.657343</v>
      </c>
      <c r="EI202" s="17">
        <v>190982517.48251751</v>
      </c>
      <c r="EJ202" s="17">
        <f t="shared" ca="1" si="239"/>
        <v>184325174.82517484</v>
      </c>
      <c r="EL202" s="16">
        <f t="shared" ca="1" si="226"/>
        <v>-3.4858387799564294E-2</v>
      </c>
      <c r="EM202" s="32" t="str">
        <f>IF(VLOOKUP(BQ202,Fundamentus!A:U,3,FALSE)&lt;15,"Bom",IF(VLOOKUP(BQ202,Fundamentus!A:U,3,FALSE)&gt;15,"Ruim","n/a"))</f>
        <v>Bom</v>
      </c>
      <c r="EN202" s="28" t="str">
        <f>IF(VLOOKUP(BQ202,Fundamentus!A:U,4,FALSE)&lt;1,"Baixo",IF(VLOOKUP(BQ202,Fundamentus!A:U,4,FALSE)&lt;1.5,"Moderado",IF(VLOOKUP(BQ202,Fundamentus!A:U,4,FALSE)&gt;1.5,"Alto","n/a")))</f>
        <v>Baixo</v>
      </c>
      <c r="EO202" s="17" t="str">
        <f>IF(VLOOKUP(BQ202,Fundamentus!A:U,8,FALSE)&lt;0,"Risco elevado",IF(VLOOKUP(BQ202,Fundamentus!A:U,8,FALSE)&lt;1,"Saudável",IF(VLOOKUP(BQ202,Fundamentus!A:U,8,FALSE)&lt;3,"Estável",IF(VLOOKUP(BQ202,Fundamentus!A:U,8,FALSE)&gt;3,"Alerta","n/a"))))</f>
        <v>Saudável</v>
      </c>
      <c r="EP202" s="28" t="str">
        <f t="shared" si="240"/>
        <v>Ruim</v>
      </c>
      <c r="EQ202" s="17" t="str">
        <f>IF(VLOOKUP(BQ202,Fundamentus!A:U,12,FALSE)&lt;2,"Subvalorizada",IF(VLOOKUP(BQ202,Fundamentus!A:U,12,FALSE)&lt;6,"Muita barata",IF(VLOOKUP(BQ202,Fundamentus!A:U,12,FALSE)&lt;6,"Barata",IF(VLOOKUP(BQ202,Fundamentus!A:U,12,FALSE)&lt;8,"Atrativa",IF(VLOOKUP(BQ202,Fundamentus!A:U,12,FALSE)&gt;8,"Supervalorizada","n/a")))))</f>
        <v>Atrativa</v>
      </c>
      <c r="ES202" s="17" t="str">
        <f>IF(VLOOKUP(BQ202,Fundamentus!A:U,17,FALSE)&lt;0.1,"Fraco retorno",IF(VLOOKUP(BQ202,Fundamentus!A:U,17,FALSE)&gt;0.1,"Bom retorno","n/a"))</f>
        <v>Fraco retorno</v>
      </c>
      <c r="ET202" s="17" t="str">
        <f>IF(VLOOKUP(BQ202,Fundamentus!A:U,16,FALSE)&lt;0.1,"Ineficiente",IF(VLOOKUP(BQ202,Fundamentus!A:U,16,FALSE)&gt;0.1,"Eficiente","n/a"))</f>
        <v>Ineficiente</v>
      </c>
      <c r="EU202" s="33" t="str">
        <f>IF(VLOOKUP(BQ202,Fundamentus!A:U,16,FALSE)&lt;0.1,"Oper. Ineficiente",IF(VLOOKUP(BQ202,Fundamentus!A:U,16,FALSE)&gt;0.1,"Oper.Eficiente","n/a"))</f>
        <v>Oper. Ineficiente</v>
      </c>
      <c r="EV202" s="34">
        <f>VLOOKUP(BQ202,Fundamentus!A:U,14,FALSE)</f>
        <v>1.7000000000000001E-2</v>
      </c>
      <c r="EW202" s="17" t="str">
        <f>IF(VLOOKUP(BQ202,Fundamentus!A:U,21,FALSE)&lt;0,"Negativo",IF(VLOOKUP(BQ202,Fundamentus!A:U,21,FALSE)&lt;0.05,"Fraco",IF(VLOOKUP(BQ202,Fundamentus!A:U,21,FALSE)&lt;0.1,"Bom",IF(VLOOKUP(BQ202,Fundamentus!A:U,21,FALSE)&gt;0.1,"Muito bom","n/a"))))</f>
        <v>Muito bom</v>
      </c>
      <c r="EY202" s="29" t="str">
        <f>IF(VLOOKUP(BQ202,Fundamentus!A:U,15,FALSE)&gt;1,"Bom",IF(VLOOKUP(BQ202,Fundamentus!A:U,15,FALSE)&lt;1,"Ruim","n/a"))</f>
        <v>Bom</v>
      </c>
      <c r="EZ202" s="17" t="str">
        <f>IF(VLOOKUP(BQ202,Fundamentus!A:U,20,FALSE)&lt;0.5,"Baixa",IF(VLOOKUP(BQ202,Fundamentus!A:U,20,FALSE)&lt;1,"Moderada",IF(VLOOKUP(BQ202,Fundamentus!A:U,20,FALSE)&lt;2,"Alerta",IF(VLOOKUP(BQ202,Fundamentus!A:U,20,FALSE)&gt;2,"Alta","n/a"))))</f>
        <v>Alerta</v>
      </c>
      <c r="FA202" s="10"/>
    </row>
    <row r="203" spans="1:157" s="2" customFormat="1" ht="11.25" hidden="1" x14ac:dyDescent="0.2">
      <c r="A203" s="4">
        <v>12.55</v>
      </c>
      <c r="B203" s="4">
        <v>11.92</v>
      </c>
      <c r="C203" s="4">
        <v>12.1</v>
      </c>
      <c r="D203" s="4">
        <v>12.2</v>
      </c>
      <c r="E203" s="4">
        <v>11.64</v>
      </c>
      <c r="F203" s="4">
        <v>11.31</v>
      </c>
      <c r="G203" s="4">
        <v>11.01</v>
      </c>
      <c r="H203" s="4">
        <v>11.5</v>
      </c>
      <c r="I203" s="4">
        <v>11.68</v>
      </c>
      <c r="J203" s="4">
        <v>12.45</v>
      </c>
      <c r="K203" s="4">
        <v>12.71</v>
      </c>
      <c r="L203" s="4">
        <v>12.19</v>
      </c>
      <c r="M203" s="4">
        <v>11.84</v>
      </c>
      <c r="N203" s="4">
        <v>11.34</v>
      </c>
      <c r="O203" s="4">
        <v>11.75</v>
      </c>
      <c r="P203" s="4">
        <v>11.04</v>
      </c>
      <c r="Q203" s="4">
        <v>11.28</v>
      </c>
      <c r="R203" s="4">
        <v>11.41</v>
      </c>
      <c r="S203" s="4">
        <v>11.23</v>
      </c>
      <c r="T203" s="4">
        <v>11.19</v>
      </c>
      <c r="U203" s="4">
        <v>11.08</v>
      </c>
      <c r="V203" s="4">
        <v>10.93</v>
      </c>
      <c r="W203" s="4">
        <v>10.64</v>
      </c>
      <c r="X203" s="4">
        <v>10.37</v>
      </c>
      <c r="Y203" s="4">
        <v>10.18</v>
      </c>
      <c r="Z203" s="4">
        <v>9.98</v>
      </c>
      <c r="AA203" s="4">
        <v>9.74</v>
      </c>
      <c r="AB203" s="4">
        <v>10.38</v>
      </c>
      <c r="AC203" s="4">
        <v>9.49</v>
      </c>
      <c r="AD203" s="4">
        <v>9.24</v>
      </c>
      <c r="AE203" s="4">
        <v>9.25</v>
      </c>
      <c r="AF203" s="4">
        <v>9.06</v>
      </c>
      <c r="AG203" s="4">
        <v>9.31</v>
      </c>
      <c r="AH203" s="4">
        <v>8.76</v>
      </c>
      <c r="AI203" s="4">
        <v>8.9700000000000006</v>
      </c>
      <c r="AJ203" s="4">
        <v>8.6199999999999992</v>
      </c>
      <c r="AK203" s="4">
        <v>8.33</v>
      </c>
      <c r="AL203" s="4">
        <v>8.2200000000000006</v>
      </c>
      <c r="AM203" s="4">
        <v>8.1199999999999992</v>
      </c>
      <c r="AN203" s="4">
        <v>8.18</v>
      </c>
      <c r="AO203" s="4">
        <v>8.19</v>
      </c>
      <c r="AP203" s="4">
        <v>8.6999999999999993</v>
      </c>
      <c r="AQ203" s="4">
        <v>8.11</v>
      </c>
      <c r="AR203" s="4">
        <v>8.0299999999999994</v>
      </c>
      <c r="AS203" s="4">
        <v>8.2200000000000006</v>
      </c>
      <c r="AT203" s="4">
        <v>8.01</v>
      </c>
      <c r="AU203" s="4">
        <v>8.06</v>
      </c>
      <c r="AV203" s="4">
        <v>8.3699999999999992</v>
      </c>
      <c r="AW203" s="4">
        <v>8.3800000000000008</v>
      </c>
      <c r="AX203" s="4">
        <v>8.59</v>
      </c>
      <c r="AY203" s="12">
        <v>9.1199999999999992</v>
      </c>
      <c r="AZ203" s="12">
        <v>8.74</v>
      </c>
      <c r="BA203" s="12">
        <v>8.5500000000000007</v>
      </c>
      <c r="BB203" s="15">
        <v>8</v>
      </c>
      <c r="BC203" s="52">
        <v>8.1300000000000008</v>
      </c>
      <c r="BD203" s="52">
        <v>8.0299999999999994</v>
      </c>
      <c r="BE203" s="52">
        <v>7.95</v>
      </c>
      <c r="BF203" s="52">
        <v>7.66</v>
      </c>
      <c r="BG203" s="67">
        <v>7.75</v>
      </c>
      <c r="BH203" s="52">
        <v>7.63</v>
      </c>
      <c r="BI203" s="52">
        <v>7.15</v>
      </c>
      <c r="BJ203" s="52">
        <v>7.35</v>
      </c>
      <c r="BK203" s="52">
        <v>7.12</v>
      </c>
      <c r="BL203" s="52">
        <v>6.75</v>
      </c>
      <c r="BM203" s="52">
        <v>6.22</v>
      </c>
      <c r="BN203" s="52">
        <v>6.48</v>
      </c>
      <c r="BO203" s="52">
        <v>5.86</v>
      </c>
      <c r="BP203" s="52" cm="1">
        <f t="array" aca="1" ref="BP203" ca="1">_FV(ED203,"Preço")</f>
        <v>5.16</v>
      </c>
      <c r="BQ203" s="69" t="s">
        <v>199</v>
      </c>
      <c r="BR203" s="36" cm="1">
        <f t="array" aca="1" ref="BR203" ca="1">_FV(ED203,"Média de volume",TRUE)</f>
        <v>361070</v>
      </c>
      <c r="BS203" s="36">
        <v>10100</v>
      </c>
      <c r="BT203" s="36" cm="1">
        <f t="array" aca="1" ref="BT203" ca="1">_FV(ED203,"Volume")</f>
        <v>21000</v>
      </c>
      <c r="BU203" s="24" cm="1">
        <f t="array" aca="1" ref="BU203" ca="1">_FV(ED203,"Beta")</f>
        <v>1.2588999999999999</v>
      </c>
      <c r="BV203" s="71" cm="1">
        <f t="array" aca="1" ref="BV203" ca="1">_FV(ED203,"Variação (%)",TRUE)</f>
        <v>-5.8394000000000001E-2</v>
      </c>
      <c r="BX203" s="17" cm="1">
        <f t="array" aca="1" ref="BX203" ca="1">_FV(ED203,"Baixo")</f>
        <v>5.16</v>
      </c>
      <c r="BY203" s="17" cm="1">
        <f t="array" aca="1" ref="BY203" ca="1">_FV(ED203,"Alto")</f>
        <v>5.55</v>
      </c>
      <c r="BZ203" s="24"/>
      <c r="CA203" s="63">
        <f ca="1">SQRT(22.5*(BP203/VLOOKUP(BQ203,Fundamentus!A:U,3,FALSE))*(BP203/VLOOKUP(BQ203,Fundamentus!A:U,4,FALSE)))</f>
        <v>8.5636027440207627</v>
      </c>
      <c r="CC203" s="62">
        <f t="shared" ca="1" si="241"/>
        <v>-0.1194539249146758</v>
      </c>
      <c r="CD203" s="8"/>
      <c r="CE203" s="61">
        <f t="shared" si="242"/>
        <v>5.86</v>
      </c>
      <c r="CF203" s="61">
        <f t="shared" si="243"/>
        <v>12.71</v>
      </c>
      <c r="CG203" s="61">
        <f t="shared" si="244"/>
        <v>9.4677611940298512</v>
      </c>
      <c r="CH203" s="14"/>
      <c r="CI203" s="35">
        <f t="shared" si="227"/>
        <v>4.8604446229420795</v>
      </c>
      <c r="CJ203" s="15">
        <f t="shared" si="245"/>
        <v>5.7250000000001364</v>
      </c>
      <c r="CK203" s="35">
        <f t="shared" si="228"/>
        <v>6.5895553770581934</v>
      </c>
      <c r="CM203" s="14"/>
      <c r="CN203" s="17">
        <f t="shared" si="229"/>
        <v>-3.2733333333333361</v>
      </c>
      <c r="CO203" s="17">
        <f t="shared" si="230"/>
        <v>1.2933333333333321</v>
      </c>
      <c r="CP203" s="17">
        <f t="shared" si="231"/>
        <v>3.5766666666666644</v>
      </c>
      <c r="CQ203" s="38">
        <f t="shared" si="246"/>
        <v>8.1433333333333326</v>
      </c>
      <c r="CR203" s="17">
        <f t="shared" si="232"/>
        <v>10.426666666666666</v>
      </c>
      <c r="CS203" s="17">
        <f t="shared" si="233"/>
        <v>14.993333333333332</v>
      </c>
      <c r="CT203" s="17">
        <f t="shared" si="234"/>
        <v>17.276666666666664</v>
      </c>
      <c r="CU203" s="2" cm="1">
        <f t="array" aca="1" ref="CU203" ca="1">MAX(_xlfn._xlws.FILTER(CN203:CT203,CN203:CT203&lt;BP203))</f>
        <v>3.5766666666666644</v>
      </c>
      <c r="CV203" s="2" cm="1">
        <f t="array" aca="1" ref="CV203" ca="1">MIN(_xlfn._xlws.FILTER($CN203:$CT203,$CN203:$CT203&gt;BP203))</f>
        <v>8.1433333333333326</v>
      </c>
      <c r="CW203" s="16">
        <f t="shared" ca="1" si="209"/>
        <v>1.2767940354147265</v>
      </c>
      <c r="CX203" s="20">
        <f t="shared" ca="1" si="210"/>
        <v>-0.63839701770736323</v>
      </c>
      <c r="CY203" s="20">
        <f t="shared" ca="1" si="211"/>
        <v>-0.4255980118049088</v>
      </c>
      <c r="CZ203" s="20">
        <f t="shared" ca="1" si="212"/>
        <v>-0.25535880708294528</v>
      </c>
      <c r="DA203" s="20">
        <f t="shared" ca="1" si="213"/>
        <v>-0.14186600393496962</v>
      </c>
      <c r="DB203" s="20">
        <f t="shared" ca="1" si="214"/>
        <v>-7.5105531494983904E-2</v>
      </c>
      <c r="DC203" s="20">
        <f t="shared" ca="1" si="215"/>
        <v>-3.8690728345900802E-2</v>
      </c>
      <c r="DD203" s="20">
        <f t="shared" ca="1" si="216"/>
        <v>-1.9642985160226559E-2</v>
      </c>
      <c r="DE203" s="21">
        <f t="shared" ca="1" si="217"/>
        <v>1.9642985160226559E-2</v>
      </c>
      <c r="DF203" s="21">
        <f t="shared" ca="1" si="218"/>
        <v>3.8690728345900802E-2</v>
      </c>
      <c r="DG203" s="21">
        <f t="shared" ca="1" si="219"/>
        <v>7.5105531494983904E-2</v>
      </c>
      <c r="DH203" s="21">
        <f t="shared" ca="1" si="220"/>
        <v>0.14186600393496962</v>
      </c>
      <c r="DI203" s="21">
        <f t="shared" ca="1" si="221"/>
        <v>0.25535880708294528</v>
      </c>
      <c r="DJ203" s="21">
        <f t="shared" ca="1" si="222"/>
        <v>0.4255980118049088</v>
      </c>
      <c r="DK203" s="21">
        <f t="shared" ca="1" si="223"/>
        <v>0.63839701770736323</v>
      </c>
      <c r="DM203" s="16" cm="1">
        <f t="array" aca="1" ref="DM203" ca="1">MAX(_xlfn._xlws.FILTER(CX203:DK203,CX203:DK203&lt;BV203))</f>
        <v>-7.5105531494983904E-2</v>
      </c>
      <c r="DN203" s="16" cm="1">
        <f t="array" aca="1" ref="DN203" ca="1">MIN(_xlfn._xlws.FILTER(CX203:DK203,CX203:DK203&gt;BV203))</f>
        <v>-3.8690728345900802E-2</v>
      </c>
      <c r="DO203" s="2" cm="1">
        <f t="array" aca="1" ref="DO203" ca="1">_FV(ED203,"Fechamento anterior",TRUE)</f>
        <v>5.48</v>
      </c>
      <c r="DP203" s="28">
        <f t="shared" ca="1" si="235"/>
        <v>0.45891696414300109</v>
      </c>
      <c r="DQ203" s="15">
        <f t="shared" ca="1" si="224"/>
        <v>5.068421687407489</v>
      </c>
      <c r="DR203" s="15">
        <f t="shared" ca="1" si="225"/>
        <v>5.267974808664464</v>
      </c>
      <c r="DS203" s="9"/>
      <c r="DT203" s="9"/>
      <c r="DU203" s="9"/>
      <c r="DV203" s="89">
        <v>3.9285970320453119E-2</v>
      </c>
      <c r="DW203" s="89">
        <f t="shared" ca="1" si="236"/>
        <v>3.6414803149083103E-2</v>
      </c>
      <c r="DX203" s="72">
        <f t="shared" ca="1" si="237"/>
        <v>-0.65351510729450379</v>
      </c>
      <c r="DY203" s="37"/>
      <c r="DZ203" s="35">
        <f t="shared" si="247"/>
        <v>0.4322776885290287</v>
      </c>
      <c r="EA203" s="56"/>
      <c r="EB203" s="56"/>
      <c r="ED203" s="2" t="e" vm="205">
        <v>#VALUE!</v>
      </c>
      <c r="EF203" s="10" cm="1">
        <f t="array" aca="1" ref="EF203" ca="1">_FV(ED203,"Ações em circulação",TRUE)</f>
        <v>139297900</v>
      </c>
      <c r="EG203" s="18">
        <f>VLOOKUP(BQ203,Fundamentus!A:U,5,FALSE)</f>
        <v>0.56599999999999995</v>
      </c>
      <c r="EH203" s="2">
        <f t="shared" ca="1" si="238"/>
        <v>1269924318.0212016</v>
      </c>
      <c r="EI203" s="17">
        <v>69946742.33038871</v>
      </c>
      <c r="EJ203" s="17">
        <f t="shared" ca="1" si="239"/>
        <v>61591329.424028277</v>
      </c>
      <c r="EL203" s="16">
        <f t="shared" ca="1" si="226"/>
        <v>-0.11945392491467588</v>
      </c>
      <c r="EM203" s="32" t="str">
        <f>IF(VLOOKUP(BQ203,Fundamentus!A:U,3,FALSE)&lt;15,"Bom",IF(VLOOKUP(BQ203,Fundamentus!A:U,3,FALSE)&gt;15,"Ruim","n/a"))</f>
        <v>Bom</v>
      </c>
      <c r="EN203" s="28" t="str">
        <f>IF(VLOOKUP(BQ203,Fundamentus!A:U,4,FALSE)&lt;1,"Baixo",IF(VLOOKUP(BQ203,Fundamentus!A:U,4,FALSE)&lt;1.5,"Moderado",IF(VLOOKUP(BQ203,Fundamentus!A:U,4,FALSE)&gt;1.5,"Alto","n/a")))</f>
        <v>Baixo</v>
      </c>
      <c r="EO203" s="17" t="str">
        <f>IF(VLOOKUP(BQ203,Fundamentus!A:U,8,FALSE)&lt;0,"Risco elevado",IF(VLOOKUP(BQ203,Fundamentus!A:U,8,FALSE)&lt;1,"Saudável",IF(VLOOKUP(BQ203,Fundamentus!A:U,8,FALSE)&lt;3,"Estável",IF(VLOOKUP(BQ203,Fundamentus!A:U,8,FALSE)&gt;3,"Alerta","n/a"))))</f>
        <v>Estável</v>
      </c>
      <c r="EP203" s="28" t="str">
        <f t="shared" si="240"/>
        <v>Ruim</v>
      </c>
      <c r="EQ203" s="17" t="str">
        <f>IF(VLOOKUP(BQ203,Fundamentus!A:U,12,FALSE)&lt;2,"Subvalorizada",IF(VLOOKUP(BQ203,Fundamentus!A:U,12,FALSE)&lt;6,"Muita barata",IF(VLOOKUP(BQ203,Fundamentus!A:U,12,FALSE)&lt;6,"Barata",IF(VLOOKUP(BQ203,Fundamentus!A:U,12,FALSE)&lt;8,"Atrativa",IF(VLOOKUP(BQ203,Fundamentus!A:U,12,FALSE)&gt;8,"Supervalorizada","n/a")))))</f>
        <v>Supervalorizada</v>
      </c>
      <c r="ES203" s="17" t="str">
        <f>IF(VLOOKUP(BQ203,Fundamentus!A:U,17,FALSE)&lt;0.1,"Fraco retorno",IF(VLOOKUP(BQ203,Fundamentus!A:U,17,FALSE)&gt;0.1,"Bom retorno","n/a"))</f>
        <v>Fraco retorno</v>
      </c>
      <c r="ET203" s="17" t="str">
        <f>IF(VLOOKUP(BQ203,Fundamentus!A:U,16,FALSE)&lt;0.1,"Ineficiente",IF(VLOOKUP(BQ203,Fundamentus!A:U,16,FALSE)&gt;0.1,"Eficiente","n/a"))</f>
        <v>Ineficiente</v>
      </c>
      <c r="EU203" s="33" t="str">
        <f>IF(VLOOKUP(BQ203,Fundamentus!A:U,16,FALSE)&lt;0.1,"Oper. Ineficiente",IF(VLOOKUP(BQ203,Fundamentus!A:U,16,FALSE)&gt;0.1,"Oper.Eficiente","n/a"))</f>
        <v>Oper. Ineficiente</v>
      </c>
      <c r="EV203" s="34">
        <f>VLOOKUP(BQ203,Fundamentus!A:U,14,FALSE)</f>
        <v>4.8500000000000001E-2</v>
      </c>
      <c r="EW203" s="17" t="str">
        <f>IF(VLOOKUP(BQ203,Fundamentus!A:U,21,FALSE)&lt;0,"Negativo",IF(VLOOKUP(BQ203,Fundamentus!A:U,21,FALSE)&lt;0.05,"Fraco",IF(VLOOKUP(BQ203,Fundamentus!A:U,21,FALSE)&lt;0.1,"Bom",IF(VLOOKUP(BQ203,Fundamentus!A:U,21,FALSE)&gt;0.1,"Muito bom","n/a"))))</f>
        <v>Negativo</v>
      </c>
      <c r="EY203" s="29" t="str">
        <f>IF(VLOOKUP(BQ203,Fundamentus!A:U,15,FALSE)&gt;1,"Bom",IF(VLOOKUP(BQ203,Fundamentus!A:U,15,FALSE)&lt;1,"Ruim","n/a"))</f>
        <v>Bom</v>
      </c>
      <c r="EZ203" s="17" t="str">
        <f>IF(VLOOKUP(BQ203,Fundamentus!A:U,20,FALSE)&lt;0.5,"Baixa",IF(VLOOKUP(BQ203,Fundamentus!A:U,20,FALSE)&lt;1,"Moderada",IF(VLOOKUP(BQ203,Fundamentus!A:U,20,FALSE)&lt;2,"Alerta",IF(VLOOKUP(BQ203,Fundamentus!A:U,20,FALSE)&gt;2,"Alta","n/a"))))</f>
        <v>Moderada</v>
      </c>
      <c r="FA203" s="10"/>
    </row>
    <row r="204" spans="1:157" s="5" customFormat="1" ht="11.25" hidden="1" x14ac:dyDescent="0.2">
      <c r="A204" s="4">
        <v>12.38</v>
      </c>
      <c r="B204" s="4">
        <v>12.24</v>
      </c>
      <c r="C204" s="4">
        <v>12.39</v>
      </c>
      <c r="D204" s="4">
        <v>12.26</v>
      </c>
      <c r="E204" s="4">
        <v>11.63</v>
      </c>
      <c r="F204" s="4">
        <v>12.22</v>
      </c>
      <c r="G204" s="4">
        <v>11.55</v>
      </c>
      <c r="H204" s="4">
        <v>11.32</v>
      </c>
      <c r="I204" s="4">
        <v>12</v>
      </c>
      <c r="J204" s="4">
        <v>13.2</v>
      </c>
      <c r="K204" s="4">
        <v>13.31</v>
      </c>
      <c r="L204" s="4">
        <v>13.7</v>
      </c>
      <c r="M204" s="4">
        <v>13.61</v>
      </c>
      <c r="N204" s="4">
        <v>15.42</v>
      </c>
      <c r="O204" s="4">
        <v>16.43</v>
      </c>
      <c r="P204" s="4">
        <v>16.95</v>
      </c>
      <c r="Q204" s="4">
        <v>17.600000000000001</v>
      </c>
      <c r="R204" s="4">
        <v>17.29</v>
      </c>
      <c r="S204" s="4">
        <v>18.170000000000002</v>
      </c>
      <c r="T204" s="4">
        <v>17.89</v>
      </c>
      <c r="U204" s="4">
        <v>16.82</v>
      </c>
      <c r="V204" s="4">
        <v>16.78</v>
      </c>
      <c r="W204" s="4">
        <v>15</v>
      </c>
      <c r="X204" s="4">
        <v>14.8</v>
      </c>
      <c r="Y204" s="4">
        <v>13.72</v>
      </c>
      <c r="Z204" s="4">
        <v>13.95</v>
      </c>
      <c r="AA204" s="4">
        <v>13.64</v>
      </c>
      <c r="AB204" s="4">
        <v>13.6</v>
      </c>
      <c r="AC204" s="4">
        <v>13.24</v>
      </c>
      <c r="AD204" s="4">
        <v>13.45</v>
      </c>
      <c r="AE204" s="4">
        <v>12.31</v>
      </c>
      <c r="AF204" s="4">
        <v>11.06</v>
      </c>
      <c r="AG204" s="4">
        <v>10.95</v>
      </c>
      <c r="AH204" s="4">
        <v>11</v>
      </c>
      <c r="AI204" s="4">
        <v>10.82</v>
      </c>
      <c r="AJ204" s="4">
        <v>10.49</v>
      </c>
      <c r="AK204" s="4">
        <v>10.9</v>
      </c>
      <c r="AL204" s="4">
        <v>10.88</v>
      </c>
      <c r="AM204" s="4">
        <v>10.64</v>
      </c>
      <c r="AN204" s="4">
        <v>11.54</v>
      </c>
      <c r="AO204" s="4">
        <v>10.6</v>
      </c>
      <c r="AP204" s="4">
        <v>10.87</v>
      </c>
      <c r="AQ204" s="4">
        <v>10.57</v>
      </c>
      <c r="AR204" s="4">
        <v>9.84</v>
      </c>
      <c r="AS204" s="4">
        <v>10.86</v>
      </c>
      <c r="AT204" s="4">
        <v>11.19</v>
      </c>
      <c r="AU204" s="4">
        <v>11.76</v>
      </c>
      <c r="AV204" s="4">
        <v>11.95</v>
      </c>
      <c r="AW204" s="4">
        <v>11.73</v>
      </c>
      <c r="AX204" s="4">
        <v>11.49</v>
      </c>
      <c r="AY204" s="12">
        <v>11.27</v>
      </c>
      <c r="AZ204" s="12">
        <v>11.07</v>
      </c>
      <c r="BA204" s="12">
        <v>10.61</v>
      </c>
      <c r="BB204" s="15">
        <v>11.43</v>
      </c>
      <c r="BC204" s="52">
        <v>10.98</v>
      </c>
      <c r="BD204" s="52">
        <v>11.04</v>
      </c>
      <c r="BE204" s="52">
        <v>12.29</v>
      </c>
      <c r="BF204" s="52">
        <v>11.47</v>
      </c>
      <c r="BG204" s="67">
        <v>11.8</v>
      </c>
      <c r="BH204" s="52">
        <v>11.6</v>
      </c>
      <c r="BI204" s="52">
        <v>11.79</v>
      </c>
      <c r="BJ204" s="52">
        <v>12.65</v>
      </c>
      <c r="BK204" s="52">
        <v>12</v>
      </c>
      <c r="BL204" s="52">
        <v>11.92</v>
      </c>
      <c r="BM204" s="52">
        <v>12.2</v>
      </c>
      <c r="BN204" s="52">
        <v>10.96</v>
      </c>
      <c r="BO204" s="52">
        <v>10.9</v>
      </c>
      <c r="BP204" s="52" cm="1">
        <f t="array" aca="1" ref="BP204" ca="1">_FV(ED204,"Preço")</f>
        <v>10.029999999999999</v>
      </c>
      <c r="BQ204" s="69" t="s">
        <v>200</v>
      </c>
      <c r="BR204" s="36" cm="1">
        <f t="array" aca="1" ref="BR204" ca="1">_FV(ED204,"Média de volume",TRUE)</f>
        <v>2451100</v>
      </c>
      <c r="BS204" s="36">
        <v>1790600</v>
      </c>
      <c r="BT204" s="36" cm="1">
        <f t="array" aca="1" ref="BT204" ca="1">_FV(ED204,"Volume")</f>
        <v>1793500</v>
      </c>
      <c r="BU204" s="24" cm="1">
        <f t="array" aca="1" ref="BU204" ca="1">_FV(ED204,"Beta")</f>
        <v>2.2239</v>
      </c>
      <c r="BV204" s="71" cm="1">
        <f t="array" aca="1" ref="BV204" ca="1">_FV(ED204,"Variação (%)",TRUE)</f>
        <v>-1.8591E-2</v>
      </c>
      <c r="BX204" s="17" cm="1">
        <f t="array" aca="1" ref="BX204" ca="1">_FV(ED204,"Baixo")</f>
        <v>9.9600000000000009</v>
      </c>
      <c r="BY204" s="17" cm="1">
        <f t="array" aca="1" ref="BY204" ca="1">_FV(ED204,"Alto")</f>
        <v>10.34</v>
      </c>
      <c r="BZ204" s="24"/>
      <c r="CA204" s="63">
        <f ca="1">SQRT(22.5*(BP204/VLOOKUP(BQ204,Fundamentus!A:U,3,FALSE))*(BP204/VLOOKUP(BQ204,Fundamentus!A:U,4,FALSE)))</f>
        <v>20.579104035423001</v>
      </c>
      <c r="CC204" s="62">
        <f t="shared" ca="1" si="241"/>
        <v>-7.9816513761467978E-2</v>
      </c>
      <c r="CD204" s="8"/>
      <c r="CE204" s="61">
        <f t="shared" si="242"/>
        <v>9.84</v>
      </c>
      <c r="CF204" s="61">
        <f t="shared" si="243"/>
        <v>18.170000000000002</v>
      </c>
      <c r="CG204" s="61">
        <f t="shared" si="244"/>
        <v>12.596865671641792</v>
      </c>
      <c r="CH204" s="14"/>
      <c r="CI204" s="35">
        <f t="shared" si="227"/>
        <v>9.3165798624278064</v>
      </c>
      <c r="CJ204" s="15">
        <f t="shared" si="245"/>
        <v>10.420000000000073</v>
      </c>
      <c r="CK204" s="35">
        <f t="shared" si="228"/>
        <v>11.523420137572339</v>
      </c>
      <c r="CM204" s="14"/>
      <c r="CN204" s="17">
        <f t="shared" si="229"/>
        <v>-0.56000000000000227</v>
      </c>
      <c r="CO204" s="17">
        <f t="shared" si="230"/>
        <v>4.6399999999999988</v>
      </c>
      <c r="CP204" s="17">
        <f t="shared" si="231"/>
        <v>7.77</v>
      </c>
      <c r="CQ204" s="38">
        <f t="shared" si="246"/>
        <v>12.97</v>
      </c>
      <c r="CR204" s="17">
        <f t="shared" si="232"/>
        <v>16.100000000000001</v>
      </c>
      <c r="CS204" s="17">
        <f t="shared" si="233"/>
        <v>21.300000000000004</v>
      </c>
      <c r="CT204" s="17">
        <f t="shared" si="234"/>
        <v>24.430000000000003</v>
      </c>
      <c r="CU204" s="2" cm="1">
        <f t="array" aca="1" ref="CU204" ca="1">MAX(_xlfn._xlws.FILTER(CN204:CT204,CN204:CT204&lt;BP204))</f>
        <v>7.77</v>
      </c>
      <c r="CV204" s="2" cm="1">
        <f t="array" aca="1" ref="CV204" ca="1">MIN(_xlfn._xlws.FILTER($CN204:$CT204,$CN204:$CT204&gt;BP204))</f>
        <v>12.97</v>
      </c>
      <c r="CW204" s="16">
        <f t="shared" ca="1" si="209"/>
        <v>0.66924066924066938</v>
      </c>
      <c r="CX204" s="20">
        <f t="shared" ca="1" si="210"/>
        <v>-0.33462033462033469</v>
      </c>
      <c r="CY204" s="20">
        <f t="shared" ca="1" si="211"/>
        <v>-0.22308022308022313</v>
      </c>
      <c r="CZ204" s="20">
        <f t="shared" ca="1" si="212"/>
        <v>-0.13384813384813388</v>
      </c>
      <c r="DA204" s="20">
        <f t="shared" ca="1" si="213"/>
        <v>-7.4360074360074371E-2</v>
      </c>
      <c r="DB204" s="20">
        <f t="shared" ca="1" si="214"/>
        <v>-3.9367098190627614E-2</v>
      </c>
      <c r="DC204" s="20">
        <f t="shared" ca="1" si="215"/>
        <v>-2.0280020280020284E-2</v>
      </c>
      <c r="DD204" s="20">
        <f t="shared" ca="1" si="216"/>
        <v>-1.0296010296010297E-2</v>
      </c>
      <c r="DE204" s="21">
        <f t="shared" ca="1" si="217"/>
        <v>1.0296010296010297E-2</v>
      </c>
      <c r="DF204" s="21">
        <f t="shared" ca="1" si="218"/>
        <v>2.0280020280020284E-2</v>
      </c>
      <c r="DG204" s="21">
        <f t="shared" ca="1" si="219"/>
        <v>3.9367098190627614E-2</v>
      </c>
      <c r="DH204" s="21">
        <f t="shared" ca="1" si="220"/>
        <v>7.4360074360074371E-2</v>
      </c>
      <c r="DI204" s="21">
        <f t="shared" ca="1" si="221"/>
        <v>0.13384813384813388</v>
      </c>
      <c r="DJ204" s="21">
        <f t="shared" ca="1" si="222"/>
        <v>0.22308022308022313</v>
      </c>
      <c r="DK204" s="21">
        <f t="shared" ca="1" si="223"/>
        <v>0.33462033462033469</v>
      </c>
      <c r="DM204" s="16" cm="1">
        <f t="array" aca="1" ref="DM204" ca="1">MAX(_xlfn._xlws.FILTER(CX204:DK204,CX204:DK204&lt;BV204))</f>
        <v>-2.0280020280020284E-2</v>
      </c>
      <c r="DN204" s="16" cm="1">
        <f t="array" aca="1" ref="DN204" ca="1">MIN(_xlfn._xlws.FILTER(CX204:DK204,CX204:DK204&gt;BV204))</f>
        <v>-1.0296010296010297E-2</v>
      </c>
      <c r="DO204" s="2" cm="1">
        <f t="array" aca="1" ref="DO204" ca="1">_FV(ED204,"Fechamento anterior",TRUE)</f>
        <v>10.220000000000001</v>
      </c>
      <c r="DP204" s="28">
        <f t="shared" ca="1" si="235"/>
        <v>0.16917273116436723</v>
      </c>
      <c r="DQ204" s="15">
        <f t="shared" ca="1" si="224"/>
        <v>10.012738192738194</v>
      </c>
      <c r="DR204" s="15">
        <f t="shared" ca="1" si="225"/>
        <v>10.114774774774775</v>
      </c>
      <c r="DS204" s="9"/>
      <c r="DT204" s="9"/>
      <c r="DU204" s="9"/>
      <c r="DV204" s="89">
        <v>1.908707791060733E-2</v>
      </c>
      <c r="DW204" s="89">
        <f t="shared" ca="1" si="236"/>
        <v>9.9840099840099866E-3</v>
      </c>
      <c r="DX204" s="72">
        <f t="shared" ca="1" si="237"/>
        <v>-0.35344651300106539</v>
      </c>
      <c r="DY204" s="37"/>
      <c r="DZ204" s="35">
        <f t="shared" si="247"/>
        <v>0.55171006878613293</v>
      </c>
      <c r="EA204" s="56"/>
      <c r="EB204" s="56"/>
      <c r="ED204" s="5" t="e" vm="206">
        <v>#VALUE!</v>
      </c>
      <c r="EF204" s="10" cm="1">
        <f t="array" aca="1" ref="EF204" ca="1">_FV(ED204,"Ações em circulação",TRUE)</f>
        <v>244013000</v>
      </c>
      <c r="EG204" s="18">
        <f>VLOOKUP(BQ204,Fundamentus!A:U,5,FALSE)</f>
        <v>0.41099999999999998</v>
      </c>
      <c r="EH204" s="2">
        <f t="shared" ca="1" si="238"/>
        <v>5954867128.9537716</v>
      </c>
      <c r="EI204" s="17">
        <v>507357054.2092458</v>
      </c>
      <c r="EJ204" s="17">
        <f t="shared" ca="1" si="239"/>
        <v>466861582.90997565</v>
      </c>
      <c r="EK204" s="2"/>
      <c r="EL204" s="16">
        <f t="shared" ca="1" si="226"/>
        <v>-7.9816513761468033E-2</v>
      </c>
      <c r="EM204" s="32" t="str">
        <f>IF(VLOOKUP(BQ204,Fundamentus!A:U,3,FALSE)&lt;15,"Bom",IF(VLOOKUP(BQ204,Fundamentus!A:U,3,FALSE)&gt;15,"Ruim","n/a"))</f>
        <v>Bom</v>
      </c>
      <c r="EN204" s="28" t="str">
        <f>IF(VLOOKUP(BQ204,Fundamentus!A:U,4,FALSE)&lt;1,"Baixo",IF(VLOOKUP(BQ204,Fundamentus!A:U,4,FALSE)&lt;1.5,"Moderado",IF(VLOOKUP(BQ204,Fundamentus!A:U,4,FALSE)&gt;1.5,"Alto","n/a")))</f>
        <v>Moderado</v>
      </c>
      <c r="EO204" s="17" t="str">
        <f>IF(VLOOKUP(BQ204,Fundamentus!A:U,8,FALSE)&lt;0,"Risco elevado",IF(VLOOKUP(BQ204,Fundamentus!A:U,8,FALSE)&lt;1,"Saudável",IF(VLOOKUP(BQ204,Fundamentus!A:U,8,FALSE)&lt;3,"Estável",IF(VLOOKUP(BQ204,Fundamentus!A:U,8,FALSE)&gt;3,"Alerta","n/a"))))</f>
        <v>Estável</v>
      </c>
      <c r="EP204" s="28" t="str">
        <f t="shared" si="240"/>
        <v>Ruim</v>
      </c>
      <c r="EQ204" s="17" t="str">
        <f>IF(VLOOKUP(BQ204,Fundamentus!A:U,12,FALSE)&lt;2,"Subvalorizada",IF(VLOOKUP(BQ204,Fundamentus!A:U,12,FALSE)&lt;6,"Muita barata",IF(VLOOKUP(BQ204,Fundamentus!A:U,12,FALSE)&lt;6,"Barata",IF(VLOOKUP(BQ204,Fundamentus!A:U,12,FALSE)&lt;8,"Atrativa",IF(VLOOKUP(BQ204,Fundamentus!A:U,12,FALSE)&gt;8,"Supervalorizada","n/a")))))</f>
        <v>Muita barata</v>
      </c>
      <c r="ER204" s="2"/>
      <c r="ES204" s="17" t="str">
        <f>IF(VLOOKUP(BQ204,Fundamentus!A:U,17,FALSE)&lt;0.1,"Fraco retorno",IF(VLOOKUP(BQ204,Fundamentus!A:U,17,FALSE)&gt;0.1,"Bom retorno","n/a"))</f>
        <v>Bom retorno</v>
      </c>
      <c r="ET204" s="17" t="str">
        <f>IF(VLOOKUP(BQ204,Fundamentus!A:U,16,FALSE)&lt;0.1,"Ineficiente",IF(VLOOKUP(BQ204,Fundamentus!A:U,16,FALSE)&gt;0.1,"Eficiente","n/a"))</f>
        <v>Ineficiente</v>
      </c>
      <c r="EU204" s="33" t="str">
        <f>IF(VLOOKUP(BQ204,Fundamentus!A:U,16,FALSE)&lt;0.1,"Oper. Ineficiente",IF(VLOOKUP(BQ204,Fundamentus!A:U,16,FALSE)&gt;0.1,"Oper.Eficiente","n/a"))</f>
        <v>Oper. Ineficiente</v>
      </c>
      <c r="EV204" s="34">
        <f>VLOOKUP(BQ204,Fundamentus!A:U,14,FALSE)</f>
        <v>7.8399999999999997E-2</v>
      </c>
      <c r="EW204" s="17" t="str">
        <f>IF(VLOOKUP(BQ204,Fundamentus!A:U,21,FALSE)&lt;0,"Negativo",IF(VLOOKUP(BQ204,Fundamentus!A:U,21,FALSE)&lt;0.05,"Fraco",IF(VLOOKUP(BQ204,Fundamentus!A:U,21,FALSE)&lt;0.1,"Bom",IF(VLOOKUP(BQ204,Fundamentus!A:U,21,FALSE)&gt;0.1,"Muito bom","n/a"))))</f>
        <v>Muito bom</v>
      </c>
      <c r="EY204" s="29" t="str">
        <f>IF(VLOOKUP(BQ204,Fundamentus!A:U,15,FALSE)&gt;1,"Bom",IF(VLOOKUP(BQ204,Fundamentus!A:U,15,FALSE)&lt;1,"Ruim","n/a"))</f>
        <v>Bom</v>
      </c>
      <c r="EZ204" s="17" t="str">
        <f>IF(VLOOKUP(BQ204,Fundamentus!A:U,20,FALSE)&lt;0.5,"Baixa",IF(VLOOKUP(BQ204,Fundamentus!A:U,20,FALSE)&lt;1,"Moderada",IF(VLOOKUP(BQ204,Fundamentus!A:U,20,FALSE)&lt;2,"Alerta",IF(VLOOKUP(BQ204,Fundamentus!A:U,20,FALSE)&gt;2,"Alta","n/a"))))</f>
        <v>Moderada</v>
      </c>
      <c r="FA204" s="10"/>
    </row>
    <row r="205" spans="1:157" s="2" customFormat="1" ht="11.25" hidden="1" x14ac:dyDescent="0.2">
      <c r="A205" s="4">
        <v>4.42</v>
      </c>
      <c r="B205" s="4">
        <v>4.54</v>
      </c>
      <c r="C205" s="4">
        <v>4.59</v>
      </c>
      <c r="D205" s="4">
        <v>4.24</v>
      </c>
      <c r="E205" s="4">
        <v>4.1399999999999997</v>
      </c>
      <c r="F205" s="4">
        <v>3.95</v>
      </c>
      <c r="G205" s="4">
        <v>4.43</v>
      </c>
      <c r="H205" s="4">
        <v>4.7699999999999996</v>
      </c>
      <c r="I205" s="4">
        <v>4.53</v>
      </c>
      <c r="J205" s="4">
        <v>5.21</v>
      </c>
      <c r="K205" s="4">
        <v>5.97</v>
      </c>
      <c r="L205" s="4">
        <v>6.06</v>
      </c>
      <c r="M205" s="4">
        <v>5.29</v>
      </c>
      <c r="N205" s="4">
        <v>5.27</v>
      </c>
      <c r="O205" s="4">
        <v>5.54</v>
      </c>
      <c r="P205" s="4">
        <v>5.91</v>
      </c>
      <c r="Q205" s="4">
        <v>5.75</v>
      </c>
      <c r="R205" s="4">
        <v>5.43</v>
      </c>
      <c r="S205" s="4">
        <v>5.16</v>
      </c>
      <c r="T205" s="4">
        <v>5.08</v>
      </c>
      <c r="U205" s="4">
        <v>4.92</v>
      </c>
      <c r="V205" s="4">
        <v>5.07</v>
      </c>
      <c r="W205" s="4">
        <v>4.8499999999999996</v>
      </c>
      <c r="X205" s="4">
        <v>5.46</v>
      </c>
      <c r="Y205" s="4">
        <v>5.46</v>
      </c>
      <c r="Z205" s="4">
        <v>5.89</v>
      </c>
      <c r="AA205" s="4">
        <v>5.25</v>
      </c>
      <c r="AB205" s="4">
        <v>5.24</v>
      </c>
      <c r="AC205" s="4">
        <v>5.6</v>
      </c>
      <c r="AD205" s="4">
        <v>5.74</v>
      </c>
      <c r="AE205" s="4">
        <v>5.9</v>
      </c>
      <c r="AF205" s="4">
        <v>5.5</v>
      </c>
      <c r="AG205" s="4">
        <v>5.49</v>
      </c>
      <c r="AH205" s="4">
        <v>5.39</v>
      </c>
      <c r="AI205" s="4">
        <v>5.46</v>
      </c>
      <c r="AJ205" s="4">
        <v>5.37</v>
      </c>
      <c r="AK205" s="4">
        <v>5.67</v>
      </c>
      <c r="AL205" s="4">
        <v>5.42</v>
      </c>
      <c r="AM205" s="4">
        <v>5.55</v>
      </c>
      <c r="AN205" s="4">
        <v>5.34</v>
      </c>
      <c r="AO205" s="4">
        <v>5.49</v>
      </c>
      <c r="AP205" s="4">
        <v>5.44</v>
      </c>
      <c r="AQ205" s="4">
        <v>5.83</v>
      </c>
      <c r="AR205" s="4">
        <v>5.26</v>
      </c>
      <c r="AS205" s="4">
        <v>5.47</v>
      </c>
      <c r="AT205" s="4">
        <v>5.31</v>
      </c>
      <c r="AU205" s="4">
        <v>5.46</v>
      </c>
      <c r="AV205" s="4">
        <v>5.66</v>
      </c>
      <c r="AW205" s="4">
        <v>5.95</v>
      </c>
      <c r="AX205" s="4">
        <v>5.87</v>
      </c>
      <c r="AY205" s="12">
        <v>6.21</v>
      </c>
      <c r="AZ205" s="12">
        <v>6.11</v>
      </c>
      <c r="BA205" s="12">
        <v>5.82</v>
      </c>
      <c r="BB205" s="15">
        <v>5.76</v>
      </c>
      <c r="BC205" s="52">
        <v>5.99</v>
      </c>
      <c r="BD205" s="52">
        <v>6.21</v>
      </c>
      <c r="BE205" s="52">
        <v>6.39</v>
      </c>
      <c r="BF205" s="52">
        <v>6.55</v>
      </c>
      <c r="BG205" s="67">
        <v>6.87</v>
      </c>
      <c r="BH205" s="52">
        <v>6.8</v>
      </c>
      <c r="BI205" s="52">
        <v>7.13</v>
      </c>
      <c r="BJ205" s="52">
        <v>6.6</v>
      </c>
      <c r="BK205" s="52">
        <v>6.36</v>
      </c>
      <c r="BL205" s="52">
        <v>6.36</v>
      </c>
      <c r="BM205" s="52">
        <v>6.21</v>
      </c>
      <c r="BN205" s="52">
        <v>6.02</v>
      </c>
      <c r="BO205" s="52">
        <v>6.3</v>
      </c>
      <c r="BP205" s="52" cm="1">
        <f t="array" aca="1" ref="BP205" ca="1">_FV(ED205,"Preço")</f>
        <v>6.53</v>
      </c>
      <c r="BQ205" s="70" t="s">
        <v>201</v>
      </c>
      <c r="BR205" s="36" cm="1">
        <f t="array" aca="1" ref="BR205" ca="1">_FV(ED205,"Média de volume",TRUE)</f>
        <v>44970</v>
      </c>
      <c r="BS205" s="36">
        <v>40900</v>
      </c>
      <c r="BT205" s="36" cm="1">
        <f t="array" aca="1" ref="BT205" ca="1">_FV(ED205,"Volume")</f>
        <v>37400</v>
      </c>
      <c r="BU205" s="24" cm="1">
        <f t="array" aca="1" ref="BU205" ca="1">_FV(ED205,"Beta")</f>
        <v>0.88570000000000004</v>
      </c>
      <c r="BV205" s="71" cm="1">
        <f t="array" aca="1" ref="BV205" ca="1">_FV(ED205,"Variação (%)",TRUE)</f>
        <v>0</v>
      </c>
      <c r="BX205" s="17" cm="1">
        <f t="array" aca="1" ref="BX205" ca="1">_FV(ED205,"Baixo")</f>
        <v>6.4</v>
      </c>
      <c r="BY205" s="17" cm="1">
        <f t="array" aca="1" ref="BY205" ca="1">_FV(ED205,"Alto")</f>
        <v>6.63</v>
      </c>
      <c r="BZ205" s="24"/>
      <c r="CA205" s="63">
        <f ca="1">SQRT(22.5*(BP205/VLOOKUP(BQ205,Fundamentus!A:U,3,FALSE))*(BP205/VLOOKUP(BQ205,Fundamentus!A:U,4,FALSE)))</f>
        <v>12.74768331415747</v>
      </c>
      <c r="CC205" s="62">
        <f t="shared" ca="1" si="241"/>
        <v>3.6507936507936579E-2</v>
      </c>
      <c r="CD205" s="8"/>
      <c r="CE205" s="61">
        <f t="shared" si="242"/>
        <v>3.95</v>
      </c>
      <c r="CF205" s="61">
        <f t="shared" si="243"/>
        <v>7.13</v>
      </c>
      <c r="CG205" s="61">
        <f t="shared" si="244"/>
        <v>5.5564179104477605</v>
      </c>
      <c r="CH205" s="14"/>
      <c r="CI205" s="35">
        <f t="shared" si="227"/>
        <v>5.8751274828468114</v>
      </c>
      <c r="CJ205" s="15">
        <f t="shared" si="245"/>
        <v>6.1299999999999955</v>
      </c>
      <c r="CK205" s="35">
        <f t="shared" si="228"/>
        <v>6.3848725171531795</v>
      </c>
      <c r="CM205" s="14"/>
      <c r="CN205" s="17">
        <f t="shared" si="229"/>
        <v>1.2766666666666664</v>
      </c>
      <c r="CO205" s="17">
        <f t="shared" si="230"/>
        <v>2.6133333333333333</v>
      </c>
      <c r="CP205" s="17">
        <f t="shared" si="231"/>
        <v>4.4566666666666661</v>
      </c>
      <c r="CQ205" s="38">
        <f t="shared" si="246"/>
        <v>5.793333333333333</v>
      </c>
      <c r="CR205" s="17">
        <f t="shared" si="232"/>
        <v>7.6366666666666658</v>
      </c>
      <c r="CS205" s="17">
        <f t="shared" si="233"/>
        <v>8.9733333333333327</v>
      </c>
      <c r="CT205" s="17">
        <f t="shared" si="234"/>
        <v>10.816666666666666</v>
      </c>
      <c r="CU205" s="2" cm="1">
        <f t="array" aca="1" ref="CU205" ca="1">MAX(_xlfn._xlws.FILTER(CN205:CT205,CN205:CT205&lt;BP205))</f>
        <v>5.793333333333333</v>
      </c>
      <c r="CV205" s="2" cm="1">
        <f t="array" aca="1" ref="CV205" ca="1">MIN(_xlfn._xlws.FILTER($CN205:$CT205,$CN205:$CT205&gt;BP205))</f>
        <v>7.6366666666666658</v>
      </c>
      <c r="CW205" s="16">
        <f t="shared" ca="1" si="209"/>
        <v>0.31818181818181812</v>
      </c>
      <c r="CX205" s="20">
        <f t="shared" ca="1" si="210"/>
        <v>-0.15909090909090906</v>
      </c>
      <c r="CY205" s="20">
        <f t="shared" ca="1" si="211"/>
        <v>-0.10606060606060604</v>
      </c>
      <c r="CZ205" s="20">
        <f t="shared" ca="1" si="212"/>
        <v>-6.363636363636363E-2</v>
      </c>
      <c r="DA205" s="20">
        <f t="shared" ca="1" si="213"/>
        <v>-3.5353535353535345E-2</v>
      </c>
      <c r="DB205" s="20">
        <f t="shared" ca="1" si="214"/>
        <v>-1.8716577540106947E-2</v>
      </c>
      <c r="DC205" s="20">
        <f t="shared" ca="1" si="215"/>
        <v>-9.6418732782369131E-3</v>
      </c>
      <c r="DD205" s="20">
        <f t="shared" ca="1" si="216"/>
        <v>-4.8951048951048938E-3</v>
      </c>
      <c r="DE205" s="21">
        <f t="shared" ca="1" si="217"/>
        <v>4.8951048951048938E-3</v>
      </c>
      <c r="DF205" s="21">
        <f t="shared" ca="1" si="218"/>
        <v>9.6418732782369131E-3</v>
      </c>
      <c r="DG205" s="21">
        <f t="shared" ca="1" si="219"/>
        <v>1.8716577540106947E-2</v>
      </c>
      <c r="DH205" s="21">
        <f t="shared" ca="1" si="220"/>
        <v>3.5353535353535345E-2</v>
      </c>
      <c r="DI205" s="21">
        <f t="shared" ca="1" si="221"/>
        <v>6.363636363636363E-2</v>
      </c>
      <c r="DJ205" s="21">
        <f t="shared" ca="1" si="222"/>
        <v>0.10606060606060604</v>
      </c>
      <c r="DK205" s="21">
        <f t="shared" ca="1" si="223"/>
        <v>0.15909090909090906</v>
      </c>
      <c r="DM205" s="16" cm="1">
        <f t="array" aca="1" ref="DM205" ca="1">MAX(_xlfn._xlws.FILTER(CX205:DK205,CX205:DK205&lt;BV205))</f>
        <v>-4.8951048951048938E-3</v>
      </c>
      <c r="DN205" s="16" cm="1">
        <f t="array" aca="1" ref="DN205" ca="1">MIN(_xlfn._xlws.FILTER(CX205:DK205,CX205:DK205&gt;BV205))</f>
        <v>4.8951048951048938E-3</v>
      </c>
      <c r="DO205" s="2" cm="1">
        <f t="array" aca="1" ref="DO205" ca="1">_FV(ED205,"Fechamento anterior",TRUE)</f>
        <v>6.53</v>
      </c>
      <c r="DP205" s="28">
        <f t="shared" ca="1" si="235"/>
        <v>0.5</v>
      </c>
      <c r="DQ205" s="15">
        <f t="shared" ca="1" si="224"/>
        <v>6.4980349650349654</v>
      </c>
      <c r="DR205" s="15">
        <f t="shared" ca="1" si="225"/>
        <v>6.5619650349650351</v>
      </c>
      <c r="DS205" s="9"/>
      <c r="DT205" s="9"/>
      <c r="DU205" s="9"/>
      <c r="DV205" s="89">
        <v>1.6636957813428398E-2</v>
      </c>
      <c r="DW205" s="89">
        <f t="shared" ca="1" si="236"/>
        <v>9.7902097902097876E-3</v>
      </c>
      <c r="DX205" s="72">
        <f t="shared" ca="1" si="237"/>
        <v>1.5694120514358789</v>
      </c>
      <c r="DY205" s="37"/>
      <c r="DZ205" s="35">
        <f t="shared" si="247"/>
        <v>0.12743625857659219</v>
      </c>
      <c r="EA205" s="56"/>
      <c r="EB205" s="56"/>
      <c r="ED205" s="2" t="e" vm="207">
        <v>#VALUE!</v>
      </c>
      <c r="EF205" s="10" cm="1">
        <f t="array" aca="1" ref="EF205" ca="1">_FV(ED205,"Ações em circulação",TRUE)</f>
        <v>61856210</v>
      </c>
      <c r="EG205" s="18">
        <f>VLOOKUP(BQ205,Fundamentus!A:U,5,FALSE)</f>
        <v>0.93300000000000005</v>
      </c>
      <c r="EH205" s="2">
        <f t="shared" ca="1" si="238"/>
        <v>432927171.81136119</v>
      </c>
      <c r="EI205" s="17">
        <v>63361841.86398714</v>
      </c>
      <c r="EJ205" s="17">
        <f t="shared" ca="1" si="239"/>
        <v>65675051.963783495</v>
      </c>
      <c r="EL205" s="16">
        <f t="shared" ca="1" si="226"/>
        <v>3.65079365079366E-2</v>
      </c>
      <c r="EM205" s="32" t="str">
        <f>IF(VLOOKUP(BQ205,Fundamentus!A:U,3,FALSE)&lt;15,"Bom",IF(VLOOKUP(BQ205,Fundamentus!A:U,3,FALSE)&gt;15,"Ruim","n/a"))</f>
        <v>Bom</v>
      </c>
      <c r="EN205" s="28" t="str">
        <f>IF(VLOOKUP(BQ205,Fundamentus!A:U,4,FALSE)&lt;1,"Baixo",IF(VLOOKUP(BQ205,Fundamentus!A:U,4,FALSE)&lt;1.5,"Moderado",IF(VLOOKUP(BQ205,Fundamentus!A:U,4,FALSE)&gt;1.5,"Alto","n/a")))</f>
        <v>Baixo</v>
      </c>
      <c r="EO205" s="17" t="str">
        <f>IF(VLOOKUP(BQ205,Fundamentus!A:U,8,FALSE)&lt;0,"Risco elevado",IF(VLOOKUP(BQ205,Fundamentus!A:U,8,FALSE)&lt;1,"Saudável",IF(VLOOKUP(BQ205,Fundamentus!A:U,8,FALSE)&lt;3,"Estável",IF(VLOOKUP(BQ205,Fundamentus!A:U,8,FALSE)&gt;3,"Alerta","n/a"))))</f>
        <v>Estável</v>
      </c>
      <c r="EP205" s="28" t="str">
        <f t="shared" si="240"/>
        <v>Ruim</v>
      </c>
      <c r="EQ205" s="17" t="str">
        <f>IF(VLOOKUP(BQ205,Fundamentus!A:U,12,FALSE)&lt;2,"Subvalorizada",IF(VLOOKUP(BQ205,Fundamentus!A:U,12,FALSE)&lt;6,"Muita barata",IF(VLOOKUP(BQ205,Fundamentus!A:U,12,FALSE)&lt;6,"Barata",IF(VLOOKUP(BQ205,Fundamentus!A:U,12,FALSE)&lt;8,"Atrativa",IF(VLOOKUP(BQ205,Fundamentus!A:U,12,FALSE)&gt;8,"Supervalorizada","n/a")))))</f>
        <v>Muita barata</v>
      </c>
      <c r="ES205" s="17" t="str">
        <f>IF(VLOOKUP(BQ205,Fundamentus!A:U,17,FALSE)&lt;0.1,"Fraco retorno",IF(VLOOKUP(BQ205,Fundamentus!A:U,17,FALSE)&gt;0.1,"Bom retorno","n/a"))</f>
        <v>Bom retorno</v>
      </c>
      <c r="ET205" s="17" t="str">
        <f>IF(VLOOKUP(BQ205,Fundamentus!A:U,16,FALSE)&lt;0.1,"Ineficiente",IF(VLOOKUP(BQ205,Fundamentus!A:U,16,FALSE)&gt;0.1,"Eficiente","n/a"))</f>
        <v>Eficiente</v>
      </c>
      <c r="EU205" s="33" t="str">
        <f>IF(VLOOKUP(BQ205,Fundamentus!A:U,16,FALSE)&lt;0.1,"Oper. Ineficiente",IF(VLOOKUP(BQ205,Fundamentus!A:U,16,FALSE)&gt;0.1,"Oper.Eficiente","n/a"))</f>
        <v>Oper.Eficiente</v>
      </c>
      <c r="EV205" s="34">
        <f>VLOOKUP(BQ205,Fundamentus!A:U,14,FALSE)</f>
        <v>0.1517</v>
      </c>
      <c r="EW205" s="17" t="str">
        <f>IF(VLOOKUP(BQ205,Fundamentus!A:U,21,FALSE)&lt;0,"Negativo",IF(VLOOKUP(BQ205,Fundamentus!A:U,21,FALSE)&lt;0.05,"Fraco",IF(VLOOKUP(BQ205,Fundamentus!A:U,21,FALSE)&lt;0.1,"Bom",IF(VLOOKUP(BQ205,Fundamentus!A:U,21,FALSE)&gt;0.1,"Muito bom","n/a"))))</f>
        <v>Muito bom</v>
      </c>
      <c r="EY205" s="29" t="str">
        <f>IF(VLOOKUP(BQ205,Fundamentus!A:U,15,FALSE)&gt;1,"Bom",IF(VLOOKUP(BQ205,Fundamentus!A:U,15,FALSE)&lt;1,"Ruim","n/a"))</f>
        <v>Bom</v>
      </c>
      <c r="EZ205" s="17" t="str">
        <f>IF(VLOOKUP(BQ205,Fundamentus!A:U,20,FALSE)&lt;0.5,"Baixa",IF(VLOOKUP(BQ205,Fundamentus!A:U,20,FALSE)&lt;1,"Moderada",IF(VLOOKUP(BQ205,Fundamentus!A:U,20,FALSE)&lt;2,"Alerta",IF(VLOOKUP(BQ205,Fundamentus!A:U,20,FALSE)&gt;2,"Alta","n/a"))))</f>
        <v>Baixa</v>
      </c>
      <c r="FA205" s="10"/>
    </row>
    <row r="206" spans="1:157" s="2" customFormat="1" ht="11.25" hidden="1" x14ac:dyDescent="0.2">
      <c r="A206" s="4">
        <v>28.59</v>
      </c>
      <c r="B206" s="4">
        <v>29.18</v>
      </c>
      <c r="C206" s="4">
        <v>27.03</v>
      </c>
      <c r="D206" s="4">
        <v>26.81</v>
      </c>
      <c r="E206" s="4">
        <v>27.2</v>
      </c>
      <c r="F206" s="4">
        <v>28.25</v>
      </c>
      <c r="G206" s="4">
        <v>30.74</v>
      </c>
      <c r="H206" s="4">
        <v>32.369999999999997</v>
      </c>
      <c r="I206" s="4">
        <v>32.54</v>
      </c>
      <c r="J206" s="4">
        <v>32.630000000000003</v>
      </c>
      <c r="K206" s="4">
        <v>32.46</v>
      </c>
      <c r="L206" s="4">
        <v>31.82</v>
      </c>
      <c r="M206" s="4">
        <v>30.48</v>
      </c>
      <c r="N206" s="4">
        <v>28.45</v>
      </c>
      <c r="O206" s="4">
        <v>29.22</v>
      </c>
      <c r="P206" s="4">
        <v>29.22</v>
      </c>
      <c r="Q206" s="4">
        <v>29.35</v>
      </c>
      <c r="R206" s="4">
        <v>27.72</v>
      </c>
      <c r="S206" s="4">
        <v>26.53</v>
      </c>
      <c r="T206" s="4">
        <v>26.2</v>
      </c>
      <c r="U206" s="4">
        <v>27.11</v>
      </c>
      <c r="V206" s="4">
        <v>26.5</v>
      </c>
      <c r="W206" s="4">
        <v>27.84</v>
      </c>
      <c r="X206" s="4">
        <v>26.42</v>
      </c>
      <c r="Y206" s="4">
        <v>26.01</v>
      </c>
      <c r="Z206" s="4">
        <v>25.54</v>
      </c>
      <c r="AA206" s="4">
        <v>26.64</v>
      </c>
      <c r="AB206" s="4">
        <v>25.37</v>
      </c>
      <c r="AC206" s="4">
        <v>24.79</v>
      </c>
      <c r="AD206" s="4">
        <v>25.39</v>
      </c>
      <c r="AE206" s="4">
        <v>25.4</v>
      </c>
      <c r="AF206" s="4">
        <v>25.23</v>
      </c>
      <c r="AG206" s="4">
        <v>24.69</v>
      </c>
      <c r="AH206" s="4">
        <v>24.11</v>
      </c>
      <c r="AI206" s="4">
        <v>23.59</v>
      </c>
      <c r="AJ206" s="4">
        <v>24.2</v>
      </c>
      <c r="AK206" s="4">
        <v>24.27</v>
      </c>
      <c r="AL206" s="4">
        <v>22.99</v>
      </c>
      <c r="AM206" s="4">
        <v>22.69</v>
      </c>
      <c r="AN206" s="4">
        <v>22.69</v>
      </c>
      <c r="AO206" s="4">
        <v>22.41</v>
      </c>
      <c r="AP206" s="4">
        <v>22.83</v>
      </c>
      <c r="AQ206" s="4">
        <v>22.67</v>
      </c>
      <c r="AR206" s="4">
        <v>21.17</v>
      </c>
      <c r="AS206" s="4">
        <v>21.41</v>
      </c>
      <c r="AT206" s="4">
        <v>22.2</v>
      </c>
      <c r="AU206" s="4">
        <v>22.47</v>
      </c>
      <c r="AV206" s="4">
        <v>20.71</v>
      </c>
      <c r="AW206" s="4">
        <v>19</v>
      </c>
      <c r="AX206" s="4">
        <v>19.920000000000002</v>
      </c>
      <c r="AY206" s="12">
        <v>19.579999999999998</v>
      </c>
      <c r="AZ206" s="12">
        <v>20.100000000000001</v>
      </c>
      <c r="BA206" s="12">
        <v>19.510000000000002</v>
      </c>
      <c r="BB206" s="15">
        <v>19.29</v>
      </c>
      <c r="BC206" s="52">
        <v>20.07</v>
      </c>
      <c r="BD206" s="52">
        <v>20.97</v>
      </c>
      <c r="BE206" s="52">
        <v>21.16</v>
      </c>
      <c r="BF206" s="52">
        <v>19.95</v>
      </c>
      <c r="BG206" s="67">
        <v>20.18</v>
      </c>
      <c r="BH206" s="52">
        <v>19.5</v>
      </c>
      <c r="BI206" s="52">
        <v>17.670000000000002</v>
      </c>
      <c r="BJ206" s="52">
        <v>17.850000000000001</v>
      </c>
      <c r="BK206" s="52">
        <v>17.13</v>
      </c>
      <c r="BL206" s="52">
        <v>17.78</v>
      </c>
      <c r="BM206" s="52">
        <v>17.72</v>
      </c>
      <c r="BN206" s="52">
        <v>17.05</v>
      </c>
      <c r="BO206" s="52">
        <v>17.05</v>
      </c>
      <c r="BP206" s="52" cm="1">
        <f t="array" aca="1" ref="BP206" ca="1">_FV(ED206,"Preço")</f>
        <v>16.29</v>
      </c>
      <c r="BQ206" s="69" t="s">
        <v>202</v>
      </c>
      <c r="BR206" s="36" cm="1">
        <f t="array" aca="1" ref="BR206" ca="1">_FV(ED206,"Média de volume",TRUE)</f>
        <v>1809230</v>
      </c>
      <c r="BS206" s="36">
        <v>1306800</v>
      </c>
      <c r="BT206" s="36" cm="1">
        <f t="array" aca="1" ref="BT206" ca="1">_FV(ED206,"Volume")</f>
        <v>2369700</v>
      </c>
      <c r="BU206" s="24" cm="1">
        <f t="array" aca="1" ref="BU206" ca="1">_FV(ED206,"Beta")</f>
        <v>0.37430000000000002</v>
      </c>
      <c r="BV206" s="71" cm="1">
        <f t="array" aca="1" ref="BV206" ca="1">_FV(ED206,"Variação (%)",TRUE)</f>
        <v>-3.6665000000000003E-2</v>
      </c>
      <c r="BX206" s="17" cm="1">
        <f t="array" aca="1" ref="BX206" ca="1">_FV(ED206,"Baixo")</f>
        <v>16.29</v>
      </c>
      <c r="BY206" s="17" cm="1">
        <f t="array" aca="1" ref="BY206" ca="1">_FV(ED206,"Alto")</f>
        <v>16.91</v>
      </c>
      <c r="BZ206" s="24"/>
      <c r="CA206" s="63">
        <f ca="1">SQRT(22.5*(BP206/VLOOKUP(BQ206,Fundamentus!A:U,3,FALSE))*(BP206/VLOOKUP(BQ206,Fundamentus!A:U,4,FALSE)))</f>
        <v>25.051197300821482</v>
      </c>
      <c r="CC206" s="62">
        <f t="shared" ca="1" si="241"/>
        <v>-4.4574780058651113E-2</v>
      </c>
      <c r="CD206" s="8"/>
      <c r="CE206" s="61">
        <f t="shared" si="242"/>
        <v>17.05</v>
      </c>
      <c r="CF206" s="61">
        <f t="shared" si="243"/>
        <v>32.630000000000003</v>
      </c>
      <c r="CG206" s="61">
        <f t="shared" si="244"/>
        <v>24.262835820895532</v>
      </c>
      <c r="CH206" s="14"/>
      <c r="CI206" s="35">
        <f t="shared" si="227"/>
        <v>16.021602683152793</v>
      </c>
      <c r="CJ206" s="15">
        <f t="shared" si="245"/>
        <v>16.684999999999945</v>
      </c>
      <c r="CK206" s="35">
        <f t="shared" si="228"/>
        <v>17.348397316847098</v>
      </c>
      <c r="CM206" s="14"/>
      <c r="CN206" s="17">
        <f t="shared" si="229"/>
        <v>-3.7233333333333327</v>
      </c>
      <c r="CO206" s="17">
        <f t="shared" si="230"/>
        <v>6.663333333333334</v>
      </c>
      <c r="CP206" s="17">
        <f t="shared" si="231"/>
        <v>11.856666666666669</v>
      </c>
      <c r="CQ206" s="38">
        <f t="shared" si="246"/>
        <v>22.243333333333336</v>
      </c>
      <c r="CR206" s="17">
        <f t="shared" si="232"/>
        <v>27.436666666666671</v>
      </c>
      <c r="CS206" s="17">
        <f t="shared" si="233"/>
        <v>37.823333333333338</v>
      </c>
      <c r="CT206" s="17">
        <f t="shared" si="234"/>
        <v>43.016666666666673</v>
      </c>
      <c r="CU206" s="2" cm="1">
        <f t="array" aca="1" ref="CU206" ca="1">MAX(_xlfn._xlws.FILTER(CN206:CT206,CN206:CT206&lt;BP206))</f>
        <v>11.856666666666669</v>
      </c>
      <c r="CV206" s="2" cm="1">
        <f t="array" aca="1" ref="CV206" ca="1">MIN(_xlfn._xlws.FILTER($CN206:$CT206,$CN206:$CT206&gt;BP206))</f>
        <v>22.243333333333336</v>
      </c>
      <c r="CW206" s="16">
        <f t="shared" ref="CW206:CW255" ca="1" si="248">(CV206/CU206)-1</f>
        <v>0.87601911723362358</v>
      </c>
      <c r="CX206" s="20">
        <f t="shared" ref="CX206:CX255" ca="1" si="249">-$CW206/2</f>
        <v>-0.43800955861681179</v>
      </c>
      <c r="CY206" s="20">
        <f t="shared" ref="CY206:CY255" ca="1" si="250">-$CW206/3</f>
        <v>-0.29200637241120786</v>
      </c>
      <c r="CZ206" s="20">
        <f t="shared" ref="CZ206:CZ255" ca="1" si="251">-$CW206/5</f>
        <v>-0.17520382344672472</v>
      </c>
      <c r="DA206" s="20">
        <f t="shared" ref="DA206:DA255" ca="1" si="252">-$CW206/9</f>
        <v>-9.733545747040262E-2</v>
      </c>
      <c r="DB206" s="20">
        <f t="shared" ref="DB206:DB255" ca="1" si="253">-$CW206/17</f>
        <v>-5.1530536307860211E-2</v>
      </c>
      <c r="DC206" s="20">
        <f t="shared" ref="DC206:DC255" ca="1" si="254">-$CW206/33</f>
        <v>-2.6546033855564352E-2</v>
      </c>
      <c r="DD206" s="20">
        <f t="shared" ref="DD206:DD255" ca="1" si="255">-$CW206/65</f>
        <v>-1.3477217188209593E-2</v>
      </c>
      <c r="DE206" s="21">
        <f t="shared" ref="DE206:DE255" ca="1" si="256">-$CW206/65*-1</f>
        <v>1.3477217188209593E-2</v>
      </c>
      <c r="DF206" s="21">
        <f t="shared" ref="DF206:DF255" ca="1" si="257">-$CW206/33*-1</f>
        <v>2.6546033855564352E-2</v>
      </c>
      <c r="DG206" s="21">
        <f t="shared" ref="DG206:DG255" ca="1" si="258">-$CW206/17*-1</f>
        <v>5.1530536307860211E-2</v>
      </c>
      <c r="DH206" s="21">
        <f t="shared" ref="DH206:DH255" ca="1" si="259">-$CW206/9*-1</f>
        <v>9.733545747040262E-2</v>
      </c>
      <c r="DI206" s="21">
        <f t="shared" ref="DI206:DI255" ca="1" si="260">-$CW206/5*-1</f>
        <v>0.17520382344672472</v>
      </c>
      <c r="DJ206" s="21">
        <f t="shared" ref="DJ206:DJ255" ca="1" si="261">-$CW206/3*-1</f>
        <v>0.29200637241120786</v>
      </c>
      <c r="DK206" s="21">
        <f t="shared" ref="DK206:DK255" ca="1" si="262">-$CW206/2*-1</f>
        <v>0.43800955861681179</v>
      </c>
      <c r="DM206" s="16" cm="1">
        <f t="array" aca="1" ref="DM206" ca="1">MAX(_xlfn._xlws.FILTER(CX206:DK206,CX206:DK206&lt;BV206))</f>
        <v>-5.1530536307860211E-2</v>
      </c>
      <c r="DN206" s="16" cm="1">
        <f t="array" aca="1" ref="DN206" ca="1">MIN(_xlfn._xlws.FILTER(CX206:DK206,CX206:DK206&gt;BV206))</f>
        <v>-2.6546033855564352E-2</v>
      </c>
      <c r="DO206" s="2" cm="1">
        <f t="array" aca="1" ref="DO206" ca="1">_FV(ED206,"Fechamento anterior",TRUE)</f>
        <v>16.91</v>
      </c>
      <c r="DP206" s="28">
        <f t="shared" ca="1" si="235"/>
        <v>0.59500247762639336</v>
      </c>
      <c r="DQ206" s="15">
        <f t="shared" ref="DQ206:DQ255" ca="1" si="263">DO206+(DO206*DM206)</f>
        <v>16.038618631034083</v>
      </c>
      <c r="DR206" s="15">
        <f t="shared" ref="DR206:DR255" ca="1" si="264">DO206+(DO206*DN206)</f>
        <v>16.461106567502409</v>
      </c>
      <c r="DS206" s="9"/>
      <c r="DT206" s="9"/>
      <c r="DU206" s="9"/>
      <c r="DV206" s="89">
        <v>2.6954434376419187E-2</v>
      </c>
      <c r="DW206" s="89">
        <f t="shared" ca="1" si="236"/>
        <v>2.4984502452295859E-2</v>
      </c>
      <c r="DX206" s="72">
        <f t="shared" ca="1" si="237"/>
        <v>-0.5954199541795171</v>
      </c>
      <c r="DY206" s="37"/>
      <c r="DZ206" s="35">
        <f t="shared" si="247"/>
        <v>0.33169865842357571</v>
      </c>
      <c r="EA206" s="56"/>
      <c r="EB206" s="56"/>
      <c r="ED206" s="2" t="e" vm="208">
        <v>#VALUE!</v>
      </c>
      <c r="EF206" s="10" cm="1">
        <f t="array" aca="1" ref="EF206" ca="1">_FV(ED206,"Ações em circulação",TRUE)</f>
        <v>332435400</v>
      </c>
      <c r="EG206" s="18">
        <f>VLOOKUP(BQ206,Fundamentus!A:U,5,FALSE)</f>
        <v>0.83099999999999996</v>
      </c>
      <c r="EH206" s="2">
        <f t="shared" ca="1" si="238"/>
        <v>6516693942.2382679</v>
      </c>
      <c r="EI206" s="17">
        <v>529970434.8844766</v>
      </c>
      <c r="EJ206" s="17">
        <f t="shared" ca="1" si="239"/>
        <v>506347119.31191343</v>
      </c>
      <c r="EL206" s="16">
        <f t="shared" ca="1" si="226"/>
        <v>-4.4574780058651009E-2</v>
      </c>
      <c r="EM206" s="32" t="str">
        <f>IF(VLOOKUP(BQ206,Fundamentus!A:U,3,FALSE)&lt;15,"Bom",IF(VLOOKUP(BQ206,Fundamentus!A:U,3,FALSE)&gt;15,"Ruim","n/a"))</f>
        <v>Bom</v>
      </c>
      <c r="EN206" s="28" t="str">
        <f>IF(VLOOKUP(BQ206,Fundamentus!A:U,4,FALSE)&lt;1,"Baixo",IF(VLOOKUP(BQ206,Fundamentus!A:U,4,FALSE)&lt;1.5,"Moderado",IF(VLOOKUP(BQ206,Fundamentus!A:U,4,FALSE)&gt;1.5,"Alto","n/a")))</f>
        <v>Baixo</v>
      </c>
      <c r="EO206" s="17" t="str">
        <f>IF(VLOOKUP(BQ206,Fundamentus!A:U,8,FALSE)&lt;0,"Risco elevado",IF(VLOOKUP(BQ206,Fundamentus!A:U,8,FALSE)&lt;1,"Saudável",IF(VLOOKUP(BQ206,Fundamentus!A:U,8,FALSE)&lt;3,"Estável",IF(VLOOKUP(BQ206,Fundamentus!A:U,8,FALSE)&gt;3,"Alerta","n/a"))))</f>
        <v>Estável</v>
      </c>
      <c r="EP206" s="28" t="str">
        <f t="shared" si="240"/>
        <v>Ruim</v>
      </c>
      <c r="EQ206" s="17" t="str">
        <f>IF(VLOOKUP(BQ206,Fundamentus!A:U,12,FALSE)&lt;2,"Subvalorizada",IF(VLOOKUP(BQ206,Fundamentus!A:U,12,FALSE)&lt;6,"Muita barata",IF(VLOOKUP(BQ206,Fundamentus!A:U,12,FALSE)&lt;6,"Barata",IF(VLOOKUP(BQ206,Fundamentus!A:U,12,FALSE)&lt;8,"Atrativa",IF(VLOOKUP(BQ206,Fundamentus!A:U,12,FALSE)&gt;8,"Supervalorizada","n/a")))))</f>
        <v>Muita barata</v>
      </c>
      <c r="ES206" s="17" t="str">
        <f>IF(VLOOKUP(BQ206,Fundamentus!A:U,17,FALSE)&lt;0.1,"Fraco retorno",IF(VLOOKUP(BQ206,Fundamentus!A:U,17,FALSE)&gt;0.1,"Bom retorno","n/a"))</f>
        <v>Fraco retorno</v>
      </c>
      <c r="ET206" s="17" t="str">
        <f>IF(VLOOKUP(BQ206,Fundamentus!A:U,16,FALSE)&lt;0.1,"Ineficiente",IF(VLOOKUP(BQ206,Fundamentus!A:U,16,FALSE)&gt;0.1,"Eficiente","n/a"))</f>
        <v>Ineficiente</v>
      </c>
      <c r="EU206" s="33" t="str">
        <f>IF(VLOOKUP(BQ206,Fundamentus!A:U,16,FALSE)&lt;0.1,"Oper. Ineficiente",IF(VLOOKUP(BQ206,Fundamentus!A:U,16,FALSE)&gt;0.1,"Oper.Eficiente","n/a"))</f>
        <v>Oper. Ineficiente</v>
      </c>
      <c r="EV206" s="34">
        <f>VLOOKUP(BQ206,Fundamentus!A:U,14,FALSE)</f>
        <v>7.7700000000000005E-2</v>
      </c>
      <c r="EW206" s="17" t="str">
        <f>IF(VLOOKUP(BQ206,Fundamentus!A:U,21,FALSE)&lt;0,"Negativo",IF(VLOOKUP(BQ206,Fundamentus!A:U,21,FALSE)&lt;0.05,"Fraco",IF(VLOOKUP(BQ206,Fundamentus!A:U,21,FALSE)&lt;0.1,"Bom",IF(VLOOKUP(BQ206,Fundamentus!A:U,21,FALSE)&gt;0.1,"Muito bom","n/a"))))</f>
        <v>Muito bom</v>
      </c>
      <c r="EY206" s="29" t="str">
        <f>IF(VLOOKUP(BQ206,Fundamentus!A:U,15,FALSE)&gt;1,"Bom",IF(VLOOKUP(BQ206,Fundamentus!A:U,15,FALSE)&lt;1,"Ruim","n/a"))</f>
        <v>Bom</v>
      </c>
      <c r="EZ206" s="17" t="str">
        <f>IF(VLOOKUP(BQ206,Fundamentus!A:U,20,FALSE)&lt;0.5,"Baixa",IF(VLOOKUP(BQ206,Fundamentus!A:U,20,FALSE)&lt;1,"Moderada",IF(VLOOKUP(BQ206,Fundamentus!A:U,20,FALSE)&lt;2,"Alerta",IF(VLOOKUP(BQ206,Fundamentus!A:U,20,FALSE)&gt;2,"Alta","n/a"))))</f>
        <v>Alerta</v>
      </c>
      <c r="FA206" s="10"/>
    </row>
    <row r="207" spans="1:157" s="2" customFormat="1" ht="11.25" hidden="1" x14ac:dyDescent="0.2">
      <c r="A207" s="4">
        <v>9.09</v>
      </c>
      <c r="B207" s="4">
        <v>9.02</v>
      </c>
      <c r="C207" s="4">
        <v>8.8800000000000008</v>
      </c>
      <c r="D207" s="4">
        <v>8.7100000000000009</v>
      </c>
      <c r="E207" s="4">
        <v>8.5</v>
      </c>
      <c r="F207" s="4">
        <v>8.2899999999999991</v>
      </c>
      <c r="G207" s="4">
        <v>8.2799999999999994</v>
      </c>
      <c r="H207" s="4">
        <v>8.3699999999999992</v>
      </c>
      <c r="I207" s="4">
        <v>8.5</v>
      </c>
      <c r="J207" s="4">
        <v>9</v>
      </c>
      <c r="K207" s="4">
        <v>8.7200000000000006</v>
      </c>
      <c r="L207" s="4">
        <v>8.9</v>
      </c>
      <c r="M207" s="4">
        <v>8.73</v>
      </c>
      <c r="N207" s="4">
        <v>8.3000000000000007</v>
      </c>
      <c r="O207" s="4">
        <v>8.11</v>
      </c>
      <c r="P207" s="4">
        <v>8.09</v>
      </c>
      <c r="Q207" s="4">
        <v>8.17</v>
      </c>
      <c r="R207" s="4">
        <v>7.99</v>
      </c>
      <c r="S207" s="4">
        <v>7.65</v>
      </c>
      <c r="T207" s="4">
        <v>7.69</v>
      </c>
      <c r="U207" s="4">
        <v>7.53</v>
      </c>
      <c r="V207" s="4">
        <v>7.58</v>
      </c>
      <c r="W207" s="4">
        <v>7.6</v>
      </c>
      <c r="X207" s="4">
        <v>7.47</v>
      </c>
      <c r="Y207" s="4">
        <v>7.33</v>
      </c>
      <c r="Z207" s="4">
        <v>7.58</v>
      </c>
      <c r="AA207" s="4">
        <v>7.25</v>
      </c>
      <c r="AB207" s="4">
        <v>7.2</v>
      </c>
      <c r="AC207" s="4">
        <v>6.88</v>
      </c>
      <c r="AD207" s="4">
        <v>7.15</v>
      </c>
      <c r="AE207" s="4">
        <v>7.09</v>
      </c>
      <c r="AF207" s="4">
        <v>7</v>
      </c>
      <c r="AG207" s="4">
        <v>6.98</v>
      </c>
      <c r="AH207" s="4">
        <v>6.96</v>
      </c>
      <c r="AI207" s="4">
        <v>6.77</v>
      </c>
      <c r="AJ207" s="4">
        <v>6.46</v>
      </c>
      <c r="AK207" s="4">
        <v>6.93</v>
      </c>
      <c r="AL207" s="4">
        <v>6.96</v>
      </c>
      <c r="AM207" s="4">
        <v>7.11</v>
      </c>
      <c r="AN207" s="4">
        <v>7.3</v>
      </c>
      <c r="AO207" s="4">
        <v>7.05</v>
      </c>
      <c r="AP207" s="4">
        <v>7.16</v>
      </c>
      <c r="AQ207" s="4">
        <v>7.21</v>
      </c>
      <c r="AR207" s="4">
        <v>7.27</v>
      </c>
      <c r="AS207" s="4">
        <v>7.69</v>
      </c>
      <c r="AT207" s="4">
        <v>7.35</v>
      </c>
      <c r="AU207" s="4">
        <v>7.23</v>
      </c>
      <c r="AV207" s="4">
        <v>7.17</v>
      </c>
      <c r="AW207" s="4">
        <v>7.33</v>
      </c>
      <c r="AX207" s="4">
        <v>7.2</v>
      </c>
      <c r="AY207" s="12">
        <v>7.17</v>
      </c>
      <c r="AZ207" s="12">
        <v>7.48</v>
      </c>
      <c r="BA207" s="12">
        <v>8.0299999999999994</v>
      </c>
      <c r="BB207" s="15">
        <v>8.0500000000000007</v>
      </c>
      <c r="BC207" s="52">
        <v>8.1</v>
      </c>
      <c r="BD207" s="52">
        <v>7.63</v>
      </c>
      <c r="BE207" s="52">
        <v>7.47</v>
      </c>
      <c r="BF207" s="52">
        <v>7.64</v>
      </c>
      <c r="BG207" s="67">
        <v>7.56</v>
      </c>
      <c r="BH207" s="52">
        <v>7.44</v>
      </c>
      <c r="BI207" s="52">
        <v>7.33</v>
      </c>
      <c r="BJ207" s="52">
        <v>7.58</v>
      </c>
      <c r="BK207" s="52">
        <v>7.3</v>
      </c>
      <c r="BL207" s="52">
        <v>7.12</v>
      </c>
      <c r="BM207" s="52">
        <v>7.27</v>
      </c>
      <c r="BN207" s="52">
        <v>7.55</v>
      </c>
      <c r="BO207" s="52">
        <v>7.79</v>
      </c>
      <c r="BP207" s="52" cm="1">
        <f t="array" aca="1" ref="BP207" ca="1">_FV(ED207,"Preço")</f>
        <v>7.41</v>
      </c>
      <c r="BQ207" s="69" t="s">
        <v>203</v>
      </c>
      <c r="BR207" s="36" cm="1">
        <f t="array" aca="1" ref="BR207" ca="1">_FV(ED207,"Média de volume",TRUE)</f>
        <v>809600</v>
      </c>
      <c r="BS207" s="36">
        <v>428700</v>
      </c>
      <c r="BT207" s="36" cm="1">
        <f t="array" aca="1" ref="BT207" ca="1">_FV(ED207,"Volume")</f>
        <v>497500</v>
      </c>
      <c r="BU207" s="24" cm="1">
        <f t="array" aca="1" ref="BU207" ca="1">_FV(ED207,"Beta")</f>
        <v>0.61580000000000001</v>
      </c>
      <c r="BV207" s="71" cm="1">
        <f t="array" aca="1" ref="BV207" ca="1">_FV(ED207,"Variação (%)",TRUE)</f>
        <v>9.5370000000000003E-3</v>
      </c>
      <c r="BX207" s="17" cm="1">
        <f t="array" aca="1" ref="BX207" ca="1">_FV(ED207,"Baixo")</f>
        <v>7.3</v>
      </c>
      <c r="BY207" s="17" cm="1">
        <f t="array" aca="1" ref="BY207" ca="1">_FV(ED207,"Alto")</f>
        <v>7.43</v>
      </c>
      <c r="BZ207" s="24"/>
      <c r="CA207" s="63">
        <f ca="1">SQRT(22.5*(BP207/VLOOKUP(BQ207,Fundamentus!A:U,3,FALSE))*(BP207/VLOOKUP(BQ207,Fundamentus!A:U,4,FALSE)))</f>
        <v>13.650939085820909</v>
      </c>
      <c r="CC207" s="62">
        <f t="shared" ca="1" si="241"/>
        <v>-4.8780487804878037E-2</v>
      </c>
      <c r="CD207" s="8"/>
      <c r="CE207" s="61">
        <f t="shared" si="242"/>
        <v>6.46</v>
      </c>
      <c r="CF207" s="61">
        <f t="shared" si="243"/>
        <v>9.09</v>
      </c>
      <c r="CG207" s="61">
        <f t="shared" si="244"/>
        <v>7.6610447761194038</v>
      </c>
      <c r="CH207" s="14"/>
      <c r="CI207" s="35">
        <f t="shared" si="227"/>
        <v>7.5319503197336335</v>
      </c>
      <c r="CJ207" s="15">
        <f t="shared" si="245"/>
        <v>8.0049999999998818</v>
      </c>
      <c r="CK207" s="35">
        <f t="shared" si="228"/>
        <v>8.47804968026613</v>
      </c>
      <c r="CM207" s="14"/>
      <c r="CN207" s="17">
        <f t="shared" si="229"/>
        <v>3.8400000000000007</v>
      </c>
      <c r="CO207" s="17">
        <f t="shared" si="230"/>
        <v>5.15</v>
      </c>
      <c r="CP207" s="17">
        <f t="shared" si="231"/>
        <v>6.4700000000000006</v>
      </c>
      <c r="CQ207" s="38">
        <f t="shared" si="246"/>
        <v>7.78</v>
      </c>
      <c r="CR207" s="17">
        <f t="shared" si="232"/>
        <v>9.1000000000000014</v>
      </c>
      <c r="CS207" s="17">
        <f t="shared" si="233"/>
        <v>10.41</v>
      </c>
      <c r="CT207" s="17">
        <f t="shared" si="234"/>
        <v>11.73</v>
      </c>
      <c r="CU207" s="2" cm="1">
        <f t="array" aca="1" ref="CU207" ca="1">MAX(_xlfn._xlws.FILTER(CN207:CT207,CN207:CT207&lt;BP207))</f>
        <v>6.4700000000000006</v>
      </c>
      <c r="CV207" s="2" cm="1">
        <f t="array" aca="1" ref="CV207" ca="1">MIN(_xlfn._xlws.FILTER($CN207:$CT207,$CN207:$CT207&gt;BP207))</f>
        <v>7.78</v>
      </c>
      <c r="CW207" s="16">
        <f t="shared" ca="1" si="248"/>
        <v>0.20247295208655314</v>
      </c>
      <c r="CX207" s="20">
        <f t="shared" ca="1" si="249"/>
        <v>-0.10123647604327657</v>
      </c>
      <c r="CY207" s="20">
        <f t="shared" ca="1" si="250"/>
        <v>-6.749098402885105E-2</v>
      </c>
      <c r="CZ207" s="20">
        <f t="shared" ca="1" si="251"/>
        <v>-4.0494590417310627E-2</v>
      </c>
      <c r="DA207" s="20">
        <f t="shared" ca="1" si="252"/>
        <v>-2.2496994676283681E-2</v>
      </c>
      <c r="DB207" s="20">
        <f t="shared" ca="1" si="253"/>
        <v>-1.1910173652150184E-2</v>
      </c>
      <c r="DC207" s="20">
        <f t="shared" ca="1" si="254"/>
        <v>-6.1355440026228227E-3</v>
      </c>
      <c r="DD207" s="20">
        <f t="shared" ca="1" si="255"/>
        <v>-3.1149684936392788E-3</v>
      </c>
      <c r="DE207" s="21">
        <f t="shared" ca="1" si="256"/>
        <v>3.1149684936392788E-3</v>
      </c>
      <c r="DF207" s="21">
        <f t="shared" ca="1" si="257"/>
        <v>6.1355440026228227E-3</v>
      </c>
      <c r="DG207" s="21">
        <f t="shared" ca="1" si="258"/>
        <v>1.1910173652150184E-2</v>
      </c>
      <c r="DH207" s="21">
        <f t="shared" ca="1" si="259"/>
        <v>2.2496994676283681E-2</v>
      </c>
      <c r="DI207" s="21">
        <f t="shared" ca="1" si="260"/>
        <v>4.0494590417310627E-2</v>
      </c>
      <c r="DJ207" s="21">
        <f t="shared" ca="1" si="261"/>
        <v>6.749098402885105E-2</v>
      </c>
      <c r="DK207" s="21">
        <f t="shared" ca="1" si="262"/>
        <v>0.10123647604327657</v>
      </c>
      <c r="DM207" s="16" cm="1">
        <f t="array" aca="1" ref="DM207" ca="1">MAX(_xlfn._xlws.FILTER(CX207:DK207,CX207:DK207&lt;BV207))</f>
        <v>6.1355440026228227E-3</v>
      </c>
      <c r="DN207" s="16" cm="1">
        <f t="array" aca="1" ref="DN207" ca="1">MIN(_xlfn._xlws.FILTER(CX207:DK207,CX207:DK207&gt;BV207))</f>
        <v>1.1910173652150184E-2</v>
      </c>
      <c r="DO207" s="2" cm="1">
        <f t="array" aca="1" ref="DO207" ca="1">_FV(ED207,"Fechamento anterior",TRUE)</f>
        <v>7.34</v>
      </c>
      <c r="DP207" s="28">
        <f t="shared" ca="1" si="235"/>
        <v>0.58899720760446961</v>
      </c>
      <c r="DQ207" s="15">
        <f t="shared" ca="1" si="263"/>
        <v>7.3850348929792515</v>
      </c>
      <c r="DR207" s="15">
        <f t="shared" ca="1" si="264"/>
        <v>7.4274206746067826</v>
      </c>
      <c r="DS207" s="9"/>
      <c r="DT207" s="9"/>
      <c r="DU207" s="9"/>
      <c r="DV207" s="89">
        <v>1.508140531276779E-2</v>
      </c>
      <c r="DW207" s="89">
        <f t="shared" ca="1" si="236"/>
        <v>5.7746296495273615E-3</v>
      </c>
      <c r="DX207" s="72">
        <f t="shared" ca="1" si="237"/>
        <v>-1.2577960092161897</v>
      </c>
      <c r="DY207" s="37"/>
      <c r="DZ207" s="35">
        <f t="shared" si="247"/>
        <v>0.2365248401331243</v>
      </c>
      <c r="EA207" s="56"/>
      <c r="EB207" s="56"/>
      <c r="ED207" s="2" t="e" vm="209">
        <v>#VALUE!</v>
      </c>
      <c r="EF207" s="10" cm="1">
        <f t="array" aca="1" ref="EF207" ca="1">_FV(ED207,"Ações em circulação",TRUE)</f>
        <v>239829900</v>
      </c>
      <c r="EG207" s="18">
        <f>VLOOKUP(BQ207,Fundamentus!A:U,5,FALSE)</f>
        <v>1.0429999999999999</v>
      </c>
      <c r="EH207" s="2">
        <f t="shared" ca="1" si="238"/>
        <v>1703873019.1754556</v>
      </c>
      <c r="EI207" s="17">
        <v>346607092.24688399</v>
      </c>
      <c r="EJ207" s="17">
        <f t="shared" ca="1" si="239"/>
        <v>329699429.21045065</v>
      </c>
      <c r="EL207" s="16">
        <f t="shared" ca="1" si="226"/>
        <v>-4.8780487804877981E-2</v>
      </c>
      <c r="EM207" s="32" t="str">
        <f>IF(VLOOKUP(BQ207,Fundamentus!A:U,3,FALSE)&lt;15,"Bom",IF(VLOOKUP(BQ207,Fundamentus!A:U,3,FALSE)&gt;15,"Ruim","n/a"))</f>
        <v>Bom</v>
      </c>
      <c r="EN207" s="28" t="str">
        <f>IF(VLOOKUP(BQ207,Fundamentus!A:U,4,FALSE)&lt;1,"Baixo",IF(VLOOKUP(BQ207,Fundamentus!A:U,4,FALSE)&lt;1.5,"Moderado",IF(VLOOKUP(BQ207,Fundamentus!A:U,4,FALSE)&gt;1.5,"Alto","n/a")))</f>
        <v>Moderado</v>
      </c>
      <c r="EO207" s="17" t="str">
        <f>IF(VLOOKUP(BQ207,Fundamentus!A:U,8,FALSE)&lt;0,"Risco elevado",IF(VLOOKUP(BQ207,Fundamentus!A:U,8,FALSE)&lt;1,"Saudável",IF(VLOOKUP(BQ207,Fundamentus!A:U,8,FALSE)&lt;3,"Estável",IF(VLOOKUP(BQ207,Fundamentus!A:U,8,FALSE)&gt;3,"Alerta","n/a"))))</f>
        <v>Estável</v>
      </c>
      <c r="EP207" s="28" t="str">
        <f t="shared" si="240"/>
        <v>Bom</v>
      </c>
      <c r="EQ207" s="17" t="str">
        <f>IF(VLOOKUP(BQ207,Fundamentus!A:U,12,FALSE)&lt;2,"Subvalorizada",IF(VLOOKUP(BQ207,Fundamentus!A:U,12,FALSE)&lt;6,"Muita barata",IF(VLOOKUP(BQ207,Fundamentus!A:U,12,FALSE)&lt;6,"Barata",IF(VLOOKUP(BQ207,Fundamentus!A:U,12,FALSE)&lt;8,"Atrativa",IF(VLOOKUP(BQ207,Fundamentus!A:U,12,FALSE)&gt;8,"Supervalorizada","n/a")))))</f>
        <v>Muita barata</v>
      </c>
      <c r="ES207" s="17" t="str">
        <f>IF(VLOOKUP(BQ207,Fundamentus!A:U,17,FALSE)&lt;0.1,"Fraco retorno",IF(VLOOKUP(BQ207,Fundamentus!A:U,17,FALSE)&gt;0.1,"Bom retorno","n/a"))</f>
        <v>Bom retorno</v>
      </c>
      <c r="ET207" s="17" t="str">
        <f>IF(VLOOKUP(BQ207,Fundamentus!A:U,16,FALSE)&lt;0.1,"Ineficiente",IF(VLOOKUP(BQ207,Fundamentus!A:U,16,FALSE)&gt;0.1,"Eficiente","n/a"))</f>
        <v>Eficiente</v>
      </c>
      <c r="EU207" s="33" t="str">
        <f>IF(VLOOKUP(BQ207,Fundamentus!A:U,16,FALSE)&lt;0.1,"Oper. Ineficiente",IF(VLOOKUP(BQ207,Fundamentus!A:U,16,FALSE)&gt;0.1,"Oper.Eficiente","n/a"))</f>
        <v>Oper.Eficiente</v>
      </c>
      <c r="EV207" s="34">
        <f>VLOOKUP(BQ207,Fundamentus!A:U,14,FALSE)</f>
        <v>0.19350000000000001</v>
      </c>
      <c r="EW207" s="17" t="str">
        <f>IF(VLOOKUP(BQ207,Fundamentus!A:U,21,FALSE)&lt;0,"Negativo",IF(VLOOKUP(BQ207,Fundamentus!A:U,21,FALSE)&lt;0.05,"Fraco",IF(VLOOKUP(BQ207,Fundamentus!A:U,21,FALSE)&lt;0.1,"Bom",IF(VLOOKUP(BQ207,Fundamentus!A:U,21,FALSE)&gt;0.1,"Muito bom","n/a"))))</f>
        <v>Bom</v>
      </c>
      <c r="EY207" s="29" t="str">
        <f>IF(VLOOKUP(BQ207,Fundamentus!A:U,15,FALSE)&gt;1,"Bom",IF(VLOOKUP(BQ207,Fundamentus!A:U,15,FALSE)&lt;1,"Ruim","n/a"))</f>
        <v>Bom</v>
      </c>
      <c r="EZ207" s="17" t="str">
        <f>IF(VLOOKUP(BQ207,Fundamentus!A:U,20,FALSE)&lt;0.5,"Baixa",IF(VLOOKUP(BQ207,Fundamentus!A:U,20,FALSE)&lt;1,"Moderada",IF(VLOOKUP(BQ207,Fundamentus!A:U,20,FALSE)&lt;2,"Alerta",IF(VLOOKUP(BQ207,Fundamentus!A:U,20,FALSE)&gt;2,"Alta","n/a"))))</f>
        <v>Alerta</v>
      </c>
      <c r="FA207" s="10"/>
    </row>
    <row r="208" spans="1:157" s="2" customFormat="1" ht="11.25" hidden="1" x14ac:dyDescent="0.2">
      <c r="A208" s="4">
        <v>4.87</v>
      </c>
      <c r="B208" s="4">
        <v>4.7699999999999996</v>
      </c>
      <c r="C208" s="4">
        <v>4.45</v>
      </c>
      <c r="D208" s="4">
        <v>3.81</v>
      </c>
      <c r="E208" s="4">
        <v>3.76</v>
      </c>
      <c r="F208" s="4">
        <v>3.55</v>
      </c>
      <c r="G208" s="4">
        <v>3.5</v>
      </c>
      <c r="H208" s="4">
        <v>3.45</v>
      </c>
      <c r="I208" s="4">
        <v>3.65</v>
      </c>
      <c r="J208" s="4">
        <v>3.75</v>
      </c>
      <c r="K208" s="4">
        <v>4.0999999999999996</v>
      </c>
      <c r="L208" s="4">
        <v>3.92</v>
      </c>
      <c r="M208" s="4">
        <v>3.71</v>
      </c>
      <c r="N208" s="4">
        <v>3.63</v>
      </c>
      <c r="O208" s="4">
        <v>4.03</v>
      </c>
      <c r="P208" s="4">
        <v>3.77</v>
      </c>
      <c r="Q208" s="4">
        <v>5.25</v>
      </c>
      <c r="R208" s="4">
        <v>4.8600000000000003</v>
      </c>
      <c r="S208" s="4">
        <v>4.8499999999999996</v>
      </c>
      <c r="T208" s="4">
        <v>4.75</v>
      </c>
      <c r="U208" s="4">
        <v>4.5999999999999996</v>
      </c>
      <c r="V208" s="4">
        <v>4.91</v>
      </c>
      <c r="W208" s="4">
        <v>4.9400000000000004</v>
      </c>
      <c r="X208" s="4">
        <v>4.88</v>
      </c>
      <c r="Y208" s="4">
        <v>4.83</v>
      </c>
      <c r="Z208" s="4">
        <v>4.8600000000000003</v>
      </c>
      <c r="AA208" s="4">
        <v>4.99</v>
      </c>
      <c r="AB208" s="4">
        <v>4.88</v>
      </c>
      <c r="AC208" s="4">
        <v>4.3</v>
      </c>
      <c r="AD208" s="4">
        <v>4.3</v>
      </c>
      <c r="AE208" s="4">
        <v>4.3</v>
      </c>
      <c r="AF208" s="4">
        <v>3.99</v>
      </c>
      <c r="AG208" s="4">
        <v>3.9</v>
      </c>
      <c r="AH208" s="4">
        <v>3.92</v>
      </c>
      <c r="AI208" s="4">
        <v>4.1500000000000004</v>
      </c>
      <c r="AJ208" s="4">
        <v>4.0199999999999996</v>
      </c>
      <c r="AK208" s="4">
        <v>4.0599999999999996</v>
      </c>
      <c r="AL208" s="4">
        <v>4.47</v>
      </c>
      <c r="AM208" s="4">
        <v>4.7</v>
      </c>
      <c r="AN208" s="4">
        <v>4.6900000000000004</v>
      </c>
      <c r="AO208" s="4">
        <v>4.49</v>
      </c>
      <c r="AP208" s="4">
        <v>4.3899999999999997</v>
      </c>
      <c r="AQ208" s="4">
        <v>4.24</v>
      </c>
      <c r="AR208" s="4">
        <v>4</v>
      </c>
      <c r="AS208" s="4">
        <v>4.25</v>
      </c>
      <c r="AT208" s="4">
        <v>4.6399999999999997</v>
      </c>
      <c r="AU208" s="4">
        <v>4.3650000000000002</v>
      </c>
      <c r="AV208" s="4">
        <v>4.09</v>
      </c>
      <c r="AW208" s="4">
        <v>4.04</v>
      </c>
      <c r="AX208" s="4">
        <v>4.0199999999999996</v>
      </c>
      <c r="AY208" s="12">
        <v>4.05</v>
      </c>
      <c r="AZ208" s="12">
        <v>4.53</v>
      </c>
      <c r="BA208" s="12">
        <v>4.6500000000000004</v>
      </c>
      <c r="BB208" s="15">
        <v>4.43</v>
      </c>
      <c r="BC208" s="52">
        <v>4.18</v>
      </c>
      <c r="BD208" s="52">
        <v>4.4800000000000004</v>
      </c>
      <c r="BE208" s="52">
        <v>4.32</v>
      </c>
      <c r="BF208" s="52">
        <v>4.2</v>
      </c>
      <c r="BG208" s="67">
        <v>4.16</v>
      </c>
      <c r="BH208" s="52">
        <v>4.0199999999999996</v>
      </c>
      <c r="BI208" s="52">
        <v>3.97</v>
      </c>
      <c r="BJ208" s="52">
        <v>3.86</v>
      </c>
      <c r="BK208" s="52">
        <v>3.65</v>
      </c>
      <c r="BL208" s="52">
        <v>3.95</v>
      </c>
      <c r="BM208" s="52">
        <v>3.99</v>
      </c>
      <c r="BN208" s="52">
        <v>4.04</v>
      </c>
      <c r="BO208" s="52">
        <v>4.2300000000000004</v>
      </c>
      <c r="BP208" s="52" cm="1">
        <f t="array" aca="1" ref="BP208" ca="1">_FV(ED208,"Preço")</f>
        <v>3.9</v>
      </c>
      <c r="BQ208" s="69" t="s">
        <v>204</v>
      </c>
      <c r="BR208" s="36" cm="1">
        <f t="array" aca="1" ref="BR208" ca="1">_FV(ED208,"Média de volume",TRUE)</f>
        <v>7552810</v>
      </c>
      <c r="BS208" s="36">
        <v>21758700</v>
      </c>
      <c r="BT208" s="36" cm="1">
        <f t="array" aca="1" ref="BT208" ca="1">_FV(ED208,"Volume")</f>
        <v>9215900</v>
      </c>
      <c r="BU208" s="24" cm="1">
        <f t="array" aca="1" ref="BU208" ca="1">_FV(ED208,"Beta")</f>
        <v>1.1655</v>
      </c>
      <c r="BV208" s="71" cm="1">
        <f t="array" aca="1" ref="BV208" ca="1">_FV(ED208,"Variação (%)",TRUE)</f>
        <v>-2.0101000000000001E-2</v>
      </c>
      <c r="BX208" s="17" cm="1">
        <f t="array" aca="1" ref="BX208" ca="1">_FV(ED208,"Baixo")</f>
        <v>3.82</v>
      </c>
      <c r="BY208" s="17" cm="1">
        <f t="array" aca="1" ref="BY208" ca="1">_FV(ED208,"Alto")</f>
        <v>4</v>
      </c>
      <c r="BZ208" s="24"/>
      <c r="CA208" s="63" t="e">
        <f ca="1">SQRT(22.5*(BP208/VLOOKUP(BQ208,Fundamentus!A:U,3,FALSE))*(BP208/VLOOKUP(BQ208,Fundamentus!A:U,4,FALSE)))</f>
        <v>#NUM!</v>
      </c>
      <c r="CC208" s="62">
        <f t="shared" ca="1" si="241"/>
        <v>-7.8014184397163233E-2</v>
      </c>
      <c r="CD208" s="8"/>
      <c r="CE208" s="61">
        <f t="shared" si="242"/>
        <v>3.45</v>
      </c>
      <c r="CF208" s="61">
        <f t="shared" si="243"/>
        <v>5.25</v>
      </c>
      <c r="CG208" s="61">
        <f t="shared" si="244"/>
        <v>4.2590298507462689</v>
      </c>
      <c r="CH208" s="14"/>
      <c r="CI208" s="35">
        <f t="shared" si="227"/>
        <v>3.9001080155564574</v>
      </c>
      <c r="CJ208" s="15">
        <f t="shared" si="245"/>
        <v>4.2749999999999773</v>
      </c>
      <c r="CK208" s="35">
        <f t="shared" si="228"/>
        <v>4.6498919844434967</v>
      </c>
      <c r="CM208" s="14"/>
      <c r="CN208" s="17">
        <f t="shared" si="229"/>
        <v>1.5699999999999994</v>
      </c>
      <c r="CO208" s="17">
        <f t="shared" si="230"/>
        <v>2.5099999999999998</v>
      </c>
      <c r="CP208" s="17">
        <f t="shared" si="231"/>
        <v>3.3699999999999992</v>
      </c>
      <c r="CQ208" s="38">
        <f t="shared" si="246"/>
        <v>4.3099999999999996</v>
      </c>
      <c r="CR208" s="17">
        <f t="shared" si="232"/>
        <v>5.169999999999999</v>
      </c>
      <c r="CS208" s="17">
        <f t="shared" si="233"/>
        <v>6.1099999999999994</v>
      </c>
      <c r="CT208" s="17">
        <f t="shared" si="234"/>
        <v>6.9699999999999989</v>
      </c>
      <c r="CU208" s="2" cm="1">
        <f t="array" aca="1" ref="CU208" ca="1">MAX(_xlfn._xlws.FILTER(CN208:CT208,CN208:CT208&lt;BP208))</f>
        <v>3.3699999999999992</v>
      </c>
      <c r="CV208" s="2" cm="1">
        <f t="array" aca="1" ref="CV208" ca="1">MIN(_xlfn._xlws.FILTER($CN208:$CT208,$CN208:$CT208&gt;BP208))</f>
        <v>4.3099999999999996</v>
      </c>
      <c r="CW208" s="16">
        <f t="shared" ca="1" si="248"/>
        <v>0.27893175074183985</v>
      </c>
      <c r="CX208" s="20">
        <f t="shared" ca="1" si="249"/>
        <v>-0.13946587537091992</v>
      </c>
      <c r="CY208" s="20">
        <f t="shared" ca="1" si="250"/>
        <v>-9.2977250247279944E-2</v>
      </c>
      <c r="CZ208" s="20">
        <f t="shared" ca="1" si="251"/>
        <v>-5.5786350148367969E-2</v>
      </c>
      <c r="DA208" s="20">
        <f t="shared" ca="1" si="252"/>
        <v>-3.0992416749093317E-2</v>
      </c>
      <c r="DB208" s="20">
        <f t="shared" ca="1" si="253"/>
        <v>-1.6407750043637637E-2</v>
      </c>
      <c r="DC208" s="20">
        <f t="shared" ca="1" si="254"/>
        <v>-8.4524772952072683E-3</v>
      </c>
      <c r="DD208" s="20">
        <f t="shared" ca="1" si="255"/>
        <v>-4.2912577037206127E-3</v>
      </c>
      <c r="DE208" s="21">
        <f t="shared" ca="1" si="256"/>
        <v>4.2912577037206127E-3</v>
      </c>
      <c r="DF208" s="21">
        <f t="shared" ca="1" si="257"/>
        <v>8.4524772952072683E-3</v>
      </c>
      <c r="DG208" s="21">
        <f t="shared" ca="1" si="258"/>
        <v>1.6407750043637637E-2</v>
      </c>
      <c r="DH208" s="21">
        <f t="shared" ca="1" si="259"/>
        <v>3.0992416749093317E-2</v>
      </c>
      <c r="DI208" s="21">
        <f t="shared" ca="1" si="260"/>
        <v>5.5786350148367969E-2</v>
      </c>
      <c r="DJ208" s="21">
        <f t="shared" ca="1" si="261"/>
        <v>9.2977250247279944E-2</v>
      </c>
      <c r="DK208" s="21">
        <f t="shared" ca="1" si="262"/>
        <v>0.13946587537091992</v>
      </c>
      <c r="DM208" s="16" cm="1">
        <f t="array" aca="1" ref="DM208" ca="1">MAX(_xlfn._xlws.FILTER(CX208:DK208,CX208:DK208&lt;BV208))</f>
        <v>-3.0992416749093317E-2</v>
      </c>
      <c r="DN208" s="16" cm="1">
        <f t="array" aca="1" ref="DN208" ca="1">MIN(_xlfn._xlws.FILTER(CX208:DK208,CX208:DK208&gt;BV208))</f>
        <v>-1.6407750043637637E-2</v>
      </c>
      <c r="DO208" s="2" cm="1">
        <f t="array" aca="1" ref="DO208" ca="1">_FV(ED208,"Fechamento anterior",TRUE)</f>
        <v>3.98</v>
      </c>
      <c r="DP208" s="28">
        <f t="shared" ca="1" si="235"/>
        <v>0.74680583769913111</v>
      </c>
      <c r="DQ208" s="15">
        <f t="shared" ca="1" si="263"/>
        <v>3.8566501813386087</v>
      </c>
      <c r="DR208" s="15">
        <f t="shared" ca="1" si="264"/>
        <v>3.9146971548263223</v>
      </c>
      <c r="DS208" s="9"/>
      <c r="DT208" s="9"/>
      <c r="DU208" s="9"/>
      <c r="DV208" s="89">
        <v>8.5825154074412255E-3</v>
      </c>
      <c r="DW208" s="89">
        <f t="shared" ca="1" si="236"/>
        <v>1.458466670545568E-2</v>
      </c>
      <c r="DX208" s="72">
        <f t="shared" ca="1" si="237"/>
        <v>-1.000288124475688</v>
      </c>
      <c r="DY208" s="37"/>
      <c r="DZ208" s="35">
        <f t="shared" si="247"/>
        <v>0.18744599222175987</v>
      </c>
      <c r="EA208" s="56"/>
      <c r="EB208" s="56"/>
      <c r="ED208" s="2" t="e" vm="210">
        <v>#VALUE!</v>
      </c>
      <c r="EF208" s="10" cm="1">
        <f t="array" aca="1" ref="EF208" ca="1">_FV(ED208,"Ações em circulação",TRUE)</f>
        <v>462739900</v>
      </c>
      <c r="EG208" s="18">
        <f>VLOOKUP(BQ208,Fundamentus!A:U,5,FALSE)</f>
        <v>0.54600000000000004</v>
      </c>
      <c r="EH208" s="2">
        <f t="shared" ca="1" si="238"/>
        <v>3305284999.9999995</v>
      </c>
      <c r="EI208" s="17">
        <v>-43019555.538461544</v>
      </c>
      <c r="EJ208" s="17">
        <f t="shared" ca="1" si="239"/>
        <v>-39663419.999999993</v>
      </c>
      <c r="EL208" s="16">
        <f t="shared" ca="1" si="226"/>
        <v>-7.8014184397163455E-2</v>
      </c>
      <c r="EM208" s="32" t="str">
        <f>IF(VLOOKUP(BQ208,Fundamentus!A:U,3,FALSE)&lt;15,"Bom",IF(VLOOKUP(BQ208,Fundamentus!A:U,3,FALSE)&gt;15,"Ruim","n/a"))</f>
        <v>Bom</v>
      </c>
      <c r="EN208" s="28" t="str">
        <f>IF(VLOOKUP(BQ208,Fundamentus!A:U,4,FALSE)&lt;1,"Baixo",IF(VLOOKUP(BQ208,Fundamentus!A:U,4,FALSE)&lt;1.5,"Moderado",IF(VLOOKUP(BQ208,Fundamentus!A:U,4,FALSE)&gt;1.5,"Alto","n/a")))</f>
        <v>Moderado</v>
      </c>
      <c r="EO208" s="17" t="str">
        <f>IF(VLOOKUP(BQ208,Fundamentus!A:U,8,FALSE)&lt;0,"Risco elevado",IF(VLOOKUP(BQ208,Fundamentus!A:U,8,FALSE)&lt;1,"Saudável",IF(VLOOKUP(BQ208,Fundamentus!A:U,8,FALSE)&lt;3,"Estável",IF(VLOOKUP(BQ208,Fundamentus!A:U,8,FALSE)&gt;3,"Alerta","n/a"))))</f>
        <v>Alerta</v>
      </c>
      <c r="EP208" s="28" t="str">
        <f t="shared" si="240"/>
        <v>Ruim</v>
      </c>
      <c r="EQ208" s="17" t="str">
        <f>IF(VLOOKUP(BQ208,Fundamentus!A:U,12,FALSE)&lt;2,"Subvalorizada",IF(VLOOKUP(BQ208,Fundamentus!A:U,12,FALSE)&lt;6,"Muita barata",IF(VLOOKUP(BQ208,Fundamentus!A:U,12,FALSE)&lt;6,"Barata",IF(VLOOKUP(BQ208,Fundamentus!A:U,12,FALSE)&lt;8,"Atrativa",IF(VLOOKUP(BQ208,Fundamentus!A:U,12,FALSE)&gt;8,"Supervalorizada","n/a")))))</f>
        <v>Muita barata</v>
      </c>
      <c r="ES208" s="17" t="str">
        <f>IF(VLOOKUP(BQ208,Fundamentus!A:U,17,FALSE)&lt;0.1,"Fraco retorno",IF(VLOOKUP(BQ208,Fundamentus!A:U,17,FALSE)&gt;0.1,"Bom retorno","n/a"))</f>
        <v>Fraco retorno</v>
      </c>
      <c r="ET208" s="17" t="str">
        <f>IF(VLOOKUP(BQ208,Fundamentus!A:U,16,FALSE)&lt;0.1,"Ineficiente",IF(VLOOKUP(BQ208,Fundamentus!A:U,16,FALSE)&gt;0.1,"Eficiente","n/a"))</f>
        <v>Ineficiente</v>
      </c>
      <c r="EU208" s="33" t="str">
        <f>IF(VLOOKUP(BQ208,Fundamentus!A:U,16,FALSE)&lt;0.1,"Oper. Ineficiente",IF(VLOOKUP(BQ208,Fundamentus!A:U,16,FALSE)&gt;0.1,"Oper.Eficiente","n/a"))</f>
        <v>Oper. Ineficiente</v>
      </c>
      <c r="EV208" s="34">
        <f>VLOOKUP(BQ208,Fundamentus!A:U,14,FALSE)</f>
        <v>-1.2E-2</v>
      </c>
      <c r="EW208" s="17" t="str">
        <f>IF(VLOOKUP(BQ208,Fundamentus!A:U,21,FALSE)&lt;0,"Negativo",IF(VLOOKUP(BQ208,Fundamentus!A:U,21,FALSE)&lt;0.05,"Fraco",IF(VLOOKUP(BQ208,Fundamentus!A:U,21,FALSE)&lt;0.1,"Bom",IF(VLOOKUP(BQ208,Fundamentus!A:U,21,FALSE)&gt;0.1,"Muito bom","n/a"))))</f>
        <v>Muito bom</v>
      </c>
      <c r="EY208" s="29" t="str">
        <f>IF(VLOOKUP(BQ208,Fundamentus!A:U,15,FALSE)&gt;1,"Bom",IF(VLOOKUP(BQ208,Fundamentus!A:U,15,FALSE)&lt;1,"Ruim","n/a"))</f>
        <v>Bom</v>
      </c>
      <c r="EZ208" s="17" t="str">
        <f>IF(VLOOKUP(BQ208,Fundamentus!A:U,20,FALSE)&lt;0.5,"Baixa",IF(VLOOKUP(BQ208,Fundamentus!A:U,20,FALSE)&lt;1,"Moderada",IF(VLOOKUP(BQ208,Fundamentus!A:U,20,FALSE)&lt;2,"Alerta",IF(VLOOKUP(BQ208,Fundamentus!A:U,20,FALSE)&gt;2,"Alta","n/a"))))</f>
        <v>Baixa</v>
      </c>
      <c r="FA208" s="10"/>
    </row>
    <row r="209" spans="1:157" s="2" customFormat="1" ht="11.25" hidden="1" x14ac:dyDescent="0.2">
      <c r="A209" s="4">
        <v>28.18</v>
      </c>
      <c r="B209" s="4">
        <v>28.52</v>
      </c>
      <c r="C209" s="4">
        <v>28.71</v>
      </c>
      <c r="D209" s="4">
        <v>29</v>
      </c>
      <c r="E209" s="4">
        <v>28.56</v>
      </c>
      <c r="F209" s="4">
        <v>28.5</v>
      </c>
      <c r="G209" s="4">
        <v>30.59</v>
      </c>
      <c r="H209" s="4">
        <v>29.83</v>
      </c>
      <c r="I209" s="4">
        <v>30.25</v>
      </c>
      <c r="J209" s="4">
        <v>29.5</v>
      </c>
      <c r="K209" s="4">
        <v>29.28</v>
      </c>
      <c r="L209" s="4">
        <v>28.06</v>
      </c>
      <c r="M209" s="4">
        <v>28.13</v>
      </c>
      <c r="N209" s="4">
        <v>27.62</v>
      </c>
      <c r="O209" s="4">
        <v>29.62</v>
      </c>
      <c r="P209" s="4">
        <v>29.54</v>
      </c>
      <c r="Q209" s="4">
        <v>31.46</v>
      </c>
      <c r="R209" s="4">
        <v>29.97</v>
      </c>
      <c r="S209" s="4">
        <v>29.36</v>
      </c>
      <c r="T209" s="4">
        <v>30.18</v>
      </c>
      <c r="U209" s="4">
        <v>28.95</v>
      </c>
      <c r="V209" s="4">
        <v>28.28</v>
      </c>
      <c r="W209" s="4">
        <v>27.99</v>
      </c>
      <c r="X209" s="4">
        <v>28</v>
      </c>
      <c r="Y209" s="4">
        <v>28.72</v>
      </c>
      <c r="Z209" s="4">
        <v>28.87</v>
      </c>
      <c r="AA209" s="4">
        <v>30.95</v>
      </c>
      <c r="AB209" s="4">
        <v>30.86</v>
      </c>
      <c r="AC209" s="4">
        <v>30</v>
      </c>
      <c r="AD209" s="4">
        <v>29.82</v>
      </c>
      <c r="AE209" s="4">
        <v>27.46</v>
      </c>
      <c r="AF209" s="4">
        <v>27.35</v>
      </c>
      <c r="AG209" s="4">
        <v>29.17</v>
      </c>
      <c r="AH209" s="4">
        <v>27.65</v>
      </c>
      <c r="AI209" s="4">
        <v>27.03</v>
      </c>
      <c r="AJ209" s="4">
        <v>26.14</v>
      </c>
      <c r="AK209" s="4">
        <v>26.71</v>
      </c>
      <c r="AL209" s="4">
        <v>28.2</v>
      </c>
      <c r="AM209" s="4">
        <v>29.91</v>
      </c>
      <c r="AN209" s="4">
        <v>34.06</v>
      </c>
      <c r="AO209" s="4">
        <v>33.54</v>
      </c>
      <c r="AP209" s="4">
        <v>34.4</v>
      </c>
      <c r="AQ209" s="4">
        <v>35.06</v>
      </c>
      <c r="AR209" s="4">
        <v>34.96</v>
      </c>
      <c r="AS209" s="4">
        <v>34.119999999999997</v>
      </c>
      <c r="AT209" s="4">
        <v>33.47</v>
      </c>
      <c r="AU209" s="4">
        <v>34.575000000000003</v>
      </c>
      <c r="AV209" s="4">
        <v>33.4</v>
      </c>
      <c r="AW209" s="4">
        <v>34.15</v>
      </c>
      <c r="AX209" s="4">
        <v>34.700000000000003</v>
      </c>
      <c r="AY209" s="12">
        <v>36.64</v>
      </c>
      <c r="AZ209" s="12">
        <v>37.520000000000003</v>
      </c>
      <c r="BA209" s="12">
        <v>37.619999999999997</v>
      </c>
      <c r="BB209" s="15">
        <v>38.020000000000003</v>
      </c>
      <c r="BC209" s="52">
        <v>40.67</v>
      </c>
      <c r="BD209" s="52">
        <v>42.5</v>
      </c>
      <c r="BE209" s="52">
        <v>42.21</v>
      </c>
      <c r="BF209" s="52">
        <v>40.98</v>
      </c>
      <c r="BG209" s="67">
        <v>41.04</v>
      </c>
      <c r="BH209" s="52">
        <v>40.89</v>
      </c>
      <c r="BI209" s="52">
        <v>41.52</v>
      </c>
      <c r="BJ209" s="52">
        <v>43.11</v>
      </c>
      <c r="BK209" s="52">
        <v>41.09</v>
      </c>
      <c r="BL209" s="52">
        <v>41.7</v>
      </c>
      <c r="BM209" s="52">
        <v>43</v>
      </c>
      <c r="BN209" s="52">
        <v>43.8</v>
      </c>
      <c r="BO209" s="52">
        <v>42.8</v>
      </c>
      <c r="BP209" s="52" cm="1">
        <f t="array" aca="1" ref="BP209" ca="1">_FV(ED209,"Preço")</f>
        <v>42.16</v>
      </c>
      <c r="BQ209" s="69" t="s">
        <v>32</v>
      </c>
      <c r="BR209" s="36" cm="1">
        <f t="array" aca="1" ref="BR209" ca="1">_FV(ED209,"Média de volume",TRUE)</f>
        <v>2958150</v>
      </c>
      <c r="BS209" s="36">
        <v>2847000</v>
      </c>
      <c r="BT209" s="36" cm="1">
        <f t="array" aca="1" ref="BT209" ca="1">_FV(ED209,"Volume")</f>
        <v>2805400</v>
      </c>
      <c r="BU209" s="24" cm="1">
        <f t="array" aca="1" ref="BU209" ca="1">_FV(ED209,"Beta")</f>
        <v>0.96630000000000005</v>
      </c>
      <c r="BV209" s="71" cm="1">
        <f t="array" aca="1" ref="BV209" ca="1">_FV(ED209,"Variação (%)",TRUE)</f>
        <v>2.0823000000000001E-2</v>
      </c>
      <c r="BX209" s="17" cm="1">
        <f t="array" aca="1" ref="BX209" ca="1">_FV(ED209,"Baixo")</f>
        <v>41.06</v>
      </c>
      <c r="BY209" s="17" cm="1">
        <f t="array" aca="1" ref="BY209" ca="1">_FV(ED209,"Alto")</f>
        <v>42.16</v>
      </c>
      <c r="BZ209" s="24"/>
      <c r="CA209" s="63">
        <f ca="1">SQRT(22.5*(BP209/VLOOKUP(BQ209,Fundamentus!A:U,3,FALSE))*(BP209/VLOOKUP(BQ209,Fundamentus!A:U,4,FALSE)))</f>
        <v>15.117316239498411</v>
      </c>
      <c r="CC209" s="62">
        <f t="shared" ca="1" si="241"/>
        <v>-1.4953271028037398E-2</v>
      </c>
      <c r="CD209" s="8"/>
      <c r="CE209" s="61">
        <f t="shared" si="242"/>
        <v>26.14</v>
      </c>
      <c r="CF209" s="61">
        <f t="shared" si="243"/>
        <v>43.8</v>
      </c>
      <c r="CG209" s="61">
        <f t="shared" si="244"/>
        <v>32.812910447761205</v>
      </c>
      <c r="CH209" s="14"/>
      <c r="CI209" s="35">
        <f t="shared" si="227"/>
        <v>41.920092230182924</v>
      </c>
      <c r="CJ209" s="15">
        <f t="shared" si="245"/>
        <v>43.849999999999909</v>
      </c>
      <c r="CK209" s="35">
        <f t="shared" si="228"/>
        <v>45.779907769816894</v>
      </c>
      <c r="CM209" s="14"/>
      <c r="CN209" s="17">
        <f t="shared" si="229"/>
        <v>13.700000000000003</v>
      </c>
      <c r="CO209" s="17">
        <f t="shared" si="230"/>
        <v>19.920000000000002</v>
      </c>
      <c r="CP209" s="17">
        <f t="shared" si="231"/>
        <v>31.36</v>
      </c>
      <c r="CQ209" s="38">
        <f t="shared" si="246"/>
        <v>37.58</v>
      </c>
      <c r="CR209" s="17">
        <f t="shared" si="232"/>
        <v>49.019999999999996</v>
      </c>
      <c r="CS209" s="17">
        <f t="shared" si="233"/>
        <v>55.239999999999995</v>
      </c>
      <c r="CT209" s="17">
        <f t="shared" si="234"/>
        <v>66.679999999999993</v>
      </c>
      <c r="CU209" s="2" cm="1">
        <f t="array" aca="1" ref="CU209" ca="1">MAX(_xlfn._xlws.FILTER(CN209:CT209,CN209:CT209&lt;BP209))</f>
        <v>37.58</v>
      </c>
      <c r="CV209" s="2" cm="1">
        <f t="array" aca="1" ref="CV209" ca="1">MIN(_xlfn._xlws.FILTER($CN209:$CT209,$CN209:$CT209&gt;BP209))</f>
        <v>49.019999999999996</v>
      </c>
      <c r="CW209" s="16">
        <f t="shared" ca="1" si="248"/>
        <v>0.30441724321447583</v>
      </c>
      <c r="CX209" s="20">
        <f t="shared" ca="1" si="249"/>
        <v>-0.15220862160723792</v>
      </c>
      <c r="CY209" s="20">
        <f t="shared" ca="1" si="250"/>
        <v>-0.10147241440482528</v>
      </c>
      <c r="CZ209" s="20">
        <f t="shared" ca="1" si="251"/>
        <v>-6.0883448642895167E-2</v>
      </c>
      <c r="DA209" s="20">
        <f t="shared" ca="1" si="252"/>
        <v>-3.3824138134941756E-2</v>
      </c>
      <c r="DB209" s="20">
        <f t="shared" ca="1" si="253"/>
        <v>-1.7906896659675049E-2</v>
      </c>
      <c r="DC209" s="20">
        <f t="shared" ca="1" si="254"/>
        <v>-9.2247649458932074E-3</v>
      </c>
      <c r="DD209" s="20">
        <f t="shared" ca="1" si="255"/>
        <v>-4.6833422032996281E-3</v>
      </c>
      <c r="DE209" s="21">
        <f t="shared" ca="1" si="256"/>
        <v>4.6833422032996281E-3</v>
      </c>
      <c r="DF209" s="21">
        <f t="shared" ca="1" si="257"/>
        <v>9.2247649458932074E-3</v>
      </c>
      <c r="DG209" s="21">
        <f t="shared" ca="1" si="258"/>
        <v>1.7906896659675049E-2</v>
      </c>
      <c r="DH209" s="21">
        <f t="shared" ca="1" si="259"/>
        <v>3.3824138134941756E-2</v>
      </c>
      <c r="DI209" s="21">
        <f t="shared" ca="1" si="260"/>
        <v>6.0883448642895167E-2</v>
      </c>
      <c r="DJ209" s="21">
        <f t="shared" ca="1" si="261"/>
        <v>0.10147241440482528</v>
      </c>
      <c r="DK209" s="21">
        <f t="shared" ca="1" si="262"/>
        <v>0.15220862160723792</v>
      </c>
      <c r="DM209" s="16" cm="1">
        <f t="array" aca="1" ref="DM209" ca="1">MAX(_xlfn._xlws.FILTER(CX209:DK209,CX209:DK209&lt;BV209))</f>
        <v>1.7906896659675049E-2</v>
      </c>
      <c r="DN209" s="16" cm="1">
        <f t="array" aca="1" ref="DN209" ca="1">MIN(_xlfn._xlws.FILTER(CX209:DK209,CX209:DK209&gt;BV209))</f>
        <v>3.3824138134941756E-2</v>
      </c>
      <c r="DO209" s="2" cm="1">
        <f t="array" aca="1" ref="DO209" ca="1">_FV(ED209,"Fechamento anterior",TRUE)</f>
        <v>41.3</v>
      </c>
      <c r="DP209" s="28">
        <f t="shared" ca="1" si="235"/>
        <v>0.18321942887620332</v>
      </c>
      <c r="DQ209" s="15">
        <f t="shared" ca="1" si="263"/>
        <v>42.03955483204458</v>
      </c>
      <c r="DR209" s="15">
        <f t="shared" ca="1" si="264"/>
        <v>42.696936904973093</v>
      </c>
      <c r="DS209" s="9"/>
      <c r="DT209" s="9"/>
      <c r="DU209" s="9"/>
      <c r="DV209" s="89">
        <v>9.3666844065992561E-3</v>
      </c>
      <c r="DW209" s="89">
        <f t="shared" ca="1" si="236"/>
        <v>1.5917241475266707E-2</v>
      </c>
      <c r="DX209" s="72">
        <f t="shared" ca="1" si="237"/>
        <v>-0.87568951554621521</v>
      </c>
      <c r="DY209" s="37"/>
      <c r="DZ209" s="35">
        <f t="shared" si="247"/>
        <v>0.96495388490849421</v>
      </c>
      <c r="EA209" s="56"/>
      <c r="EB209" s="56"/>
      <c r="ED209" s="2" t="e" vm="211">
        <v>#VALUE!</v>
      </c>
      <c r="EF209" s="10" cm="1">
        <f t="array" aca="1" ref="EF209" ca="1">_FV(ED209,"Ações em circulação",TRUE)</f>
        <v>599401600</v>
      </c>
      <c r="EG209" s="18">
        <f>VLOOKUP(BQ209,Fundamentus!A:U,5,FALSE)</f>
        <v>4.7249999999999996</v>
      </c>
      <c r="EH209" s="2">
        <f t="shared" ca="1" si="238"/>
        <v>5348311419.2592592</v>
      </c>
      <c r="EI209" s="17">
        <v>805194880.75851846</v>
      </c>
      <c r="EJ209" s="17">
        <f t="shared" ca="1" si="239"/>
        <v>793154583.47614813</v>
      </c>
      <c r="EL209" s="16">
        <f t="shared" ca="1" si="226"/>
        <v>-1.495327102803734E-2</v>
      </c>
      <c r="EM209" s="32" t="str">
        <f>IF(VLOOKUP(BQ209,Fundamentus!A:U,3,FALSE)&lt;15,"Bom",IF(VLOOKUP(BQ209,Fundamentus!A:U,3,FALSE)&gt;15,"Ruim","n/a"))</f>
        <v>Ruim</v>
      </c>
      <c r="EN209" s="28" t="str">
        <f>IF(VLOOKUP(BQ209,Fundamentus!A:U,4,FALSE)&lt;1,"Baixo",IF(VLOOKUP(BQ209,Fundamentus!A:U,4,FALSE)&lt;1.5,"Moderado",IF(VLOOKUP(BQ209,Fundamentus!A:U,4,FALSE)&gt;1.5,"Alto","n/a")))</f>
        <v>Alto</v>
      </c>
      <c r="EO209" s="17" t="str">
        <f>IF(VLOOKUP(BQ209,Fundamentus!A:U,8,FALSE)&lt;0,"Risco elevado",IF(VLOOKUP(BQ209,Fundamentus!A:U,8,FALSE)&lt;1,"Saudável",IF(VLOOKUP(BQ209,Fundamentus!A:U,8,FALSE)&lt;3,"Estável",IF(VLOOKUP(BQ209,Fundamentus!A:U,8,FALSE)&gt;3,"Alerta","n/a"))))</f>
        <v>Alerta</v>
      </c>
      <c r="EP209" s="28" t="str">
        <f t="shared" si="240"/>
        <v>Bom</v>
      </c>
      <c r="EQ209" s="17" t="str">
        <f>IF(VLOOKUP(BQ209,Fundamentus!A:U,12,FALSE)&lt;2,"Subvalorizada",IF(VLOOKUP(BQ209,Fundamentus!A:U,12,FALSE)&lt;6,"Muita barata",IF(VLOOKUP(BQ209,Fundamentus!A:U,12,FALSE)&lt;6,"Barata",IF(VLOOKUP(BQ209,Fundamentus!A:U,12,FALSE)&lt;8,"Atrativa",IF(VLOOKUP(BQ209,Fundamentus!A:U,12,FALSE)&gt;8,"Supervalorizada","n/a")))))</f>
        <v>Supervalorizada</v>
      </c>
      <c r="ES209" s="17" t="str">
        <f>IF(VLOOKUP(BQ209,Fundamentus!A:U,17,FALSE)&lt;0.1,"Fraco retorno",IF(VLOOKUP(BQ209,Fundamentus!A:U,17,FALSE)&gt;0.1,"Bom retorno","n/a"))</f>
        <v>Bom retorno</v>
      </c>
      <c r="ET209" s="17" t="str">
        <f>IF(VLOOKUP(BQ209,Fundamentus!A:U,16,FALSE)&lt;0.1,"Ineficiente",IF(VLOOKUP(BQ209,Fundamentus!A:U,16,FALSE)&gt;0.1,"Eficiente","n/a"))</f>
        <v>Eficiente</v>
      </c>
      <c r="EU209" s="33" t="str">
        <f>IF(VLOOKUP(BQ209,Fundamentus!A:U,16,FALSE)&lt;0.1,"Oper. Ineficiente",IF(VLOOKUP(BQ209,Fundamentus!A:U,16,FALSE)&gt;0.1,"Oper.Eficiente","n/a"))</f>
        <v>Oper.Eficiente</v>
      </c>
      <c r="EV209" s="34">
        <f>VLOOKUP(BQ209,Fundamentus!A:U,14,FALSE)</f>
        <v>0.14829999999999999</v>
      </c>
      <c r="EW209" s="17" t="str">
        <f>IF(VLOOKUP(BQ209,Fundamentus!A:U,21,FALSE)&lt;0,"Negativo",IF(VLOOKUP(BQ209,Fundamentus!A:U,21,FALSE)&lt;0.05,"Fraco",IF(VLOOKUP(BQ209,Fundamentus!A:U,21,FALSE)&lt;0.1,"Bom",IF(VLOOKUP(BQ209,Fundamentus!A:U,21,FALSE)&gt;0.1,"Muito bom","n/a"))))</f>
        <v>Muito bom</v>
      </c>
      <c r="EY209" s="29" t="str">
        <f>IF(VLOOKUP(BQ209,Fundamentus!A:U,15,FALSE)&gt;1,"Bom",IF(VLOOKUP(BQ209,Fundamentus!A:U,15,FALSE)&lt;1,"Ruim","n/a"))</f>
        <v>Bom</v>
      </c>
      <c r="EZ209" s="17" t="str">
        <f>IF(VLOOKUP(BQ209,Fundamentus!A:U,20,FALSE)&lt;0.5,"Baixa",IF(VLOOKUP(BQ209,Fundamentus!A:U,20,FALSE)&lt;1,"Moderada",IF(VLOOKUP(BQ209,Fundamentus!A:U,20,FALSE)&lt;2,"Alerta",IF(VLOOKUP(BQ209,Fundamentus!A:U,20,FALSE)&gt;2,"Alta","n/a"))))</f>
        <v>Baixa</v>
      </c>
      <c r="FA209" s="10">
        <v>4</v>
      </c>
    </row>
    <row r="210" spans="1:157" s="2" customFormat="1" ht="11.25" hidden="1" x14ac:dyDescent="0.2">
      <c r="A210" s="4">
        <v>16.18</v>
      </c>
      <c r="B210" s="4">
        <v>16.12</v>
      </c>
      <c r="C210" s="4">
        <v>12.9</v>
      </c>
      <c r="D210" s="4">
        <v>13.63</v>
      </c>
      <c r="E210" s="4">
        <v>12.09</v>
      </c>
      <c r="F210" s="4">
        <v>11.38</v>
      </c>
      <c r="G210" s="4">
        <v>11.22</v>
      </c>
      <c r="H210" s="4">
        <v>10.84</v>
      </c>
      <c r="I210" s="4">
        <v>10.4</v>
      </c>
      <c r="J210" s="4">
        <v>11.71</v>
      </c>
      <c r="K210" s="4">
        <v>11.96</v>
      </c>
      <c r="L210" s="4">
        <v>11.3</v>
      </c>
      <c r="M210" s="4">
        <v>11</v>
      </c>
      <c r="N210" s="4">
        <v>10.75</v>
      </c>
      <c r="O210" s="4">
        <v>10.33</v>
      </c>
      <c r="P210" s="4">
        <v>9.77</v>
      </c>
      <c r="Q210" s="4">
        <v>10.31</v>
      </c>
      <c r="R210" s="4">
        <v>9.85</v>
      </c>
      <c r="S210" s="4">
        <v>9.61</v>
      </c>
      <c r="T210" s="4">
        <v>10.91</v>
      </c>
      <c r="U210" s="4">
        <v>9.93</v>
      </c>
      <c r="V210" s="4">
        <v>9.27</v>
      </c>
      <c r="W210" s="4">
        <v>10.17</v>
      </c>
      <c r="X210" s="4">
        <v>10.32</v>
      </c>
      <c r="Y210" s="4">
        <v>10.41</v>
      </c>
      <c r="Z210" s="4">
        <v>10.68</v>
      </c>
      <c r="AA210" s="4">
        <v>10.14</v>
      </c>
      <c r="AB210" s="4">
        <v>10.18</v>
      </c>
      <c r="AC210" s="4">
        <v>10.24</v>
      </c>
      <c r="AD210" s="4">
        <v>10.15</v>
      </c>
      <c r="AE210" s="4">
        <v>9.25</v>
      </c>
      <c r="AF210" s="4">
        <v>8.2899999999999991</v>
      </c>
      <c r="AG210" s="4">
        <v>8.35</v>
      </c>
      <c r="AH210" s="4">
        <v>8.41</v>
      </c>
      <c r="AI210" s="4">
        <v>8.32</v>
      </c>
      <c r="AJ210" s="4">
        <v>8.0399999999999991</v>
      </c>
      <c r="AK210" s="4">
        <v>8.9700000000000006</v>
      </c>
      <c r="AL210" s="4">
        <v>8.58</v>
      </c>
      <c r="AM210" s="4">
        <v>9.25</v>
      </c>
      <c r="AN210" s="4">
        <v>10.25</v>
      </c>
      <c r="AO210" s="4">
        <v>10.5</v>
      </c>
      <c r="AP210" s="4">
        <v>11.55</v>
      </c>
      <c r="AQ210" s="4">
        <v>11.61</v>
      </c>
      <c r="AR210" s="4">
        <v>10.4</v>
      </c>
      <c r="AS210" s="4">
        <v>11.07</v>
      </c>
      <c r="AT210" s="4">
        <v>11.4</v>
      </c>
      <c r="AU210" s="4">
        <v>11.86</v>
      </c>
      <c r="AV210" s="4">
        <v>12.16</v>
      </c>
      <c r="AW210" s="4">
        <v>12.59</v>
      </c>
      <c r="AX210" s="4">
        <v>12.95</v>
      </c>
      <c r="AY210" s="12">
        <v>14.85</v>
      </c>
      <c r="AZ210" s="12">
        <v>14.16</v>
      </c>
      <c r="BA210" s="12">
        <v>14.29</v>
      </c>
      <c r="BB210" s="15">
        <v>15.7</v>
      </c>
      <c r="BC210" s="52">
        <v>15.97</v>
      </c>
      <c r="BD210" s="52">
        <v>15.54</v>
      </c>
      <c r="BE210" s="52">
        <v>15.85</v>
      </c>
      <c r="BF210" s="52">
        <v>17.07</v>
      </c>
      <c r="BG210" s="67">
        <v>16.53</v>
      </c>
      <c r="BH210" s="52">
        <v>16.54</v>
      </c>
      <c r="BI210" s="52">
        <v>16.18</v>
      </c>
      <c r="BJ210" s="52">
        <v>16.329999999999998</v>
      </c>
      <c r="BK210" s="52">
        <v>13.88</v>
      </c>
      <c r="BL210" s="52">
        <v>13.3</v>
      </c>
      <c r="BM210" s="52">
        <v>12.39</v>
      </c>
      <c r="BN210" s="52">
        <v>13.01</v>
      </c>
      <c r="BO210" s="52">
        <v>13.53</v>
      </c>
      <c r="BP210" s="52" cm="1">
        <f t="array" aca="1" ref="BP210" ca="1">_FV(ED210,"Preço")</f>
        <v>13.05</v>
      </c>
      <c r="BQ210" s="69" t="s">
        <v>206</v>
      </c>
      <c r="BR210" s="36" cm="1">
        <f t="array" aca="1" ref="BR210" ca="1">_FV(ED210,"Média de volume",TRUE)</f>
        <v>3763430</v>
      </c>
      <c r="BS210" s="36">
        <v>4714200</v>
      </c>
      <c r="BT210" s="36" cm="1">
        <f t="array" aca="1" ref="BT210" ca="1">_FV(ED210,"Volume")</f>
        <v>5618100</v>
      </c>
      <c r="BU210" s="24" cm="1">
        <f t="array" aca="1" ref="BU210" ca="1">_FV(ED210,"Beta")</f>
        <v>2.0470999999999999</v>
      </c>
      <c r="BV210" s="71" cm="1">
        <f t="array" aca="1" ref="BV210" ca="1">_FV(ED210,"Variação (%)",TRUE)</f>
        <v>7.6689999999999994E-4</v>
      </c>
      <c r="BX210" s="17" cm="1">
        <f t="array" aca="1" ref="BX210" ca="1">_FV(ED210,"Baixo")</f>
        <v>12.27</v>
      </c>
      <c r="BY210" s="17" cm="1">
        <f t="array" aca="1" ref="BY210" ca="1">_FV(ED210,"Alto")</f>
        <v>13.06</v>
      </c>
      <c r="BZ210" s="24"/>
      <c r="CA210" s="63">
        <f ca="1">SQRT(22.5*(BP210/VLOOKUP(BQ210,Fundamentus!A:U,3,FALSE))*(BP210/VLOOKUP(BQ210,Fundamentus!A:U,4,FALSE)))</f>
        <v>17.279085485968771</v>
      </c>
      <c r="CC210" s="62">
        <f t="shared" ca="1" si="241"/>
        <v>-3.5476718403547575E-2</v>
      </c>
      <c r="CD210" s="8"/>
      <c r="CE210" s="61">
        <f t="shared" si="242"/>
        <v>8.0399999999999991</v>
      </c>
      <c r="CF210" s="61">
        <f t="shared" si="243"/>
        <v>17.07</v>
      </c>
      <c r="CG210" s="61">
        <f t="shared" si="244"/>
        <v>11.830895522388062</v>
      </c>
      <c r="CH210" s="14"/>
      <c r="CI210" s="35">
        <f t="shared" si="227"/>
        <v>12.376603252682745</v>
      </c>
      <c r="CJ210" s="15">
        <f t="shared" si="245"/>
        <v>13.384999999999991</v>
      </c>
      <c r="CK210" s="35">
        <f t="shared" si="228"/>
        <v>14.393396747317237</v>
      </c>
      <c r="CM210" s="14"/>
      <c r="CN210" s="17">
        <f t="shared" si="229"/>
        <v>-0.33999999999999986</v>
      </c>
      <c r="CO210" s="17">
        <f t="shared" si="230"/>
        <v>3.8499999999999996</v>
      </c>
      <c r="CP210" s="17">
        <f t="shared" si="231"/>
        <v>8.6900000000000013</v>
      </c>
      <c r="CQ210" s="38">
        <f t="shared" si="246"/>
        <v>12.88</v>
      </c>
      <c r="CR210" s="17">
        <f t="shared" si="232"/>
        <v>17.720000000000002</v>
      </c>
      <c r="CS210" s="17">
        <f t="shared" si="233"/>
        <v>21.910000000000004</v>
      </c>
      <c r="CT210" s="17">
        <f t="shared" si="234"/>
        <v>26.750000000000004</v>
      </c>
      <c r="CU210" s="2" cm="1">
        <f t="array" aca="1" ref="CU210" ca="1">MAX(_xlfn._xlws.FILTER(CN210:CT210,CN210:CT210&lt;BP210))</f>
        <v>12.88</v>
      </c>
      <c r="CV210" s="2" cm="1">
        <f t="array" aca="1" ref="CV210" ca="1">MIN(_xlfn._xlws.FILTER($CN210:$CT210,$CN210:$CT210&gt;BP210))</f>
        <v>17.720000000000002</v>
      </c>
      <c r="CW210" s="16">
        <f t="shared" ca="1" si="248"/>
        <v>0.37577639751552816</v>
      </c>
      <c r="CX210" s="20">
        <f t="shared" ca="1" si="249"/>
        <v>-0.18788819875776408</v>
      </c>
      <c r="CY210" s="20">
        <f t="shared" ca="1" si="250"/>
        <v>-0.12525879917184271</v>
      </c>
      <c r="CZ210" s="20">
        <f t="shared" ca="1" si="251"/>
        <v>-7.5155279503105632E-2</v>
      </c>
      <c r="DA210" s="20">
        <f t="shared" ca="1" si="252"/>
        <v>-4.1752933057280908E-2</v>
      </c>
      <c r="DB210" s="20">
        <f t="shared" ca="1" si="253"/>
        <v>-2.2104493971501656E-2</v>
      </c>
      <c r="DC210" s="20">
        <f t="shared" ca="1" si="254"/>
        <v>-1.1387163561076611E-2</v>
      </c>
      <c r="DD210" s="20">
        <f t="shared" ca="1" si="255"/>
        <v>-5.7811753463927413E-3</v>
      </c>
      <c r="DE210" s="21">
        <f t="shared" ca="1" si="256"/>
        <v>5.7811753463927413E-3</v>
      </c>
      <c r="DF210" s="21">
        <f t="shared" ca="1" si="257"/>
        <v>1.1387163561076611E-2</v>
      </c>
      <c r="DG210" s="21">
        <f t="shared" ca="1" si="258"/>
        <v>2.2104493971501656E-2</v>
      </c>
      <c r="DH210" s="21">
        <f t="shared" ca="1" si="259"/>
        <v>4.1752933057280908E-2</v>
      </c>
      <c r="DI210" s="21">
        <f t="shared" ca="1" si="260"/>
        <v>7.5155279503105632E-2</v>
      </c>
      <c r="DJ210" s="21">
        <f t="shared" ca="1" si="261"/>
        <v>0.12525879917184271</v>
      </c>
      <c r="DK210" s="21">
        <f t="shared" ca="1" si="262"/>
        <v>0.18788819875776408</v>
      </c>
      <c r="DM210" s="16" cm="1">
        <f t="array" aca="1" ref="DM210" ca="1">MAX(_xlfn._xlws.FILTER(CX210:DK210,CX210:DK210&lt;BV210))</f>
        <v>-5.7811753463927413E-3</v>
      </c>
      <c r="DN210" s="16" cm="1">
        <f t="array" aca="1" ref="DN210" ca="1">MIN(_xlfn._xlws.FILTER(CX210:DK210,CX210:DK210&gt;BV210))</f>
        <v>5.7811753463927413E-3</v>
      </c>
      <c r="DO210" s="2" cm="1">
        <f t="array" aca="1" ref="DO210" ca="1">_FV(ED210,"Fechamento anterior",TRUE)</f>
        <v>13.04</v>
      </c>
      <c r="DP210" s="28">
        <f t="shared" ca="1" si="235"/>
        <v>0.56632484916088832</v>
      </c>
      <c r="DQ210" s="15">
        <f t="shared" ca="1" si="263"/>
        <v>12.964613473483038</v>
      </c>
      <c r="DR210" s="15">
        <f t="shared" ca="1" si="264"/>
        <v>13.115386526516961</v>
      </c>
      <c r="DS210" s="9"/>
      <c r="DT210" s="9"/>
      <c r="DU210" s="9"/>
      <c r="DV210" s="89">
        <v>1.1562350692785483E-2</v>
      </c>
      <c r="DW210" s="89">
        <f t="shared" ca="1" si="236"/>
        <v>1.1562350692785483E-2</v>
      </c>
      <c r="DX210" s="72">
        <f t="shared" ca="1" si="237"/>
        <v>-0.33221051227230686</v>
      </c>
      <c r="DY210" s="37"/>
      <c r="DZ210" s="35">
        <f t="shared" si="247"/>
        <v>0.50419837365862252</v>
      </c>
      <c r="EA210" s="56"/>
      <c r="EB210" s="56"/>
      <c r="ED210" s="2" t="e" vm="212">
        <v>#VALUE!</v>
      </c>
      <c r="EF210" s="10" cm="1">
        <f t="array" aca="1" ref="EF210" ca="1">_FV(ED210,"Ações em circulação",TRUE)</f>
        <v>274088800</v>
      </c>
      <c r="EG210" s="18">
        <f>VLOOKUP(BQ210,Fundamentus!A:U,5,FALSE)</f>
        <v>0.66300000000000003</v>
      </c>
      <c r="EH210" s="2">
        <f t="shared" ca="1" si="238"/>
        <v>5394960542.9864254</v>
      </c>
      <c r="EI210" s="17">
        <v>332247714.87420815</v>
      </c>
      <c r="EJ210" s="17">
        <f t="shared" ca="1" si="239"/>
        <v>320460656.25339365</v>
      </c>
      <c r="EL210" s="16">
        <f t="shared" ca="1" si="226"/>
        <v>-3.5476718403547713E-2</v>
      </c>
      <c r="EM210" s="32" t="str">
        <f>IF(VLOOKUP(BQ210,Fundamentus!A:U,3,FALSE)&lt;15,"Bom",IF(VLOOKUP(BQ210,Fundamentus!A:U,3,FALSE)&gt;15,"Ruim","n/a"))</f>
        <v>Bom</v>
      </c>
      <c r="EN210" s="28" t="str">
        <f>IF(VLOOKUP(BQ210,Fundamentus!A:U,4,FALSE)&lt;1,"Baixo",IF(VLOOKUP(BQ210,Fundamentus!A:U,4,FALSE)&lt;1.5,"Moderado",IF(VLOOKUP(BQ210,Fundamentus!A:U,4,FALSE)&gt;1.5,"Alto","n/a")))</f>
        <v>Moderado</v>
      </c>
      <c r="EO210" s="17" t="str">
        <f>IF(VLOOKUP(BQ210,Fundamentus!A:U,8,FALSE)&lt;0,"Risco elevado",IF(VLOOKUP(BQ210,Fundamentus!A:U,8,FALSE)&lt;1,"Saudável",IF(VLOOKUP(BQ210,Fundamentus!A:U,8,FALSE)&lt;3,"Estável",IF(VLOOKUP(BQ210,Fundamentus!A:U,8,FALSE)&gt;3,"Alerta","n/a"))))</f>
        <v>Alerta</v>
      </c>
      <c r="EP210" s="28" t="str">
        <f t="shared" si="240"/>
        <v>Ruim</v>
      </c>
      <c r="EQ210" s="17" t="str">
        <f>IF(VLOOKUP(BQ210,Fundamentus!A:U,12,FALSE)&lt;2,"Subvalorizada",IF(VLOOKUP(BQ210,Fundamentus!A:U,12,FALSE)&lt;6,"Muita barata",IF(VLOOKUP(BQ210,Fundamentus!A:U,12,FALSE)&lt;6,"Barata",IF(VLOOKUP(BQ210,Fundamentus!A:U,12,FALSE)&lt;8,"Atrativa",IF(VLOOKUP(BQ210,Fundamentus!A:U,12,FALSE)&gt;8,"Supervalorizada","n/a")))))</f>
        <v>Muita barata</v>
      </c>
      <c r="ES210" s="17" t="str">
        <f>IF(VLOOKUP(BQ210,Fundamentus!A:U,17,FALSE)&lt;0.1,"Fraco retorno",IF(VLOOKUP(BQ210,Fundamentus!A:U,17,FALSE)&gt;0.1,"Bom retorno","n/a"))</f>
        <v>Bom retorno</v>
      </c>
      <c r="ET210" s="17" t="str">
        <f>IF(VLOOKUP(BQ210,Fundamentus!A:U,16,FALSE)&lt;0.1,"Ineficiente",IF(VLOOKUP(BQ210,Fundamentus!A:U,16,FALSE)&gt;0.1,"Eficiente","n/a"))</f>
        <v>Eficiente</v>
      </c>
      <c r="EU210" s="33" t="str">
        <f>IF(VLOOKUP(BQ210,Fundamentus!A:U,16,FALSE)&lt;0.1,"Oper. Ineficiente",IF(VLOOKUP(BQ210,Fundamentus!A:U,16,FALSE)&gt;0.1,"Oper.Eficiente","n/a"))</f>
        <v>Oper.Eficiente</v>
      </c>
      <c r="EV210" s="34">
        <f>VLOOKUP(BQ210,Fundamentus!A:U,14,FALSE)</f>
        <v>5.9400000000000001E-2</v>
      </c>
      <c r="EW210" s="17" t="str">
        <f>IF(VLOOKUP(BQ210,Fundamentus!A:U,21,FALSE)&lt;0,"Negativo",IF(VLOOKUP(BQ210,Fundamentus!A:U,21,FALSE)&lt;0.05,"Fraco",IF(VLOOKUP(BQ210,Fundamentus!A:U,21,FALSE)&lt;0.1,"Bom",IF(VLOOKUP(BQ210,Fundamentus!A:U,21,FALSE)&gt;0.1,"Muito bom","n/a"))))</f>
        <v>Bom</v>
      </c>
      <c r="EY210" s="29" t="str">
        <f>IF(VLOOKUP(BQ210,Fundamentus!A:U,15,FALSE)&gt;1,"Bom",IF(VLOOKUP(BQ210,Fundamentus!A:U,15,FALSE)&lt;1,"Ruim","n/a"))</f>
        <v>Bom</v>
      </c>
      <c r="EZ210" s="17" t="str">
        <f>IF(VLOOKUP(BQ210,Fundamentus!A:U,20,FALSE)&lt;0.5,"Baixa",IF(VLOOKUP(BQ210,Fundamentus!A:U,20,FALSE)&lt;1,"Moderada",IF(VLOOKUP(BQ210,Fundamentus!A:U,20,FALSE)&lt;2,"Alerta",IF(VLOOKUP(BQ210,Fundamentus!A:U,20,FALSE)&gt;2,"Alta","n/a"))))</f>
        <v>Alerta</v>
      </c>
    </row>
    <row r="211" spans="1:157" s="2" customFormat="1" ht="11.25" hidden="1" x14ac:dyDescent="0.2">
      <c r="A211" s="4">
        <v>12.01</v>
      </c>
      <c r="B211" s="4">
        <v>10.61</v>
      </c>
      <c r="C211" s="4">
        <v>10.55</v>
      </c>
      <c r="D211" s="4">
        <v>10.07</v>
      </c>
      <c r="E211" s="4">
        <v>10.5</v>
      </c>
      <c r="F211" s="4">
        <v>9.7200000000000006</v>
      </c>
      <c r="G211" s="4">
        <v>9.06</v>
      </c>
      <c r="H211" s="4">
        <v>9.44</v>
      </c>
      <c r="I211" s="4">
        <v>9.4</v>
      </c>
      <c r="J211" s="4">
        <v>9.99</v>
      </c>
      <c r="K211" s="4">
        <v>10.07</v>
      </c>
      <c r="L211" s="4">
        <v>9.98</v>
      </c>
      <c r="M211" s="4">
        <v>9.61</v>
      </c>
      <c r="N211" s="4">
        <v>9.57</v>
      </c>
      <c r="O211" s="4">
        <v>8.98</v>
      </c>
      <c r="P211" s="4">
        <v>9.15</v>
      </c>
      <c r="Q211" s="4">
        <v>9.68</v>
      </c>
      <c r="R211" s="4">
        <v>9.91</v>
      </c>
      <c r="S211" s="4">
        <v>9.6199999999999992</v>
      </c>
      <c r="T211" s="4">
        <v>9.68</v>
      </c>
      <c r="U211" s="4">
        <v>9.27</v>
      </c>
      <c r="V211" s="4">
        <v>9.08</v>
      </c>
      <c r="W211" s="4">
        <v>7.54</v>
      </c>
      <c r="X211" s="4">
        <v>7.55</v>
      </c>
      <c r="Y211" s="4">
        <v>7.6</v>
      </c>
      <c r="Z211" s="4">
        <v>7.55</v>
      </c>
      <c r="AA211" s="4">
        <v>7.61</v>
      </c>
      <c r="AB211" s="4">
        <v>7.7</v>
      </c>
      <c r="AC211" s="4">
        <v>6.98</v>
      </c>
      <c r="AD211" s="4">
        <v>7.28</v>
      </c>
      <c r="AE211" s="4">
        <v>6.78</v>
      </c>
      <c r="AF211" s="4">
        <v>6.68</v>
      </c>
      <c r="AG211" s="4">
        <v>6.2</v>
      </c>
      <c r="AH211" s="4">
        <v>6.01</v>
      </c>
      <c r="AI211" s="4">
        <v>5.42</v>
      </c>
      <c r="AJ211" s="4">
        <v>5.66</v>
      </c>
      <c r="AK211" s="4">
        <v>5.4</v>
      </c>
      <c r="AL211" s="4">
        <v>5.34</v>
      </c>
      <c r="AM211" s="4">
        <v>5.17</v>
      </c>
      <c r="AN211" s="4">
        <v>5.61</v>
      </c>
      <c r="AO211" s="4">
        <v>5.56</v>
      </c>
      <c r="AP211" s="4">
        <v>6.09</v>
      </c>
      <c r="AQ211" s="4">
        <v>5.86</v>
      </c>
      <c r="AR211" s="4">
        <v>5.39</v>
      </c>
      <c r="AS211" s="4">
        <v>5.64</v>
      </c>
      <c r="AT211" s="4">
        <v>5.44</v>
      </c>
      <c r="AU211" s="4">
        <v>5.62</v>
      </c>
      <c r="AV211" s="4">
        <v>5.42</v>
      </c>
      <c r="AW211" s="4">
        <v>5.4</v>
      </c>
      <c r="AX211" s="4">
        <v>5.65</v>
      </c>
      <c r="AY211" s="12">
        <v>6.27</v>
      </c>
      <c r="AZ211" s="12">
        <v>6.81</v>
      </c>
      <c r="BA211" s="12">
        <v>6.74</v>
      </c>
      <c r="BB211" s="15">
        <v>6.67</v>
      </c>
      <c r="BC211" s="52">
        <v>6.59</v>
      </c>
      <c r="BD211" s="52">
        <v>6.32</v>
      </c>
      <c r="BE211" s="52">
        <v>6.22</v>
      </c>
      <c r="BF211" s="52">
        <v>5.83</v>
      </c>
      <c r="BG211" s="67">
        <v>6.02</v>
      </c>
      <c r="BH211" s="52">
        <v>6.2</v>
      </c>
      <c r="BI211" s="52">
        <v>5.85</v>
      </c>
      <c r="BJ211" s="52">
        <v>5.99</v>
      </c>
      <c r="BK211" s="52">
        <v>5.6</v>
      </c>
      <c r="BL211" s="52">
        <v>5.2</v>
      </c>
      <c r="BM211" s="52">
        <v>5.39</v>
      </c>
      <c r="BN211" s="52">
        <v>5.13</v>
      </c>
      <c r="BO211" s="52">
        <v>5.54</v>
      </c>
      <c r="BP211" s="52" cm="1">
        <f t="array" aca="1" ref="BP211" ca="1">_FV(ED211,"Preço")</f>
        <v>5.3</v>
      </c>
      <c r="BQ211" s="69" t="s">
        <v>207</v>
      </c>
      <c r="BR211" s="36" cm="1">
        <f t="array" aca="1" ref="BR211" ca="1">_FV(ED211,"Média de volume",TRUE)</f>
        <v>585550</v>
      </c>
      <c r="BS211" s="36">
        <v>537600</v>
      </c>
      <c r="BT211" s="36" cm="1">
        <f t="array" aca="1" ref="BT211" ca="1">_FV(ED211,"Volume")</f>
        <v>389900</v>
      </c>
      <c r="BU211" s="24" cm="1">
        <f t="array" aca="1" ref="BU211" ca="1">_FV(ED211,"Beta")</f>
        <v>1.4767999999999999</v>
      </c>
      <c r="BV211" s="71" cm="1">
        <f t="array" aca="1" ref="BV211" ca="1">_FV(ED211,"Variação (%)",TRUE)</f>
        <v>-5.6289999999999995E-3</v>
      </c>
      <c r="BX211" s="17" cm="1">
        <f t="array" aca="1" ref="BX211" ca="1">_FV(ED211,"Baixo")</f>
        <v>5.2</v>
      </c>
      <c r="BY211" s="17" cm="1">
        <f t="array" aca="1" ref="BY211" ca="1">_FV(ED211,"Alto")</f>
        <v>5.39</v>
      </c>
      <c r="BZ211" s="24"/>
      <c r="CA211" s="63">
        <f ca="1">SQRT(22.5*(BP211/VLOOKUP(BQ211,Fundamentus!A:U,3,FALSE))*(BP211/VLOOKUP(BQ211,Fundamentus!A:U,4,FALSE)))</f>
        <v>9.9055134995588769</v>
      </c>
      <c r="CC211" s="62">
        <f t="shared" ca="1" si="241"/>
        <v>-4.3321299638989209E-2</v>
      </c>
      <c r="CD211" s="8"/>
      <c r="CE211" s="61">
        <f t="shared" si="242"/>
        <v>5.13</v>
      </c>
      <c r="CF211" s="61">
        <f t="shared" si="243"/>
        <v>12.01</v>
      </c>
      <c r="CG211" s="61">
        <f t="shared" si="244"/>
        <v>7.3502985074626865</v>
      </c>
      <c r="CH211" s="14"/>
      <c r="CI211" s="35">
        <f t="shared" si="227"/>
        <v>5.1376527528345921</v>
      </c>
      <c r="CJ211" s="15">
        <f t="shared" si="245"/>
        <v>5.5049999999999955</v>
      </c>
      <c r="CK211" s="35">
        <f t="shared" si="228"/>
        <v>5.8723472471653988</v>
      </c>
      <c r="CM211" s="14"/>
      <c r="CN211" s="17">
        <f t="shared" si="229"/>
        <v>-3.7700000000000005</v>
      </c>
      <c r="CO211" s="17">
        <f t="shared" si="230"/>
        <v>0.67999999999999972</v>
      </c>
      <c r="CP211" s="17">
        <f t="shared" si="231"/>
        <v>3.1099999999999994</v>
      </c>
      <c r="CQ211" s="38">
        <f t="shared" si="246"/>
        <v>7.56</v>
      </c>
      <c r="CR211" s="17">
        <f t="shared" si="232"/>
        <v>9.9899999999999984</v>
      </c>
      <c r="CS211" s="17">
        <f t="shared" si="233"/>
        <v>14.44</v>
      </c>
      <c r="CT211" s="17">
        <f t="shared" si="234"/>
        <v>16.869999999999997</v>
      </c>
      <c r="CU211" s="2" cm="1">
        <f t="array" aca="1" ref="CU211" ca="1">MAX(_xlfn._xlws.FILTER(CN211:CT211,CN211:CT211&lt;BP211))</f>
        <v>3.1099999999999994</v>
      </c>
      <c r="CV211" s="2" cm="1">
        <f t="array" aca="1" ref="CV211" ca="1">MIN(_xlfn._xlws.FILTER($CN211:$CT211,$CN211:$CT211&gt;BP211))</f>
        <v>7.56</v>
      </c>
      <c r="CW211" s="16">
        <f t="shared" ca="1" si="248"/>
        <v>1.4308681672025725</v>
      </c>
      <c r="CX211" s="20">
        <f t="shared" ca="1" si="249"/>
        <v>-0.71543408360128624</v>
      </c>
      <c r="CY211" s="20">
        <f t="shared" ca="1" si="250"/>
        <v>-0.47695605573419081</v>
      </c>
      <c r="CZ211" s="20">
        <f t="shared" ca="1" si="251"/>
        <v>-0.2861736334405145</v>
      </c>
      <c r="DA211" s="20">
        <f t="shared" ca="1" si="252"/>
        <v>-0.15898535191139695</v>
      </c>
      <c r="DB211" s="20">
        <f t="shared" ca="1" si="253"/>
        <v>-8.4168715717798381E-2</v>
      </c>
      <c r="DC211" s="20">
        <f t="shared" ca="1" si="254"/>
        <v>-4.3359641430380985E-2</v>
      </c>
      <c r="DD211" s="20">
        <f t="shared" ca="1" si="255"/>
        <v>-2.2013356418501114E-2</v>
      </c>
      <c r="DE211" s="21">
        <f t="shared" ca="1" si="256"/>
        <v>2.2013356418501114E-2</v>
      </c>
      <c r="DF211" s="21">
        <f t="shared" ca="1" si="257"/>
        <v>4.3359641430380985E-2</v>
      </c>
      <c r="DG211" s="21">
        <f t="shared" ca="1" si="258"/>
        <v>8.4168715717798381E-2</v>
      </c>
      <c r="DH211" s="21">
        <f t="shared" ca="1" si="259"/>
        <v>0.15898535191139695</v>
      </c>
      <c r="DI211" s="21">
        <f t="shared" ca="1" si="260"/>
        <v>0.2861736334405145</v>
      </c>
      <c r="DJ211" s="21">
        <f t="shared" ca="1" si="261"/>
        <v>0.47695605573419081</v>
      </c>
      <c r="DK211" s="21">
        <f t="shared" ca="1" si="262"/>
        <v>0.71543408360128624</v>
      </c>
      <c r="DM211" s="16" cm="1">
        <f t="array" aca="1" ref="DM211" ca="1">MAX(_xlfn._xlws.FILTER(CX211:DK211,CX211:DK211&lt;BV211))</f>
        <v>-2.2013356418501114E-2</v>
      </c>
      <c r="DN211" s="16" cm="1">
        <f t="array" aca="1" ref="DN211" ca="1">MIN(_xlfn._xlws.FILTER(CX211:DK211,CX211:DK211&gt;BV211))</f>
        <v>2.2013356418501114E-2</v>
      </c>
      <c r="DO211" s="2" cm="1">
        <f t="array" aca="1" ref="DO211" ca="1">_FV(ED211,"Fechamento anterior",TRUE)</f>
        <v>5.33</v>
      </c>
      <c r="DP211" s="28">
        <f t="shared" ca="1" si="235"/>
        <v>0.37215675527541675</v>
      </c>
      <c r="DQ211" s="15">
        <f t="shared" ca="1" si="263"/>
        <v>5.2126688102893892</v>
      </c>
      <c r="DR211" s="15">
        <f t="shared" ca="1" si="264"/>
        <v>5.4473311897106109</v>
      </c>
      <c r="DS211" s="9"/>
      <c r="DT211" s="9"/>
      <c r="DU211" s="9"/>
      <c r="DV211" s="89">
        <v>2.1346285011879872E-2</v>
      </c>
      <c r="DW211" s="89">
        <f t="shared" ca="1" si="236"/>
        <v>4.4026712837002227E-2</v>
      </c>
      <c r="DX211" s="72">
        <f t="shared" ca="1" si="237"/>
        <v>-0.55805508706505003</v>
      </c>
      <c r="DY211" s="37"/>
      <c r="DZ211" s="35">
        <f t="shared" si="247"/>
        <v>0.18367362358270162</v>
      </c>
      <c r="EA211" s="56"/>
      <c r="EB211" s="56"/>
      <c r="ED211" s="2" t="e" vm="213">
        <v>#VALUE!</v>
      </c>
      <c r="EF211" s="10" cm="1">
        <f t="array" aca="1" ref="EF211" ca="1">_FV(ED211,"Ações em circulação",TRUE)</f>
        <v>286431100</v>
      </c>
      <c r="EG211" s="18">
        <f>VLOOKUP(BQ211,Fundamentus!A:U,5,FALSE)</f>
        <v>0.16600000000000001</v>
      </c>
      <c r="EH211" s="2">
        <f t="shared" ca="1" si="238"/>
        <v>9145089337.3493977</v>
      </c>
      <c r="EI211" s="17">
        <v>211258465.64698794</v>
      </c>
      <c r="EJ211" s="17">
        <f t="shared" ca="1" si="239"/>
        <v>202106474.35542169</v>
      </c>
      <c r="EL211" s="16">
        <f t="shared" ca="1" si="226"/>
        <v>-4.3321299638989119E-2</v>
      </c>
      <c r="EM211" s="32" t="str">
        <f>IF(VLOOKUP(BQ211,Fundamentus!A:U,3,FALSE)&lt;15,"Bom",IF(VLOOKUP(BQ211,Fundamentus!A:U,3,FALSE)&gt;15,"Ruim","n/a"))</f>
        <v>Bom</v>
      </c>
      <c r="EN211" s="28" t="str">
        <f>IF(VLOOKUP(BQ211,Fundamentus!A:U,4,FALSE)&lt;1,"Baixo",IF(VLOOKUP(BQ211,Fundamentus!A:U,4,FALSE)&lt;1.5,"Moderado",IF(VLOOKUP(BQ211,Fundamentus!A:U,4,FALSE)&gt;1.5,"Alto","n/a")))</f>
        <v>Baixo</v>
      </c>
      <c r="EO211" s="17" t="str">
        <f>IF(VLOOKUP(BQ211,Fundamentus!A:U,8,FALSE)&lt;0,"Risco elevado",IF(VLOOKUP(BQ211,Fundamentus!A:U,8,FALSE)&lt;1,"Saudável",IF(VLOOKUP(BQ211,Fundamentus!A:U,8,FALSE)&lt;3,"Estável",IF(VLOOKUP(BQ211,Fundamentus!A:U,8,FALSE)&gt;3,"Alerta","n/a"))))</f>
        <v>Saudável</v>
      </c>
      <c r="EP211" s="28" t="str">
        <f t="shared" si="240"/>
        <v>Ruim</v>
      </c>
      <c r="EQ211" s="17" t="str">
        <f>IF(VLOOKUP(BQ211,Fundamentus!A:U,12,FALSE)&lt;2,"Subvalorizada",IF(VLOOKUP(BQ211,Fundamentus!A:U,12,FALSE)&lt;6,"Muita barata",IF(VLOOKUP(BQ211,Fundamentus!A:U,12,FALSE)&lt;6,"Barata",IF(VLOOKUP(BQ211,Fundamentus!A:U,12,FALSE)&lt;8,"Atrativa",IF(VLOOKUP(BQ211,Fundamentus!A:U,12,FALSE)&gt;8,"Supervalorizada","n/a")))))</f>
        <v>Muita barata</v>
      </c>
      <c r="ES211" s="17" t="str">
        <f>IF(VLOOKUP(BQ211,Fundamentus!A:U,17,FALSE)&lt;0.1,"Fraco retorno",IF(VLOOKUP(BQ211,Fundamentus!A:U,17,FALSE)&gt;0.1,"Bom retorno","n/a"))</f>
        <v>Bom retorno</v>
      </c>
      <c r="ET211" s="17" t="str">
        <f>IF(VLOOKUP(BQ211,Fundamentus!A:U,16,FALSE)&lt;0.1,"Ineficiente",IF(VLOOKUP(BQ211,Fundamentus!A:U,16,FALSE)&gt;0.1,"Eficiente","n/a"))</f>
        <v>Eficiente</v>
      </c>
      <c r="EU211" s="33" t="str">
        <f>IF(VLOOKUP(BQ211,Fundamentus!A:U,16,FALSE)&lt;0.1,"Oper. Ineficiente",IF(VLOOKUP(BQ211,Fundamentus!A:U,16,FALSE)&gt;0.1,"Oper.Eficiente","n/a"))</f>
        <v>Oper.Eficiente</v>
      </c>
      <c r="EV211" s="34">
        <f>VLOOKUP(BQ211,Fundamentus!A:U,14,FALSE)</f>
        <v>2.2100000000000002E-2</v>
      </c>
      <c r="EW211" s="17" t="str">
        <f>IF(VLOOKUP(BQ211,Fundamentus!A:U,21,FALSE)&lt;0,"Negativo",IF(VLOOKUP(BQ211,Fundamentus!A:U,21,FALSE)&lt;0.05,"Fraco",IF(VLOOKUP(BQ211,Fundamentus!A:U,21,FALSE)&lt;0.1,"Bom",IF(VLOOKUP(BQ211,Fundamentus!A:U,21,FALSE)&gt;0.1,"Muito bom","n/a"))))</f>
        <v>Muito bom</v>
      </c>
      <c r="EY211" s="29" t="str">
        <f>IF(VLOOKUP(BQ211,Fundamentus!A:U,15,FALSE)&gt;1,"Bom",IF(VLOOKUP(BQ211,Fundamentus!A:U,15,FALSE)&lt;1,"Ruim","n/a"))</f>
        <v>Bom</v>
      </c>
      <c r="EZ211" s="17" t="str">
        <f>IF(VLOOKUP(BQ211,Fundamentus!A:U,20,FALSE)&lt;0.5,"Baixa",IF(VLOOKUP(BQ211,Fundamentus!A:U,20,FALSE)&lt;1,"Moderada",IF(VLOOKUP(BQ211,Fundamentus!A:U,20,FALSE)&lt;2,"Alerta",IF(VLOOKUP(BQ211,Fundamentus!A:U,20,FALSE)&gt;2,"Alta","n/a"))))</f>
        <v>Alta</v>
      </c>
    </row>
    <row r="212" spans="1:157" s="2" customFormat="1" ht="11.25" hidden="1" x14ac:dyDescent="0.2">
      <c r="A212" s="4">
        <v>7.27</v>
      </c>
      <c r="B212" s="4">
        <v>6.05</v>
      </c>
      <c r="C212" s="4">
        <v>7.07</v>
      </c>
      <c r="D212" s="4">
        <v>9.08</v>
      </c>
      <c r="E212" s="4">
        <v>8.81</v>
      </c>
      <c r="F212" s="4">
        <v>7.03</v>
      </c>
      <c r="G212" s="4">
        <v>6.06</v>
      </c>
      <c r="H212" s="4">
        <v>5.8</v>
      </c>
      <c r="I212" s="4">
        <v>6.25</v>
      </c>
      <c r="J212" s="4">
        <v>7.06</v>
      </c>
      <c r="K212" s="4">
        <v>7.35</v>
      </c>
      <c r="L212" s="4">
        <v>7.15</v>
      </c>
      <c r="M212" s="4">
        <v>7.25</v>
      </c>
      <c r="N212" s="4">
        <v>6.5</v>
      </c>
      <c r="O212" s="4">
        <v>6.45</v>
      </c>
      <c r="P212" s="4">
        <v>6.55</v>
      </c>
      <c r="Q212" s="4">
        <v>6.1</v>
      </c>
      <c r="R212" s="4">
        <v>6.66</v>
      </c>
      <c r="S212" s="4">
        <v>5.2</v>
      </c>
      <c r="T212" s="4">
        <v>6.2</v>
      </c>
      <c r="U212" s="4">
        <v>5.26</v>
      </c>
      <c r="V212" s="4">
        <v>4.8600000000000003</v>
      </c>
      <c r="W212" s="4">
        <v>5.07</v>
      </c>
      <c r="X212" s="4">
        <v>4.55</v>
      </c>
      <c r="Y212" s="4">
        <v>4.7</v>
      </c>
      <c r="Z212" s="4">
        <v>4.58</v>
      </c>
      <c r="AA212" s="4">
        <v>4.4400000000000004</v>
      </c>
      <c r="AB212" s="4">
        <v>4.37</v>
      </c>
      <c r="AC212" s="4">
        <v>3.95</v>
      </c>
      <c r="AD212" s="4">
        <v>3.33</v>
      </c>
      <c r="AE212" s="4">
        <v>2.1800000000000002</v>
      </c>
      <c r="AF212" s="4">
        <v>3.04</v>
      </c>
      <c r="AG212" s="4">
        <v>2.8</v>
      </c>
      <c r="AH212" s="4">
        <v>2.0299999999999998</v>
      </c>
      <c r="AI212" s="4">
        <v>2.39</v>
      </c>
      <c r="AJ212" s="4">
        <v>2.44</v>
      </c>
      <c r="AK212" s="4">
        <v>2.08</v>
      </c>
      <c r="AL212" s="4">
        <v>2.25</v>
      </c>
      <c r="AM212" s="4">
        <v>2.27</v>
      </c>
      <c r="AN212" s="4">
        <v>2.13</v>
      </c>
      <c r="AO212" s="4">
        <v>1.96</v>
      </c>
      <c r="AP212" s="4">
        <v>1.95</v>
      </c>
      <c r="AQ212" s="4">
        <v>4.9000000000000004</v>
      </c>
      <c r="AR212" s="4">
        <v>5.62</v>
      </c>
      <c r="AS212" s="4">
        <v>5.29</v>
      </c>
      <c r="AT212" s="4">
        <v>5.44</v>
      </c>
      <c r="AU212" s="4">
        <v>5.69</v>
      </c>
      <c r="AV212" s="4">
        <v>5.43</v>
      </c>
      <c r="AW212" s="4">
        <v>5.23</v>
      </c>
      <c r="AX212" s="4">
        <v>5.28</v>
      </c>
      <c r="AY212" s="12">
        <v>5.47</v>
      </c>
      <c r="AZ212" s="12">
        <v>6.26</v>
      </c>
      <c r="BA212" s="12">
        <v>6.05</v>
      </c>
      <c r="BB212" s="15">
        <v>5.36</v>
      </c>
      <c r="BC212" s="52">
        <v>4.78</v>
      </c>
      <c r="BD212" s="52">
        <v>5.2</v>
      </c>
      <c r="BE212" s="52">
        <v>5.04</v>
      </c>
      <c r="BF212" s="52">
        <v>4.62</v>
      </c>
      <c r="BG212" s="67">
        <v>4.5999999999999996</v>
      </c>
      <c r="BH212" s="52">
        <v>4.5</v>
      </c>
      <c r="BI212" s="52">
        <v>5.08</v>
      </c>
      <c r="BJ212" s="52">
        <v>4.9800000000000004</v>
      </c>
      <c r="BK212" s="52">
        <v>5.36</v>
      </c>
      <c r="BL212" s="52">
        <v>5.47</v>
      </c>
      <c r="BM212" s="52">
        <v>5.44</v>
      </c>
      <c r="BN212" s="52">
        <v>5.65</v>
      </c>
      <c r="BO212" s="52">
        <v>5.61</v>
      </c>
      <c r="BP212" s="52" cm="1">
        <f t="array" aca="1" ref="BP212" ca="1">_FV(ED212,"Preço")</f>
        <v>5.37</v>
      </c>
      <c r="BQ212" s="69" t="s">
        <v>208</v>
      </c>
      <c r="BR212" s="36" cm="1">
        <f t="array" aca="1" ref="BR212" ca="1">_FV(ED212,"Média de volume",TRUE)</f>
        <v>853310</v>
      </c>
      <c r="BS212" s="36">
        <v>574400</v>
      </c>
      <c r="BT212" s="36" cm="1">
        <f t="array" aca="1" ref="BT212" ca="1">_FV(ED212,"Volume")</f>
        <v>1321200</v>
      </c>
      <c r="BU212" s="24" cm="1">
        <f t="array" aca="1" ref="BU212" ca="1">_FV(ED212,"Beta")</f>
        <v>1.3439000000000001</v>
      </c>
      <c r="BV212" s="71" cm="1">
        <f t="array" aca="1" ref="BV212" ca="1">_FV(ED212,"Variação (%)",TRUE)</f>
        <v>-3.7109999999999999E-3</v>
      </c>
      <c r="BX212" s="17" cm="1">
        <f t="array" aca="1" ref="BX212" ca="1">_FV(ED212,"Baixo")</f>
        <v>5.0999999999999996</v>
      </c>
      <c r="BY212" s="17" cm="1">
        <f t="array" aca="1" ref="BY212" ca="1">_FV(ED212,"Alto")</f>
        <v>5.37</v>
      </c>
      <c r="BZ212" s="24"/>
      <c r="CA212" s="63" t="e">
        <f ca="1">SQRT(22.5*(BP212/VLOOKUP(BQ212,Fundamentus!A:U,3,FALSE))*(BP212/VLOOKUP(BQ212,Fundamentus!A:U,4,FALSE)))</f>
        <v>#NUM!</v>
      </c>
      <c r="CC212" s="62">
        <f t="shared" ca="1" si="241"/>
        <v>-4.2780748663101636E-2</v>
      </c>
      <c r="CD212" s="8"/>
      <c r="CE212" s="61">
        <f t="shared" si="242"/>
        <v>1.95</v>
      </c>
      <c r="CF212" s="61">
        <f t="shared" si="243"/>
        <v>9.08</v>
      </c>
      <c r="CG212" s="61">
        <f t="shared" si="244"/>
        <v>5.0876119402985083</v>
      </c>
      <c r="CH212" s="14"/>
      <c r="CI212" s="35">
        <f t="shared" si="227"/>
        <v>5.4836299466192688</v>
      </c>
      <c r="CJ212" s="15">
        <f t="shared" si="245"/>
        <v>5.7000000000000455</v>
      </c>
      <c r="CK212" s="35">
        <f t="shared" si="228"/>
        <v>5.9163700533808221</v>
      </c>
      <c r="CM212" s="14"/>
      <c r="CN212" s="17">
        <f t="shared" si="229"/>
        <v>-5.1166666666666663</v>
      </c>
      <c r="CO212" s="17">
        <f t="shared" si="230"/>
        <v>-1.583333333333333</v>
      </c>
      <c r="CP212" s="17">
        <f t="shared" si="231"/>
        <v>2.0133333333333336</v>
      </c>
      <c r="CQ212" s="38">
        <f t="shared" si="246"/>
        <v>5.5466666666666669</v>
      </c>
      <c r="CR212" s="17">
        <f t="shared" si="232"/>
        <v>9.1433333333333344</v>
      </c>
      <c r="CS212" s="17">
        <f t="shared" si="233"/>
        <v>12.676666666666666</v>
      </c>
      <c r="CT212" s="17">
        <f t="shared" si="234"/>
        <v>16.273333333333333</v>
      </c>
      <c r="CU212" s="2" cm="1">
        <f t="array" aca="1" ref="CU212" ca="1">MAX(_xlfn._xlws.FILTER(CN212:CT212,CN212:CT212&lt;BP212))</f>
        <v>2.0133333333333336</v>
      </c>
      <c r="CV212" s="2" cm="1">
        <f t="array" aca="1" ref="CV212" ca="1">MIN(_xlfn._xlws.FILTER($CN212:$CT212,$CN212:$CT212&gt;BP212))</f>
        <v>5.5466666666666669</v>
      </c>
      <c r="CW212" s="16">
        <f t="shared" ca="1" si="248"/>
        <v>1.7549668874172184</v>
      </c>
      <c r="CX212" s="20">
        <f t="shared" ca="1" si="249"/>
        <v>-0.8774834437086092</v>
      </c>
      <c r="CY212" s="20">
        <f t="shared" ca="1" si="250"/>
        <v>-0.58498896247240617</v>
      </c>
      <c r="CZ212" s="20">
        <f t="shared" ca="1" si="251"/>
        <v>-0.35099337748344367</v>
      </c>
      <c r="DA212" s="20">
        <f t="shared" ca="1" si="252"/>
        <v>-0.19499632082413537</v>
      </c>
      <c r="DB212" s="20">
        <f t="shared" ca="1" si="253"/>
        <v>-0.10323334631865991</v>
      </c>
      <c r="DC212" s="20">
        <f t="shared" ca="1" si="254"/>
        <v>-5.3180814770218743E-2</v>
      </c>
      <c r="DD212" s="20">
        <f t="shared" ca="1" si="255"/>
        <v>-2.6999490575649515E-2</v>
      </c>
      <c r="DE212" s="21">
        <f t="shared" ca="1" si="256"/>
        <v>2.6999490575649515E-2</v>
      </c>
      <c r="DF212" s="21">
        <f t="shared" ca="1" si="257"/>
        <v>5.3180814770218743E-2</v>
      </c>
      <c r="DG212" s="21">
        <f t="shared" ca="1" si="258"/>
        <v>0.10323334631865991</v>
      </c>
      <c r="DH212" s="21">
        <f t="shared" ca="1" si="259"/>
        <v>0.19499632082413537</v>
      </c>
      <c r="DI212" s="21">
        <f t="shared" ca="1" si="260"/>
        <v>0.35099337748344367</v>
      </c>
      <c r="DJ212" s="21">
        <f t="shared" ca="1" si="261"/>
        <v>0.58498896247240617</v>
      </c>
      <c r="DK212" s="21">
        <f t="shared" ca="1" si="262"/>
        <v>0.8774834437086092</v>
      </c>
      <c r="DM212" s="16" cm="1">
        <f t="array" aca="1" ref="DM212" ca="1">MAX(_xlfn._xlws.FILTER(CX212:DK212,CX212:DK212&lt;BV212))</f>
        <v>-2.6999490575649515E-2</v>
      </c>
      <c r="DN212" s="16" cm="1">
        <f t="array" aca="1" ref="DN212" ca="1">MIN(_xlfn._xlws.FILTER(CX212:DK212,CX212:DK212&gt;BV212))</f>
        <v>2.6999490575649515E-2</v>
      </c>
      <c r="DO212" s="2" cm="1">
        <f t="array" aca="1" ref="DO212" ca="1">_FV(ED212,"Fechamento anterior",TRUE)</f>
        <v>5.39</v>
      </c>
      <c r="DP212" s="28">
        <f t="shared" ca="1" si="235"/>
        <v>0.4312843490741079</v>
      </c>
      <c r="DQ212" s="15">
        <f t="shared" ca="1" si="263"/>
        <v>5.2444727457972489</v>
      </c>
      <c r="DR212" s="15">
        <f t="shared" ca="1" si="264"/>
        <v>5.5355272542027505</v>
      </c>
      <c r="DS212" s="9"/>
      <c r="DT212" s="9"/>
      <c r="DU212" s="9"/>
      <c r="DV212" s="89">
        <v>1.9951923076923082E-2</v>
      </c>
      <c r="DW212" s="89">
        <f t="shared" ca="1" si="236"/>
        <v>5.399898115129903E-2</v>
      </c>
      <c r="DX212" s="72">
        <f t="shared" ca="1" si="237"/>
        <v>-1.5251648499586874</v>
      </c>
      <c r="DY212" s="37"/>
      <c r="DZ212" s="35">
        <f t="shared" si="247"/>
        <v>0.10818502669038821</v>
      </c>
      <c r="EA212" s="56"/>
      <c r="EB212" s="56"/>
      <c r="ED212" s="2" t="e" vm="214">
        <v>#VALUE!</v>
      </c>
      <c r="EF212" s="10" cm="1">
        <f t="array" aca="1" ref="EF212" ca="1">_FV(ED212,"Ações em circulação",TRUE)</f>
        <v>651756300</v>
      </c>
      <c r="EG212" s="18">
        <f>VLOOKUP(BQ212,Fundamentus!A:U,5,FALSE)</f>
        <v>0.56699999999999995</v>
      </c>
      <c r="EH212" s="2">
        <f t="shared" ca="1" si="238"/>
        <v>6172718396.8253975</v>
      </c>
      <c r="EI212" s="17">
        <v>-895064858.21587312</v>
      </c>
      <c r="EJ212" s="17">
        <f t="shared" ca="1" si="239"/>
        <v>-856773313.47936523</v>
      </c>
      <c r="EL212" s="16">
        <f t="shared" ca="1" si="226"/>
        <v>-4.2780748663101553E-2</v>
      </c>
      <c r="EM212" s="32" t="str">
        <f>IF(VLOOKUP(BQ212,Fundamentus!A:U,3,FALSE)&lt;15,"Bom",IF(VLOOKUP(BQ212,Fundamentus!A:U,3,FALSE)&gt;15,"Ruim","n/a"))</f>
        <v>Bom</v>
      </c>
      <c r="EN212" s="28" t="str">
        <f>IF(VLOOKUP(BQ212,Fundamentus!A:U,4,FALSE)&lt;1,"Baixo",IF(VLOOKUP(BQ212,Fundamentus!A:U,4,FALSE)&lt;1.5,"Moderado",IF(VLOOKUP(BQ212,Fundamentus!A:U,4,FALSE)&gt;1.5,"Alto","n/a")))</f>
        <v>Moderado</v>
      </c>
      <c r="EO212" s="17" t="str">
        <f>IF(VLOOKUP(BQ212,Fundamentus!A:U,8,FALSE)&lt;0,"Risco elevado",IF(VLOOKUP(BQ212,Fundamentus!A:U,8,FALSE)&lt;1,"Saudável",IF(VLOOKUP(BQ212,Fundamentus!A:U,8,FALSE)&lt;3,"Estável",IF(VLOOKUP(BQ212,Fundamentus!A:U,8,FALSE)&gt;3,"Alerta","n/a"))))</f>
        <v>Estável</v>
      </c>
      <c r="EP212" s="28" t="str">
        <f t="shared" si="240"/>
        <v>Ruim</v>
      </c>
      <c r="EQ212" s="17" t="str">
        <f>IF(VLOOKUP(BQ212,Fundamentus!A:U,12,FALSE)&lt;2,"Subvalorizada",IF(VLOOKUP(BQ212,Fundamentus!A:U,12,FALSE)&lt;6,"Muita barata",IF(VLOOKUP(BQ212,Fundamentus!A:U,12,FALSE)&lt;6,"Barata",IF(VLOOKUP(BQ212,Fundamentus!A:U,12,FALSE)&lt;8,"Atrativa",IF(VLOOKUP(BQ212,Fundamentus!A:U,12,FALSE)&gt;8,"Supervalorizada","n/a")))))</f>
        <v>Supervalorizada</v>
      </c>
      <c r="ES212" s="17" t="str">
        <f>IF(VLOOKUP(BQ212,Fundamentus!A:U,17,FALSE)&lt;0.1,"Fraco retorno",IF(VLOOKUP(BQ212,Fundamentus!A:U,17,FALSE)&gt;0.1,"Bom retorno","n/a"))</f>
        <v>Fraco retorno</v>
      </c>
      <c r="ET212" s="17" t="str">
        <f>IF(VLOOKUP(BQ212,Fundamentus!A:U,16,FALSE)&lt;0.1,"Ineficiente",IF(VLOOKUP(BQ212,Fundamentus!A:U,16,FALSE)&gt;0.1,"Eficiente","n/a"))</f>
        <v>Ineficiente</v>
      </c>
      <c r="EU212" s="33" t="str">
        <f>IF(VLOOKUP(BQ212,Fundamentus!A:U,16,FALSE)&lt;0.1,"Oper. Ineficiente",IF(VLOOKUP(BQ212,Fundamentus!A:U,16,FALSE)&gt;0.1,"Oper.Eficiente","n/a"))</f>
        <v>Oper. Ineficiente</v>
      </c>
      <c r="EV212" s="34">
        <f>VLOOKUP(BQ212,Fundamentus!A:U,14,FALSE)</f>
        <v>-0.13880000000000001</v>
      </c>
      <c r="EW212" s="17" t="str">
        <f>IF(VLOOKUP(BQ212,Fundamentus!A:U,21,FALSE)&lt;0,"Negativo",IF(VLOOKUP(BQ212,Fundamentus!A:U,21,FALSE)&lt;0.05,"Fraco",IF(VLOOKUP(BQ212,Fundamentus!A:U,21,FALSE)&lt;0.1,"Bom",IF(VLOOKUP(BQ212,Fundamentus!A:U,21,FALSE)&gt;0.1,"Muito bom","n/a"))))</f>
        <v>Muito bom</v>
      </c>
      <c r="EY212" s="29" t="str">
        <f>IF(VLOOKUP(BQ212,Fundamentus!A:U,15,FALSE)&gt;1,"Bom",IF(VLOOKUP(BQ212,Fundamentus!A:U,15,FALSE)&lt;1,"Ruim","n/a"))</f>
        <v>Bom</v>
      </c>
      <c r="EZ212" s="17" t="str">
        <f>IF(VLOOKUP(BQ212,Fundamentus!A:U,20,FALSE)&lt;0.5,"Baixa",IF(VLOOKUP(BQ212,Fundamentus!A:U,20,FALSE)&lt;1,"Moderada",IF(VLOOKUP(BQ212,Fundamentus!A:U,20,FALSE)&lt;2,"Alerta",IF(VLOOKUP(BQ212,Fundamentus!A:U,20,FALSE)&gt;2,"Alta","n/a"))))</f>
        <v>Alerta</v>
      </c>
    </row>
    <row r="213" spans="1:157" s="2" customFormat="1" ht="11.25" hidden="1" x14ac:dyDescent="0.2">
      <c r="A213" s="4">
        <v>10.28</v>
      </c>
      <c r="B213" s="4">
        <v>10.54</v>
      </c>
      <c r="C213" s="4">
        <v>10.38</v>
      </c>
      <c r="D213" s="4">
        <v>10.34</v>
      </c>
      <c r="E213" s="4">
        <v>9.9600000000000009</v>
      </c>
      <c r="F213" s="4">
        <v>10.56</v>
      </c>
      <c r="G213" s="4">
        <v>9.6999999999999993</v>
      </c>
      <c r="H213" s="4">
        <v>10</v>
      </c>
      <c r="I213" s="4">
        <v>10.39</v>
      </c>
      <c r="J213" s="4">
        <v>12.65</v>
      </c>
      <c r="K213" s="4">
        <v>13.85</v>
      </c>
      <c r="L213" s="4">
        <v>12.39</v>
      </c>
      <c r="M213" s="4">
        <v>11</v>
      </c>
      <c r="N213" s="4">
        <v>10.11</v>
      </c>
      <c r="O213" s="4">
        <v>10.59</v>
      </c>
      <c r="P213" s="4">
        <v>12.5</v>
      </c>
      <c r="Q213" s="4">
        <v>15</v>
      </c>
      <c r="R213" s="4">
        <v>16</v>
      </c>
      <c r="S213" s="4">
        <v>15.3</v>
      </c>
      <c r="T213" s="4">
        <v>16.13</v>
      </c>
      <c r="U213" s="4">
        <v>15.44</v>
      </c>
      <c r="V213" s="4">
        <v>15</v>
      </c>
      <c r="W213" s="4">
        <v>15.21</v>
      </c>
      <c r="X213" s="4">
        <v>14.95</v>
      </c>
      <c r="Y213" s="4">
        <v>12.22</v>
      </c>
      <c r="Z213" s="4">
        <v>14.64</v>
      </c>
      <c r="AA213" s="4">
        <v>14.17</v>
      </c>
      <c r="AB213" s="4">
        <v>14.79</v>
      </c>
      <c r="AC213" s="4">
        <v>14.2</v>
      </c>
      <c r="AD213" s="4">
        <v>13.02</v>
      </c>
      <c r="AE213" s="4">
        <v>12</v>
      </c>
      <c r="AF213" s="4">
        <v>10.95</v>
      </c>
      <c r="AG213" s="4">
        <v>10.26</v>
      </c>
      <c r="AH213" s="4">
        <v>10.130000000000001</v>
      </c>
      <c r="AI213" s="4">
        <v>8.8000000000000007</v>
      </c>
      <c r="AJ213" s="4">
        <v>7.27</v>
      </c>
      <c r="AK213" s="4">
        <v>9.2200000000000006</v>
      </c>
      <c r="AL213" s="4">
        <v>10.8</v>
      </c>
      <c r="AM213" s="4">
        <v>12.09</v>
      </c>
      <c r="AN213" s="4">
        <v>11.79</v>
      </c>
      <c r="AO213" s="4">
        <v>10.19</v>
      </c>
      <c r="AP213" s="4">
        <v>10.3</v>
      </c>
      <c r="AQ213" s="4">
        <v>11.36</v>
      </c>
      <c r="AR213" s="4">
        <v>11.6</v>
      </c>
      <c r="AS213" s="4">
        <v>12.59</v>
      </c>
      <c r="AT213" s="4">
        <v>12.52</v>
      </c>
      <c r="AU213" s="4">
        <v>12.595000000000001</v>
      </c>
      <c r="AV213" s="4">
        <v>7.62</v>
      </c>
      <c r="AW213" s="4">
        <v>7.5</v>
      </c>
      <c r="AX213" s="4">
        <v>5.16</v>
      </c>
      <c r="AY213" s="12">
        <v>5.59</v>
      </c>
      <c r="AZ213" s="12">
        <v>6.32</v>
      </c>
      <c r="BA213" s="12">
        <v>5.84</v>
      </c>
      <c r="BB213" s="15">
        <v>5.55</v>
      </c>
      <c r="BC213" s="52">
        <v>5.97</v>
      </c>
      <c r="BD213" s="52">
        <v>5.83</v>
      </c>
      <c r="BE213" s="52">
        <v>6.09</v>
      </c>
      <c r="BF213" s="52">
        <v>5.41</v>
      </c>
      <c r="BG213" s="67">
        <v>4.9800000000000004</v>
      </c>
      <c r="BH213" s="52">
        <v>5</v>
      </c>
      <c r="BI213" s="52">
        <v>4.92</v>
      </c>
      <c r="BJ213" s="52">
        <v>3.92</v>
      </c>
      <c r="BK213" s="52">
        <v>4.9000000000000004</v>
      </c>
      <c r="BL213" s="52">
        <v>5.07</v>
      </c>
      <c r="BM213" s="52">
        <v>4.84</v>
      </c>
      <c r="BN213" s="52">
        <v>5.05</v>
      </c>
      <c r="BO213" s="52">
        <v>5.2</v>
      </c>
      <c r="BP213" s="52" cm="1">
        <f t="array" aca="1" ref="BP213" ca="1">_FV(ED213,"Preço")</f>
        <v>5.5</v>
      </c>
      <c r="BQ213" s="69" t="s">
        <v>209</v>
      </c>
      <c r="BR213" s="36" cm="1">
        <f t="array" aca="1" ref="BR213" ca="1">_FV(ED213,"Média de volume",TRUE)</f>
        <v>104790</v>
      </c>
      <c r="BS213" s="36">
        <v>80000</v>
      </c>
      <c r="BT213" s="36" cm="1">
        <f t="array" aca="1" ref="BT213" ca="1">_FV(ED213,"Volume")</f>
        <v>47900</v>
      </c>
      <c r="BU213" s="24" cm="1">
        <f t="array" aca="1" ref="BU213" ca="1">_FV(ED213,"Beta")</f>
        <v>0.9032</v>
      </c>
      <c r="BV213" s="71" cm="1">
        <f t="array" aca="1" ref="BV213" ca="1">_FV(ED213,"Variação (%)",TRUE)</f>
        <v>-7.2199999999999999E-3</v>
      </c>
      <c r="BX213" s="17" cm="1">
        <f t="array" aca="1" ref="BX213" ca="1">_FV(ED213,"Baixo")</f>
        <v>5.41</v>
      </c>
      <c r="BY213" s="17" cm="1">
        <f t="array" aca="1" ref="BY213" ca="1">_FV(ED213,"Alto")</f>
        <v>5.65</v>
      </c>
      <c r="BZ213" s="24"/>
      <c r="CA213" s="63" t="e">
        <f ca="1">SQRT(22.5*(BP213/VLOOKUP(BQ213,Fundamentus!A:U,3,FALSE))*(BP213/VLOOKUP(BQ213,Fundamentus!A:U,4,FALSE)))</f>
        <v>#NUM!</v>
      </c>
      <c r="CC213" s="62">
        <f t="shared" ca="1" si="241"/>
        <v>5.7692307692307654E-2</v>
      </c>
      <c r="CD213" s="8"/>
      <c r="CE213" s="61">
        <f t="shared" si="242"/>
        <v>3.92</v>
      </c>
      <c r="CF213" s="61">
        <f t="shared" si="243"/>
        <v>16.13</v>
      </c>
      <c r="CG213" s="61">
        <f t="shared" si="244"/>
        <v>10.097537313432838</v>
      </c>
      <c r="CH213" s="14"/>
      <c r="CI213" s="35">
        <f t="shared" si="227"/>
        <v>4.9334381166268049</v>
      </c>
      <c r="CJ213" s="15">
        <f t="shared" si="245"/>
        <v>5.1899999999999977</v>
      </c>
      <c r="CK213" s="35">
        <f t="shared" si="228"/>
        <v>5.4465618833731906</v>
      </c>
      <c r="CM213" s="14"/>
      <c r="CN213" s="17">
        <f t="shared" si="229"/>
        <v>-11.506666666666666</v>
      </c>
      <c r="CO213" s="17">
        <f t="shared" si="230"/>
        <v>-3.793333333333333</v>
      </c>
      <c r="CP213" s="17">
        <f t="shared" si="231"/>
        <v>0.70333333333333314</v>
      </c>
      <c r="CQ213" s="38">
        <f t="shared" si="246"/>
        <v>8.4166666666666661</v>
      </c>
      <c r="CR213" s="17">
        <f t="shared" si="232"/>
        <v>12.913333333333332</v>
      </c>
      <c r="CS213" s="17">
        <f t="shared" si="233"/>
        <v>20.626666666666665</v>
      </c>
      <c r="CT213" s="17">
        <f t="shared" si="234"/>
        <v>25.123333333333331</v>
      </c>
      <c r="CU213" s="2" cm="1">
        <f t="array" aca="1" ref="CU213" ca="1">MAX(_xlfn._xlws.FILTER(CN213:CT213,CN213:CT213&lt;BP213))</f>
        <v>0.70333333333333314</v>
      </c>
      <c r="CV213" s="2" cm="1">
        <f t="array" aca="1" ref="CV213" ca="1">MIN(_xlfn._xlws.FILTER($CN213:$CT213,$CN213:$CT213&gt;BP213))</f>
        <v>8.4166666666666661</v>
      </c>
      <c r="CW213" s="16">
        <f t="shared" ca="1" si="248"/>
        <v>10.966824644549765</v>
      </c>
      <c r="CX213" s="20">
        <f t="shared" ca="1" si="249"/>
        <v>-5.4834123222748827</v>
      </c>
      <c r="CY213" s="20">
        <f t="shared" ca="1" si="250"/>
        <v>-3.6556082148499218</v>
      </c>
      <c r="CZ213" s="20">
        <f t="shared" ca="1" si="251"/>
        <v>-2.1933649289099533</v>
      </c>
      <c r="DA213" s="20">
        <f t="shared" ca="1" si="252"/>
        <v>-1.2185360716166407</v>
      </c>
      <c r="DB213" s="20">
        <f t="shared" ca="1" si="253"/>
        <v>-0.64510733203233916</v>
      </c>
      <c r="DC213" s="20">
        <f t="shared" ca="1" si="254"/>
        <v>-0.33232801953181107</v>
      </c>
      <c r="DD213" s="20">
        <f t="shared" ca="1" si="255"/>
        <v>-0.16872037914691948</v>
      </c>
      <c r="DE213" s="21">
        <f t="shared" ca="1" si="256"/>
        <v>0.16872037914691948</v>
      </c>
      <c r="DF213" s="21">
        <f t="shared" ca="1" si="257"/>
        <v>0.33232801953181107</v>
      </c>
      <c r="DG213" s="21">
        <f t="shared" ca="1" si="258"/>
        <v>0.64510733203233916</v>
      </c>
      <c r="DH213" s="21">
        <f t="shared" ca="1" si="259"/>
        <v>1.2185360716166407</v>
      </c>
      <c r="DI213" s="21">
        <f t="shared" ca="1" si="260"/>
        <v>2.1933649289099533</v>
      </c>
      <c r="DJ213" s="21">
        <f t="shared" ca="1" si="261"/>
        <v>3.6556082148499218</v>
      </c>
      <c r="DK213" s="21">
        <f t="shared" ca="1" si="262"/>
        <v>5.4834123222748827</v>
      </c>
      <c r="DM213" s="16" cm="1">
        <f t="array" aca="1" ref="DM213" ca="1">MAX(_xlfn._xlws.FILTER(CX213:DK213,CX213:DK213&lt;BV213))</f>
        <v>-0.16872037914691948</v>
      </c>
      <c r="DN213" s="16" cm="1">
        <f t="array" aca="1" ref="DN213" ca="1">MIN(_xlfn._xlws.FILTER(CX213:DK213,CX213:DK213&gt;BV213))</f>
        <v>0.16872037914691948</v>
      </c>
      <c r="DO213" s="2" cm="1">
        <f t="array" aca="1" ref="DO213" ca="1">_FV(ED213,"Fechamento anterior",TRUE)</f>
        <v>5.54</v>
      </c>
      <c r="DP213" s="28">
        <f t="shared" ca="1" si="235"/>
        <v>0.47860300977568648</v>
      </c>
      <c r="DQ213" s="15">
        <f t="shared" ca="1" si="263"/>
        <v>4.6052890995260665</v>
      </c>
      <c r="DR213" s="15">
        <f t="shared" ca="1" si="264"/>
        <v>6.4747109004739336</v>
      </c>
      <c r="DS213" s="9"/>
      <c r="DT213" s="9"/>
      <c r="DU213" s="9"/>
      <c r="DV213" s="89">
        <v>0.33744075829383896</v>
      </c>
      <c r="DW213" s="89">
        <f t="shared" ca="1" si="236"/>
        <v>0.33744075829383896</v>
      </c>
      <c r="DX213" s="72">
        <f t="shared" ca="1" si="237"/>
        <v>1.2082854862313228</v>
      </c>
      <c r="DY213" s="37"/>
      <c r="DZ213" s="35">
        <f t="shared" si="247"/>
        <v>0.12828094168659665</v>
      </c>
      <c r="EA213" s="56"/>
      <c r="EB213" s="56"/>
      <c r="ED213" s="2" t="e" vm="215">
        <v>#VALUE!</v>
      </c>
      <c r="EF213" s="10" cm="1">
        <f t="array" aca="1" ref="EF213" ca="1">_FV(ED213,"Ações em circulação",TRUE)</f>
        <v>152359500</v>
      </c>
      <c r="EG213" s="18">
        <f>VLOOKUP(BQ213,Fundamentus!A:U,5,FALSE)</f>
        <v>0.61099999999999999</v>
      </c>
      <c r="EH213" s="2">
        <f t="shared" ca="1" si="238"/>
        <v>1371484860.8837972</v>
      </c>
      <c r="EI213" s="17">
        <v>-64185491.489361703</v>
      </c>
      <c r="EJ213" s="17">
        <f t="shared" ca="1" si="239"/>
        <v>-67888500.613747969</v>
      </c>
      <c r="EL213" s="16">
        <f t="shared" ca="1" si="226"/>
        <v>5.7692307692307931E-2</v>
      </c>
      <c r="EM213" s="32" t="str">
        <f>IF(VLOOKUP(BQ213,Fundamentus!A:U,3,FALSE)&lt;15,"Bom",IF(VLOOKUP(BQ213,Fundamentus!A:U,3,FALSE)&gt;15,"Ruim","n/a"))</f>
        <v>Bom</v>
      </c>
      <c r="EN213" s="28" t="str">
        <f>IF(VLOOKUP(BQ213,Fundamentus!A:U,4,FALSE)&lt;1,"Baixo",IF(VLOOKUP(BQ213,Fundamentus!A:U,4,FALSE)&lt;1.5,"Moderado",IF(VLOOKUP(BQ213,Fundamentus!A:U,4,FALSE)&gt;1.5,"Alto","n/a")))</f>
        <v>Baixo</v>
      </c>
      <c r="EO213" s="17" t="str">
        <f>IF(VLOOKUP(BQ213,Fundamentus!A:U,8,FALSE)&lt;0,"Risco elevado",IF(VLOOKUP(BQ213,Fundamentus!A:U,8,FALSE)&lt;1,"Saudável",IF(VLOOKUP(BQ213,Fundamentus!A:U,8,FALSE)&lt;3,"Estável",IF(VLOOKUP(BQ213,Fundamentus!A:U,8,FALSE)&gt;3,"Alerta","n/a"))))</f>
        <v>Risco elevado</v>
      </c>
      <c r="EP213" s="28" t="str">
        <f t="shared" si="240"/>
        <v>Ruim</v>
      </c>
      <c r="EQ213" s="17" t="str">
        <f>IF(VLOOKUP(BQ213,Fundamentus!A:U,12,FALSE)&lt;2,"Subvalorizada",IF(VLOOKUP(BQ213,Fundamentus!A:U,12,FALSE)&lt;6,"Muita barata",IF(VLOOKUP(BQ213,Fundamentus!A:U,12,FALSE)&lt;6,"Barata",IF(VLOOKUP(BQ213,Fundamentus!A:U,12,FALSE)&lt;8,"Atrativa",IF(VLOOKUP(BQ213,Fundamentus!A:U,12,FALSE)&gt;8,"Supervalorizada","n/a")))))</f>
        <v>Muita barata</v>
      </c>
      <c r="ES213" s="17" t="str">
        <f>IF(VLOOKUP(BQ213,Fundamentus!A:U,17,FALSE)&lt;0.1,"Fraco retorno",IF(VLOOKUP(BQ213,Fundamentus!A:U,17,FALSE)&gt;0.1,"Bom retorno","n/a"))</f>
        <v>Fraco retorno</v>
      </c>
      <c r="ET213" s="17" t="str">
        <f>IF(VLOOKUP(BQ213,Fundamentus!A:U,16,FALSE)&lt;0.1,"Ineficiente",IF(VLOOKUP(BQ213,Fundamentus!A:U,16,FALSE)&gt;0.1,"Eficiente","n/a"))</f>
        <v>Ineficiente</v>
      </c>
      <c r="EU213" s="33" t="str">
        <f>IF(VLOOKUP(BQ213,Fundamentus!A:U,16,FALSE)&lt;0.1,"Oper. Ineficiente",IF(VLOOKUP(BQ213,Fundamentus!A:U,16,FALSE)&gt;0.1,"Oper.Eficiente","n/a"))</f>
        <v>Oper. Ineficiente</v>
      </c>
      <c r="EV213" s="34">
        <f>VLOOKUP(BQ213,Fundamentus!A:U,14,FALSE)</f>
        <v>-4.9500000000000002E-2</v>
      </c>
      <c r="EW213" s="17" t="str">
        <f>IF(VLOOKUP(BQ213,Fundamentus!A:U,21,FALSE)&lt;0,"Negativo",IF(VLOOKUP(BQ213,Fundamentus!A:U,21,FALSE)&lt;0.05,"Fraco",IF(VLOOKUP(BQ213,Fundamentus!A:U,21,FALSE)&lt;0.1,"Bom",IF(VLOOKUP(BQ213,Fundamentus!A:U,21,FALSE)&gt;0.1,"Muito bom","n/a"))))</f>
        <v>Bom</v>
      </c>
      <c r="EY213" s="29" t="str">
        <f>IF(VLOOKUP(BQ213,Fundamentus!A:U,15,FALSE)&gt;1,"Bom",IF(VLOOKUP(BQ213,Fundamentus!A:U,15,FALSE)&lt;1,"Ruim","n/a"))</f>
        <v>Ruim</v>
      </c>
      <c r="EZ213" s="17" t="str">
        <f>IF(VLOOKUP(BQ213,Fundamentus!A:U,20,FALSE)&lt;0.5,"Baixa",IF(VLOOKUP(BQ213,Fundamentus!A:U,20,FALSE)&lt;1,"Moderada",IF(VLOOKUP(BQ213,Fundamentus!A:U,20,FALSE)&lt;2,"Alerta",IF(VLOOKUP(BQ213,Fundamentus!A:U,20,FALSE)&gt;2,"Alta","n/a"))))</f>
        <v>Moderada</v>
      </c>
    </row>
    <row r="214" spans="1:157" s="2" customFormat="1" ht="11.25" hidden="1" x14ac:dyDescent="0.2">
      <c r="A214" s="4">
        <v>2.87</v>
      </c>
      <c r="B214" s="4">
        <v>2.72</v>
      </c>
      <c r="C214" s="4">
        <v>2.56</v>
      </c>
      <c r="D214" s="4">
        <v>2.4300000000000002</v>
      </c>
      <c r="E214" s="4">
        <v>2.3199999999999998</v>
      </c>
      <c r="F214" s="4">
        <v>2.2200000000000002</v>
      </c>
      <c r="G214" s="4">
        <v>2.14</v>
      </c>
      <c r="H214" s="4">
        <v>2.06</v>
      </c>
      <c r="I214" s="4">
        <v>2.06</v>
      </c>
      <c r="J214" s="4">
        <v>2.2599999999999998</v>
      </c>
      <c r="K214" s="4">
        <v>2.33</v>
      </c>
      <c r="L214" s="4">
        <v>2.25</v>
      </c>
      <c r="M214" s="4">
        <v>2.2999999999999998</v>
      </c>
      <c r="N214" s="4">
        <v>2.2000000000000002</v>
      </c>
      <c r="O214" s="4">
        <v>2.33</v>
      </c>
      <c r="P214" s="4">
        <v>2.11</v>
      </c>
      <c r="Q214" s="4">
        <v>2.16</v>
      </c>
      <c r="R214" s="4">
        <v>2.0699999999999998</v>
      </c>
      <c r="S214" s="4">
        <v>2.0099999999999998</v>
      </c>
      <c r="T214" s="4">
        <v>2</v>
      </c>
      <c r="U214" s="4">
        <v>1.89</v>
      </c>
      <c r="V214" s="4">
        <v>1.9</v>
      </c>
      <c r="W214" s="4">
        <v>1.91</v>
      </c>
      <c r="X214" s="4">
        <v>1.86</v>
      </c>
      <c r="Y214" s="4">
        <v>1.87</v>
      </c>
      <c r="Z214" s="4">
        <v>1.81</v>
      </c>
      <c r="AA214" s="4">
        <v>1.8</v>
      </c>
      <c r="AB214" s="4">
        <v>1.82</v>
      </c>
      <c r="AC214" s="4">
        <v>1.8</v>
      </c>
      <c r="AD214" s="4">
        <v>1.76</v>
      </c>
      <c r="AE214" s="4">
        <v>1.6</v>
      </c>
      <c r="AF214" s="4">
        <v>1.53</v>
      </c>
      <c r="AG214" s="4">
        <v>1.49</v>
      </c>
      <c r="AH214" s="4">
        <v>1.4</v>
      </c>
      <c r="AI214" s="4">
        <v>1.38</v>
      </c>
      <c r="AJ214" s="4">
        <v>1.37</v>
      </c>
      <c r="AK214" s="4">
        <v>1.35</v>
      </c>
      <c r="AL214" s="4">
        <v>1.37</v>
      </c>
      <c r="AM214" s="4">
        <v>1.5</v>
      </c>
      <c r="AN214" s="4">
        <v>1.6</v>
      </c>
      <c r="AO214" s="4">
        <v>1.47</v>
      </c>
      <c r="AP214" s="4">
        <v>1.59</v>
      </c>
      <c r="AQ214" s="4">
        <v>1.62</v>
      </c>
      <c r="AR214" s="4">
        <v>1.46</v>
      </c>
      <c r="AS214" s="4">
        <v>1.52</v>
      </c>
      <c r="AT214" s="4">
        <v>1.71</v>
      </c>
      <c r="AU214" s="4">
        <v>1.73</v>
      </c>
      <c r="AV214" s="4">
        <v>1.82</v>
      </c>
      <c r="AW214" s="4">
        <v>1.8</v>
      </c>
      <c r="AX214" s="4">
        <v>1.7</v>
      </c>
      <c r="AY214" s="12">
        <v>1.99</v>
      </c>
      <c r="AZ214" s="12">
        <v>2.14</v>
      </c>
      <c r="BA214" s="12">
        <v>2.36</v>
      </c>
      <c r="BB214" s="15">
        <v>2.38</v>
      </c>
      <c r="BC214" s="52">
        <v>2.34</v>
      </c>
      <c r="BD214" s="52">
        <v>2.46</v>
      </c>
      <c r="BE214" s="52">
        <v>2.5499999999999998</v>
      </c>
      <c r="BF214" s="52">
        <v>2.78</v>
      </c>
      <c r="BG214" s="67">
        <v>2.79</v>
      </c>
      <c r="BH214" s="52">
        <v>2.76</v>
      </c>
      <c r="BI214" s="52">
        <v>2.4900000000000002</v>
      </c>
      <c r="BJ214" s="52">
        <v>2.29</v>
      </c>
      <c r="BK214" s="52">
        <v>2.23</v>
      </c>
      <c r="BL214" s="52">
        <v>2.2200000000000002</v>
      </c>
      <c r="BM214" s="52">
        <v>2.83</v>
      </c>
      <c r="BN214" s="52">
        <v>2.86</v>
      </c>
      <c r="BO214" s="52">
        <v>2.84</v>
      </c>
      <c r="BP214" s="52" cm="1">
        <f t="array" aca="1" ref="BP214" ca="1">_FV(ED214,"Preço")</f>
        <v>2.88</v>
      </c>
      <c r="BQ214" s="69" t="s">
        <v>210</v>
      </c>
      <c r="BR214" s="36" cm="1">
        <f t="array" aca="1" ref="BR214" ca="1">_FV(ED214,"Média de volume",TRUE)</f>
        <v>1226050</v>
      </c>
      <c r="BS214" s="36">
        <v>1278200</v>
      </c>
      <c r="BT214" s="36" cm="1">
        <f t="array" aca="1" ref="BT214" ca="1">_FV(ED214,"Volume")</f>
        <v>1967500</v>
      </c>
      <c r="BU214" s="24" cm="1">
        <f t="array" aca="1" ref="BU214" ca="1">_FV(ED214,"Beta")</f>
        <v>2.0055000000000001</v>
      </c>
      <c r="BV214" s="71" cm="1">
        <f t="array" aca="1" ref="BV214" ca="1">_FV(ED214,"Variação (%)",TRUE)</f>
        <v>2.4910999999999999E-2</v>
      </c>
      <c r="BX214" s="17" cm="1">
        <f t="array" aca="1" ref="BX214" ca="1">_FV(ED214,"Baixo")</f>
        <v>2.68</v>
      </c>
      <c r="BY214" s="17" cm="1">
        <f t="array" aca="1" ref="BY214" ca="1">_FV(ED214,"Alto")</f>
        <v>2.88</v>
      </c>
      <c r="BZ214" s="24"/>
      <c r="CA214" s="63">
        <f ca="1">SQRT(22.5*(BP214/VLOOKUP(BQ214,Fundamentus!A:U,3,FALSE))*(BP214/VLOOKUP(BQ214,Fundamentus!A:U,4,FALSE)))</f>
        <v>11.787274712414238</v>
      </c>
      <c r="CC214" s="62">
        <f t="shared" ca="1" si="241"/>
        <v>1.4084507042253534E-2</v>
      </c>
      <c r="CD214" s="8"/>
      <c r="CE214" s="61">
        <f t="shared" si="242"/>
        <v>1.35</v>
      </c>
      <c r="CF214" s="61">
        <f t="shared" si="243"/>
        <v>2.87</v>
      </c>
      <c r="CG214" s="61">
        <f t="shared" si="244"/>
        <v>2.046865671641791</v>
      </c>
      <c r="CH214" s="14"/>
      <c r="CI214" s="35">
        <f t="shared" si="227"/>
        <v>2.55381850902564</v>
      </c>
      <c r="CJ214" s="15">
        <f t="shared" si="245"/>
        <v>3.1600000000000819</v>
      </c>
      <c r="CK214" s="35">
        <f t="shared" si="228"/>
        <v>3.7661814909745237</v>
      </c>
      <c r="CM214" s="14"/>
      <c r="CN214" s="17">
        <f t="shared" si="229"/>
        <v>0.31666666666666687</v>
      </c>
      <c r="CO214" s="17">
        <f t="shared" si="230"/>
        <v>0.83333333333333348</v>
      </c>
      <c r="CP214" s="17">
        <f t="shared" si="231"/>
        <v>1.8366666666666669</v>
      </c>
      <c r="CQ214" s="38">
        <f t="shared" si="246"/>
        <v>2.3533333333333335</v>
      </c>
      <c r="CR214" s="17">
        <f t="shared" si="232"/>
        <v>3.3566666666666669</v>
      </c>
      <c r="CS214" s="17">
        <f t="shared" si="233"/>
        <v>3.8733333333333335</v>
      </c>
      <c r="CT214" s="17">
        <f t="shared" si="234"/>
        <v>4.8766666666666669</v>
      </c>
      <c r="CU214" s="2" cm="1">
        <f t="array" aca="1" ref="CU214" ca="1">MAX(_xlfn._xlws.FILTER(CN214:CT214,CN214:CT214&lt;BP214))</f>
        <v>2.3533333333333335</v>
      </c>
      <c r="CV214" s="2" cm="1">
        <f t="array" aca="1" ref="CV214" ca="1">MIN(_xlfn._xlws.FILTER($CN214:$CT214,$CN214:$CT214&gt;BP214))</f>
        <v>3.3566666666666669</v>
      </c>
      <c r="CW214" s="16">
        <f t="shared" ca="1" si="248"/>
        <v>0.42634560906515584</v>
      </c>
      <c r="CX214" s="20">
        <f t="shared" ca="1" si="249"/>
        <v>-0.21317280453257792</v>
      </c>
      <c r="CY214" s="20">
        <f t="shared" ca="1" si="250"/>
        <v>-0.14211520302171862</v>
      </c>
      <c r="CZ214" s="20">
        <f t="shared" ca="1" si="251"/>
        <v>-8.5269121813031173E-2</v>
      </c>
      <c r="DA214" s="20">
        <f t="shared" ca="1" si="252"/>
        <v>-4.7371734340572874E-2</v>
      </c>
      <c r="DB214" s="20">
        <f t="shared" ca="1" si="253"/>
        <v>-2.5079153474420933E-2</v>
      </c>
      <c r="DC214" s="20">
        <f t="shared" ca="1" si="254"/>
        <v>-1.2919563911065329E-2</v>
      </c>
      <c r="DD214" s="20">
        <f t="shared" ca="1" si="255"/>
        <v>-6.5591632163870131E-3</v>
      </c>
      <c r="DE214" s="21">
        <f t="shared" ca="1" si="256"/>
        <v>6.5591632163870131E-3</v>
      </c>
      <c r="DF214" s="21">
        <f t="shared" ca="1" si="257"/>
        <v>1.2919563911065329E-2</v>
      </c>
      <c r="DG214" s="21">
        <f t="shared" ca="1" si="258"/>
        <v>2.5079153474420933E-2</v>
      </c>
      <c r="DH214" s="21">
        <f t="shared" ca="1" si="259"/>
        <v>4.7371734340572874E-2</v>
      </c>
      <c r="DI214" s="21">
        <f t="shared" ca="1" si="260"/>
        <v>8.5269121813031173E-2</v>
      </c>
      <c r="DJ214" s="21">
        <f t="shared" ca="1" si="261"/>
        <v>0.14211520302171862</v>
      </c>
      <c r="DK214" s="21">
        <f t="shared" ca="1" si="262"/>
        <v>0.21317280453257792</v>
      </c>
      <c r="DM214" s="16" cm="1">
        <f t="array" aca="1" ref="DM214" ca="1">MAX(_xlfn._xlws.FILTER(CX214:DK214,CX214:DK214&lt;BV214))</f>
        <v>1.2919563911065329E-2</v>
      </c>
      <c r="DN214" s="16" cm="1">
        <f t="array" aca="1" ref="DN214" ca="1">MIN(_xlfn._xlws.FILTER(CX214:DK214,CX214:DK214&gt;BV214))</f>
        <v>2.5079153474420933E-2</v>
      </c>
      <c r="DO214" s="2" cm="1">
        <f t="array" aca="1" ref="DO214" ca="1">_FV(ED214,"Fechamento anterior",TRUE)</f>
        <v>2.81</v>
      </c>
      <c r="DP214" s="28">
        <f t="shared" ca="1" si="235"/>
        <v>0.98617375651741979</v>
      </c>
      <c r="DQ214" s="15">
        <f t="shared" ca="1" si="263"/>
        <v>2.8463039745900938</v>
      </c>
      <c r="DR214" s="15">
        <f t="shared" ca="1" si="264"/>
        <v>2.8804724212631228</v>
      </c>
      <c r="DS214" s="9"/>
      <c r="DT214" s="9"/>
      <c r="DU214" s="9"/>
      <c r="DV214" s="89">
        <v>1.2159589563355604E-2</v>
      </c>
      <c r="DW214" s="89">
        <f t="shared" ca="1" si="236"/>
        <v>1.2159589563355604E-2</v>
      </c>
      <c r="DX214" s="72">
        <f t="shared" ca="1" si="237"/>
        <v>-0.46190786780701537</v>
      </c>
      <c r="DY214" s="37"/>
      <c r="DZ214" s="35">
        <f t="shared" si="247"/>
        <v>0.30309074548722098</v>
      </c>
      <c r="EA214" s="56"/>
      <c r="EB214" s="56"/>
      <c r="ED214" s="2" t="e" vm="216">
        <v>#VALUE!</v>
      </c>
      <c r="EF214" s="10" cm="1">
        <f t="array" aca="1" ref="EF214" ca="1">_FV(ED214,"Ações em circulação",TRUE)</f>
        <v>133851100</v>
      </c>
      <c r="EG214" s="18">
        <f>VLOOKUP(BQ214,Fundamentus!A:U,5,FALSE)</f>
        <v>0.26200000000000001</v>
      </c>
      <c r="EH214" s="2">
        <f t="shared" ca="1" si="238"/>
        <v>1471340335.8778625</v>
      </c>
      <c r="EI214" s="17">
        <v>188472566.44122133</v>
      </c>
      <c r="EJ214" s="17">
        <f t="shared" ca="1" si="239"/>
        <v>191127109.63053432</v>
      </c>
      <c r="EL214" s="16">
        <f t="shared" ca="1" si="226"/>
        <v>1.4084507042253724E-2</v>
      </c>
      <c r="EM214" s="32" t="str">
        <f>IF(VLOOKUP(BQ214,Fundamentus!A:U,3,FALSE)&lt;15,"Bom",IF(VLOOKUP(BQ214,Fundamentus!A:U,3,FALSE)&gt;15,"Ruim","n/a"))</f>
        <v>Bom</v>
      </c>
      <c r="EN214" s="28" t="str">
        <f>IF(VLOOKUP(BQ214,Fundamentus!A:U,4,FALSE)&lt;1,"Baixo",IF(VLOOKUP(BQ214,Fundamentus!A:U,4,FALSE)&lt;1.5,"Moderado",IF(VLOOKUP(BQ214,Fundamentus!A:U,4,FALSE)&gt;1.5,"Alto","n/a")))</f>
        <v>Baixo</v>
      </c>
      <c r="EO214" s="17" t="str">
        <f>IF(VLOOKUP(BQ214,Fundamentus!A:U,8,FALSE)&lt;0,"Risco elevado",IF(VLOOKUP(BQ214,Fundamentus!A:U,8,FALSE)&lt;1,"Saudável",IF(VLOOKUP(BQ214,Fundamentus!A:U,8,FALSE)&lt;3,"Estável",IF(VLOOKUP(BQ214,Fundamentus!A:U,8,FALSE)&gt;3,"Alerta","n/a"))))</f>
        <v>Saudável</v>
      </c>
      <c r="EP214" s="28" t="str">
        <f t="shared" si="240"/>
        <v>Ruim</v>
      </c>
      <c r="EQ214" s="17" t="str">
        <f>IF(VLOOKUP(BQ214,Fundamentus!A:U,12,FALSE)&lt;2,"Subvalorizada",IF(VLOOKUP(BQ214,Fundamentus!A:U,12,FALSE)&lt;6,"Muita barata",IF(VLOOKUP(BQ214,Fundamentus!A:U,12,FALSE)&lt;6,"Barata",IF(VLOOKUP(BQ214,Fundamentus!A:U,12,FALSE)&lt;8,"Atrativa",IF(VLOOKUP(BQ214,Fundamentus!A:U,12,FALSE)&gt;8,"Supervalorizada","n/a")))))</f>
        <v>Atrativa</v>
      </c>
      <c r="ES214" s="17" t="str">
        <f>IF(VLOOKUP(BQ214,Fundamentus!A:U,17,FALSE)&lt;0.1,"Fraco retorno",IF(VLOOKUP(BQ214,Fundamentus!A:U,17,FALSE)&gt;0.1,"Bom retorno","n/a"))</f>
        <v>Fraco retorno</v>
      </c>
      <c r="ET214" s="17" t="str">
        <f>IF(VLOOKUP(BQ214,Fundamentus!A:U,16,FALSE)&lt;0.1,"Ineficiente",IF(VLOOKUP(BQ214,Fundamentus!A:U,16,FALSE)&gt;0.1,"Eficiente","n/a"))</f>
        <v>Ineficiente</v>
      </c>
      <c r="EU214" s="33" t="str">
        <f>IF(VLOOKUP(BQ214,Fundamentus!A:U,16,FALSE)&lt;0.1,"Oper. Ineficiente",IF(VLOOKUP(BQ214,Fundamentus!A:U,16,FALSE)&gt;0.1,"Oper.Eficiente","n/a"))</f>
        <v>Oper. Ineficiente</v>
      </c>
      <c r="EV214" s="34">
        <f>VLOOKUP(BQ214,Fundamentus!A:U,14,FALSE)</f>
        <v>0.12989999999999999</v>
      </c>
      <c r="EW214" s="17" t="str">
        <f>IF(VLOOKUP(BQ214,Fundamentus!A:U,21,FALSE)&lt;0,"Negativo",IF(VLOOKUP(BQ214,Fundamentus!A:U,21,FALSE)&lt;0.05,"Fraco",IF(VLOOKUP(BQ214,Fundamentus!A:U,21,FALSE)&lt;0.1,"Bom",IF(VLOOKUP(BQ214,Fundamentus!A:U,21,FALSE)&gt;0.1,"Muito bom","n/a"))))</f>
        <v>Bom</v>
      </c>
      <c r="EY214" s="29" t="str">
        <f>IF(VLOOKUP(BQ214,Fundamentus!A:U,15,FALSE)&gt;1,"Bom",IF(VLOOKUP(BQ214,Fundamentus!A:U,15,FALSE)&lt;1,"Ruim","n/a"))</f>
        <v>Bom</v>
      </c>
      <c r="EZ214" s="17" t="str">
        <f>IF(VLOOKUP(BQ214,Fundamentus!A:U,20,FALSE)&lt;0.5,"Baixa",IF(VLOOKUP(BQ214,Fundamentus!A:U,20,FALSE)&lt;1,"Moderada",IF(VLOOKUP(BQ214,Fundamentus!A:U,20,FALSE)&lt;2,"Alerta",IF(VLOOKUP(BQ214,Fundamentus!A:U,20,FALSE)&gt;2,"Alta","n/a"))))</f>
        <v>Alerta</v>
      </c>
    </row>
    <row r="215" spans="1:157" s="2" customFormat="1" ht="11.25" hidden="1" x14ac:dyDescent="0.2">
      <c r="A215" s="4">
        <v>29.91</v>
      </c>
      <c r="B215" s="4">
        <v>30.67</v>
      </c>
      <c r="C215" s="4">
        <v>32.47</v>
      </c>
      <c r="D215" s="4">
        <v>29.82</v>
      </c>
      <c r="E215" s="4">
        <v>30</v>
      </c>
      <c r="F215" s="4">
        <v>29.8</v>
      </c>
      <c r="G215" s="4">
        <v>29.51</v>
      </c>
      <c r="H215" s="4">
        <v>29.49</v>
      </c>
      <c r="I215" s="4">
        <v>29.41</v>
      </c>
      <c r="J215" s="4">
        <v>29.32</v>
      </c>
      <c r="K215" s="4">
        <v>29.4</v>
      </c>
      <c r="L215" s="4">
        <v>30.25</v>
      </c>
      <c r="M215" s="4">
        <v>29.01</v>
      </c>
      <c r="N215" s="4">
        <v>29.19</v>
      </c>
      <c r="O215" s="4">
        <v>29.3</v>
      </c>
      <c r="P215" s="4">
        <v>28.79</v>
      </c>
      <c r="Q215" s="4">
        <v>28.51</v>
      </c>
      <c r="R215" s="4">
        <v>28.98</v>
      </c>
      <c r="S215" s="4">
        <v>28.69</v>
      </c>
      <c r="T215" s="4">
        <v>29.19</v>
      </c>
      <c r="U215" s="4">
        <v>28.11</v>
      </c>
      <c r="V215" s="4">
        <v>26.61</v>
      </c>
      <c r="W215" s="4">
        <v>26.3</v>
      </c>
      <c r="X215" s="4">
        <v>25.5</v>
      </c>
      <c r="Y215" s="4">
        <v>25.12</v>
      </c>
      <c r="Z215" s="4">
        <v>25.09</v>
      </c>
      <c r="AA215" s="4">
        <v>24.75</v>
      </c>
      <c r="AB215" s="4">
        <v>24.6</v>
      </c>
      <c r="AC215" s="4">
        <v>24.5</v>
      </c>
      <c r="AD215" s="4">
        <v>22.57</v>
      </c>
      <c r="AE215" s="4">
        <v>22.13</v>
      </c>
      <c r="AF215" s="4">
        <v>22.25</v>
      </c>
      <c r="AG215" s="4">
        <v>21.45</v>
      </c>
      <c r="AH215" s="4">
        <v>20.94</v>
      </c>
      <c r="AI215" s="4">
        <v>20.85</v>
      </c>
      <c r="AJ215" s="4">
        <v>19.899999999999999</v>
      </c>
      <c r="AK215" s="4">
        <v>19.899999999999999</v>
      </c>
      <c r="AL215" s="4">
        <v>19.38</v>
      </c>
      <c r="AM215" s="4">
        <v>19.010000000000002</v>
      </c>
      <c r="AN215" s="4">
        <v>20.059999999999999</v>
      </c>
      <c r="AO215" s="4">
        <v>19.75</v>
      </c>
      <c r="AP215" s="4">
        <v>19.21</v>
      </c>
      <c r="AQ215" s="4">
        <v>19.48</v>
      </c>
      <c r="AR215" s="4">
        <v>19.18</v>
      </c>
      <c r="AS215" s="4">
        <v>18.55</v>
      </c>
      <c r="AT215" s="4">
        <v>18.68</v>
      </c>
      <c r="AU215" s="4">
        <v>18.704999999999998</v>
      </c>
      <c r="AV215" s="4">
        <v>18.989999999999998</v>
      </c>
      <c r="AW215" s="4">
        <v>18.510000000000002</v>
      </c>
      <c r="AX215" s="4">
        <v>18.05</v>
      </c>
      <c r="AY215" s="12">
        <v>19</v>
      </c>
      <c r="AZ215" s="12">
        <v>21.49</v>
      </c>
      <c r="BA215" s="12">
        <v>21.15</v>
      </c>
      <c r="BB215" s="15">
        <v>20.97</v>
      </c>
      <c r="BC215" s="52">
        <v>21.05</v>
      </c>
      <c r="BD215" s="52">
        <v>20.69</v>
      </c>
      <c r="BE215" s="52">
        <v>21.99</v>
      </c>
      <c r="BF215" s="52">
        <v>20.59</v>
      </c>
      <c r="BG215" s="67">
        <v>19.14</v>
      </c>
      <c r="BH215" s="52">
        <v>18.98</v>
      </c>
      <c r="BI215" s="52">
        <v>17.510000000000002</v>
      </c>
      <c r="BJ215" s="52">
        <v>16.170000000000002</v>
      </c>
      <c r="BK215" s="52">
        <v>16.059999999999999</v>
      </c>
      <c r="BL215" s="52">
        <v>16</v>
      </c>
      <c r="BM215" s="52">
        <v>16.079999999999998</v>
      </c>
      <c r="BN215" s="52">
        <v>15.3</v>
      </c>
      <c r="BO215" s="52">
        <v>15.2</v>
      </c>
      <c r="BP215" s="52" cm="1">
        <f t="array" aca="1" ref="BP215" ca="1">_FV(ED215,"Preço")</f>
        <v>14.87</v>
      </c>
      <c r="BQ215" s="69" t="s">
        <v>211</v>
      </c>
      <c r="BR215" s="36" cm="1">
        <f t="array" aca="1" ref="BR215" ca="1">_FV(ED215,"Média de volume",TRUE)</f>
        <v>1530</v>
      </c>
      <c r="BS215" s="36">
        <v>2600</v>
      </c>
      <c r="BT215" s="36" cm="1">
        <f t="array" aca="1" ref="BT215" ca="1">_FV(ED215,"Volume")</f>
        <v>3100</v>
      </c>
      <c r="BU215" s="24" cm="1">
        <f t="array" aca="1" ref="BU215" ca="1">_FV(ED215,"Beta")</f>
        <v>0.8206</v>
      </c>
      <c r="BV215" s="71" cm="1">
        <f t="array" aca="1" ref="BV215" ca="1">_FV(ED215,"Variação (%)",TRUE)</f>
        <v>-2.4917999999999999E-2</v>
      </c>
      <c r="BX215" s="17" cm="1">
        <f t="array" aca="1" ref="BX215" ca="1">_FV(ED215,"Baixo")</f>
        <v>14.87</v>
      </c>
      <c r="BY215" s="17" cm="1">
        <f t="array" aca="1" ref="BY215" ca="1">_FV(ED215,"Alto")</f>
        <v>15.99</v>
      </c>
      <c r="BZ215" s="24"/>
      <c r="CA215" s="63" t="e">
        <f ca="1">SQRT(22.5*(BP215/VLOOKUP(BQ215,Fundamentus!A:U,3,FALSE))*(BP215/VLOOKUP(BQ215,Fundamentus!A:U,4,FALSE)))</f>
        <v>#NUM!</v>
      </c>
      <c r="CC215" s="62">
        <f t="shared" ca="1" si="241"/>
        <v>-2.1710526315789479E-2</v>
      </c>
      <c r="CD215" s="8"/>
      <c r="CE215" s="61">
        <f t="shared" si="242"/>
        <v>15.2</v>
      </c>
      <c r="CF215" s="61">
        <f t="shared" si="243"/>
        <v>32.47</v>
      </c>
      <c r="CG215" s="61">
        <f t="shared" si="244"/>
        <v>23.241865671641797</v>
      </c>
      <c r="CH215" s="14"/>
      <c r="CI215" s="35">
        <f t="shared" si="227"/>
        <v>14.065102554469604</v>
      </c>
      <c r="CJ215" s="15">
        <f t="shared" si="245"/>
        <v>14.849999999999909</v>
      </c>
      <c r="CK215" s="35">
        <f t="shared" si="228"/>
        <v>15.634897445530214</v>
      </c>
      <c r="CM215" s="14"/>
      <c r="CN215" s="17">
        <f t="shared" si="229"/>
        <v>-7.8266666666666644</v>
      </c>
      <c r="CO215" s="17">
        <f t="shared" si="230"/>
        <v>3.6866666666666674</v>
      </c>
      <c r="CP215" s="17">
        <f t="shared" si="231"/>
        <v>9.4433333333333351</v>
      </c>
      <c r="CQ215" s="38">
        <f t="shared" si="246"/>
        <v>20.956666666666667</v>
      </c>
      <c r="CR215" s="17">
        <f t="shared" si="232"/>
        <v>26.713333333333335</v>
      </c>
      <c r="CS215" s="17">
        <f t="shared" si="233"/>
        <v>38.226666666666667</v>
      </c>
      <c r="CT215" s="17">
        <f t="shared" si="234"/>
        <v>43.983333333333334</v>
      </c>
      <c r="CU215" s="2" cm="1">
        <f t="array" aca="1" ref="CU215" ca="1">MAX(_xlfn._xlws.FILTER(CN215:CT215,CN215:CT215&lt;BP215))</f>
        <v>9.4433333333333351</v>
      </c>
      <c r="CV215" s="2" cm="1">
        <f t="array" aca="1" ref="CV215" ca="1">MIN(_xlfn._xlws.FILTER($CN215:$CT215,$CN215:$CT215&gt;BP215))</f>
        <v>20.956666666666667</v>
      </c>
      <c r="CW215" s="16">
        <f t="shared" ca="1" si="248"/>
        <v>1.2192022590893044</v>
      </c>
      <c r="CX215" s="20">
        <f t="shared" ca="1" si="249"/>
        <v>-0.60960112954465218</v>
      </c>
      <c r="CY215" s="20">
        <f t="shared" ca="1" si="250"/>
        <v>-0.40640075302976814</v>
      </c>
      <c r="CZ215" s="20">
        <f t="shared" ca="1" si="251"/>
        <v>-0.24384045181786088</v>
      </c>
      <c r="DA215" s="20">
        <f t="shared" ca="1" si="252"/>
        <v>-0.13546691767658936</v>
      </c>
      <c r="DB215" s="20">
        <f t="shared" ca="1" si="253"/>
        <v>-7.1717779946429666E-2</v>
      </c>
      <c r="DC215" s="20">
        <f t="shared" ca="1" si="254"/>
        <v>-3.694552300270619E-2</v>
      </c>
      <c r="DD215" s="20">
        <f t="shared" ca="1" si="255"/>
        <v>-1.8756957832143144E-2</v>
      </c>
      <c r="DE215" s="21">
        <f t="shared" ca="1" si="256"/>
        <v>1.8756957832143144E-2</v>
      </c>
      <c r="DF215" s="21">
        <f t="shared" ca="1" si="257"/>
        <v>3.694552300270619E-2</v>
      </c>
      <c r="DG215" s="21">
        <f t="shared" ca="1" si="258"/>
        <v>7.1717779946429666E-2</v>
      </c>
      <c r="DH215" s="21">
        <f t="shared" ca="1" si="259"/>
        <v>0.13546691767658936</v>
      </c>
      <c r="DI215" s="21">
        <f t="shared" ca="1" si="260"/>
        <v>0.24384045181786088</v>
      </c>
      <c r="DJ215" s="21">
        <f t="shared" ca="1" si="261"/>
        <v>0.40640075302976814</v>
      </c>
      <c r="DK215" s="21">
        <f t="shared" ca="1" si="262"/>
        <v>0.60960112954465218</v>
      </c>
      <c r="DM215" s="16" cm="1">
        <f t="array" aca="1" ref="DM215" ca="1">MAX(_xlfn._xlws.FILTER(CX215:DK215,CX215:DK215&lt;BV215))</f>
        <v>-3.694552300270619E-2</v>
      </c>
      <c r="DN215" s="16" cm="1">
        <f t="array" aca="1" ref="DN215" ca="1">MIN(_xlfn._xlws.FILTER(CX215:DK215,CX215:DK215&gt;BV215))</f>
        <v>-1.8756957832143144E-2</v>
      </c>
      <c r="DO215" s="2" cm="1">
        <f t="array" aca="1" ref="DO215" ca="1">_FV(ED215,"Fechamento anterior",TRUE)</f>
        <v>15.25</v>
      </c>
      <c r="DP215" s="28">
        <f t="shared" ca="1" si="235"/>
        <v>0.66126657617207596</v>
      </c>
      <c r="DQ215" s="15">
        <f t="shared" ca="1" si="263"/>
        <v>14.68658077420873</v>
      </c>
      <c r="DR215" s="15">
        <f t="shared" ca="1" si="264"/>
        <v>14.963956393059817</v>
      </c>
      <c r="DS215" s="9"/>
      <c r="DT215" s="9"/>
      <c r="DU215" s="9"/>
      <c r="DV215" s="89">
        <v>3.7513915664286288E-2</v>
      </c>
      <c r="DW215" s="89">
        <f t="shared" ca="1" si="236"/>
        <v>1.8188565170563047E-2</v>
      </c>
      <c r="DX215" s="72">
        <f t="shared" ca="1" si="237"/>
        <v>2.5481035916198512E-2</v>
      </c>
      <c r="DY215" s="37"/>
      <c r="DZ215" s="35">
        <f t="shared" si="247"/>
        <v>0.39244872276515264</v>
      </c>
      <c r="EA215" s="56"/>
      <c r="EB215" s="56"/>
      <c r="ED215" s="2" t="e" vm="217">
        <v>#VALUE!</v>
      </c>
      <c r="EF215" s="10" cm="1">
        <f t="array" aca="1" ref="EF215" ca="1">_FV(ED215,"Ações em circulação",TRUE)</f>
        <v>29018750</v>
      </c>
      <c r="EG215" s="18">
        <f>VLOOKUP(BQ215,Fundamentus!A:U,5,FALSE)</f>
        <v>0.66100000000000003</v>
      </c>
      <c r="EH215" s="2">
        <f t="shared" ca="1" si="238"/>
        <v>652812121.78517389</v>
      </c>
      <c r="EI215" s="17">
        <v>-110171155.06807865</v>
      </c>
      <c r="EJ215" s="17">
        <f t="shared" ca="1" si="239"/>
        <v>-107779281.30673221</v>
      </c>
      <c r="EL215" s="16">
        <f t="shared" ca="1" si="226"/>
        <v>-2.1710526315789513E-2</v>
      </c>
      <c r="EM215" s="32" t="str">
        <f>IF(VLOOKUP(BQ215,Fundamentus!A:U,3,FALSE)&lt;15,"Bom",IF(VLOOKUP(BQ215,Fundamentus!A:U,3,FALSE)&gt;15,"Ruim","n/a"))</f>
        <v>Bom</v>
      </c>
      <c r="EN215" s="28" t="str">
        <f>IF(VLOOKUP(BQ215,Fundamentus!A:U,4,FALSE)&lt;1,"Baixo",IF(VLOOKUP(BQ215,Fundamentus!A:U,4,FALSE)&lt;1.5,"Moderado",IF(VLOOKUP(BQ215,Fundamentus!A:U,4,FALSE)&gt;1.5,"Alto","n/a")))</f>
        <v>Baixo</v>
      </c>
      <c r="EO215" s="17" t="str">
        <f>IF(VLOOKUP(BQ215,Fundamentus!A:U,8,FALSE)&lt;0,"Risco elevado",IF(VLOOKUP(BQ215,Fundamentus!A:U,8,FALSE)&lt;1,"Saudável",IF(VLOOKUP(BQ215,Fundamentus!A:U,8,FALSE)&lt;3,"Estável",IF(VLOOKUP(BQ215,Fundamentus!A:U,8,FALSE)&gt;3,"Alerta","n/a"))))</f>
        <v>Estável</v>
      </c>
      <c r="EP215" s="28" t="str">
        <f t="shared" si="240"/>
        <v>Ruim</v>
      </c>
      <c r="EQ215" s="17" t="str">
        <f>IF(VLOOKUP(BQ215,Fundamentus!A:U,12,FALSE)&lt;2,"Subvalorizada",IF(VLOOKUP(BQ215,Fundamentus!A:U,12,FALSE)&lt;6,"Muita barata",IF(VLOOKUP(BQ215,Fundamentus!A:U,12,FALSE)&lt;6,"Barata",IF(VLOOKUP(BQ215,Fundamentus!A:U,12,FALSE)&lt;8,"Atrativa",IF(VLOOKUP(BQ215,Fundamentus!A:U,12,FALSE)&gt;8,"Supervalorizada","n/a")))))</f>
        <v>Subvalorizada</v>
      </c>
      <c r="ES215" s="17" t="str">
        <f>IF(VLOOKUP(BQ215,Fundamentus!A:U,17,FALSE)&lt;0.1,"Fraco retorno",IF(VLOOKUP(BQ215,Fundamentus!A:U,17,FALSE)&gt;0.1,"Bom retorno","n/a"))</f>
        <v>Fraco retorno</v>
      </c>
      <c r="ET215" s="17" t="str">
        <f>IF(VLOOKUP(BQ215,Fundamentus!A:U,16,FALSE)&lt;0.1,"Ineficiente",IF(VLOOKUP(BQ215,Fundamentus!A:U,16,FALSE)&gt;0.1,"Eficiente","n/a"))</f>
        <v>Ineficiente</v>
      </c>
      <c r="EU215" s="33" t="str">
        <f>IF(VLOOKUP(BQ215,Fundamentus!A:U,16,FALSE)&lt;0.1,"Oper. Ineficiente",IF(VLOOKUP(BQ215,Fundamentus!A:U,16,FALSE)&gt;0.1,"Oper.Eficiente","n/a"))</f>
        <v>Oper. Ineficiente</v>
      </c>
      <c r="EV215" s="34">
        <f>VLOOKUP(BQ215,Fundamentus!A:U,14,FALSE)</f>
        <v>-0.1651</v>
      </c>
      <c r="EW215" s="17" t="str">
        <f>IF(VLOOKUP(BQ215,Fundamentus!A:U,21,FALSE)&lt;0,"Negativo",IF(VLOOKUP(BQ215,Fundamentus!A:U,21,FALSE)&lt;0.05,"Fraco",IF(VLOOKUP(BQ215,Fundamentus!A:U,21,FALSE)&lt;0.1,"Bom",IF(VLOOKUP(BQ215,Fundamentus!A:U,21,FALSE)&gt;0.1,"Muito bom","n/a"))))</f>
        <v>Negativo</v>
      </c>
      <c r="EY215" s="29" t="str">
        <f>IF(VLOOKUP(BQ215,Fundamentus!A:U,15,FALSE)&gt;1,"Bom",IF(VLOOKUP(BQ215,Fundamentus!A:U,15,FALSE)&lt;1,"Ruim","n/a"))</f>
        <v>Bom</v>
      </c>
      <c r="EZ215" s="17" t="str">
        <f>IF(VLOOKUP(BQ215,Fundamentus!A:U,20,FALSE)&lt;0.5,"Baixa",IF(VLOOKUP(BQ215,Fundamentus!A:U,20,FALSE)&lt;1,"Moderada",IF(VLOOKUP(BQ215,Fundamentus!A:U,20,FALSE)&lt;2,"Alerta",IF(VLOOKUP(BQ215,Fundamentus!A:U,20,FALSE)&gt;2,"Alta","n/a"))))</f>
        <v>Baixa</v>
      </c>
    </row>
    <row r="216" spans="1:157" s="2" customFormat="1" ht="11.25" hidden="1" x14ac:dyDescent="0.2">
      <c r="A216" s="4">
        <v>41</v>
      </c>
      <c r="B216" s="4">
        <v>41</v>
      </c>
      <c r="C216" s="4">
        <v>39.49</v>
      </c>
      <c r="D216" s="4">
        <v>38.25</v>
      </c>
      <c r="E216" s="4">
        <v>35.65</v>
      </c>
      <c r="F216" s="4">
        <v>35.799999999999997</v>
      </c>
      <c r="G216" s="4">
        <v>35.71</v>
      </c>
      <c r="H216" s="4">
        <v>35</v>
      </c>
      <c r="I216" s="4">
        <v>35.75</v>
      </c>
      <c r="J216" s="4">
        <v>39.880000000000003</v>
      </c>
      <c r="K216" s="4">
        <v>41.69</v>
      </c>
      <c r="L216" s="4">
        <v>40.299999999999997</v>
      </c>
      <c r="M216" s="4">
        <v>38.25</v>
      </c>
      <c r="N216" s="4">
        <v>36.4</v>
      </c>
      <c r="O216" s="4">
        <v>35.08</v>
      </c>
      <c r="P216" s="4">
        <v>36.28</v>
      </c>
      <c r="Q216" s="4">
        <v>36.57</v>
      </c>
      <c r="R216" s="4">
        <v>35.01</v>
      </c>
      <c r="S216" s="4">
        <v>36.06</v>
      </c>
      <c r="T216" s="4">
        <v>37.96</v>
      </c>
      <c r="U216" s="4">
        <v>36</v>
      </c>
      <c r="V216" s="4">
        <v>33.5</v>
      </c>
      <c r="W216" s="4">
        <v>34.89</v>
      </c>
      <c r="X216" s="4">
        <v>30.13</v>
      </c>
      <c r="Y216" s="4">
        <v>28.82</v>
      </c>
      <c r="Z216" s="4">
        <v>26.09</v>
      </c>
      <c r="AA216" s="4">
        <v>25.96</v>
      </c>
      <c r="AB216" s="4">
        <v>24.71</v>
      </c>
      <c r="AC216" s="4">
        <v>23.61</v>
      </c>
      <c r="AD216" s="4">
        <v>22.04</v>
      </c>
      <c r="AE216" s="4">
        <v>19.96</v>
      </c>
      <c r="AF216" s="4">
        <v>20.05</v>
      </c>
      <c r="AG216" s="4">
        <v>20</v>
      </c>
      <c r="AH216" s="4">
        <v>20.420000000000002</v>
      </c>
      <c r="AI216" s="4">
        <v>20.73</v>
      </c>
      <c r="AJ216" s="4">
        <v>20.25</v>
      </c>
      <c r="AK216" s="4">
        <v>20.04</v>
      </c>
      <c r="AL216" s="4">
        <v>20.100000000000001</v>
      </c>
      <c r="AM216" s="4">
        <v>20.07</v>
      </c>
      <c r="AN216" s="4">
        <v>20.94</v>
      </c>
      <c r="AO216" s="4">
        <v>20.7</v>
      </c>
      <c r="AP216" s="4">
        <v>21.77</v>
      </c>
      <c r="AQ216" s="4">
        <v>20.89</v>
      </c>
      <c r="AR216" s="4">
        <v>21.75</v>
      </c>
      <c r="AS216" s="4">
        <v>21.42</v>
      </c>
      <c r="AT216" s="4">
        <v>21.5</v>
      </c>
      <c r="AU216" s="4">
        <v>21.934999999999999</v>
      </c>
      <c r="AV216" s="4">
        <v>21.06</v>
      </c>
      <c r="AW216" s="4">
        <v>21.17</v>
      </c>
      <c r="AX216" s="4">
        <v>21.22</v>
      </c>
      <c r="AY216" s="12">
        <v>21.25</v>
      </c>
      <c r="AZ216" s="12">
        <v>22.25</v>
      </c>
      <c r="BA216" s="12">
        <v>22.32</v>
      </c>
      <c r="BB216" s="15">
        <v>22.61</v>
      </c>
      <c r="BC216" s="52">
        <v>24.7</v>
      </c>
      <c r="BD216" s="52">
        <v>24.7</v>
      </c>
      <c r="BE216" s="52">
        <v>25.55</v>
      </c>
      <c r="BF216" s="52">
        <v>25.45</v>
      </c>
      <c r="BG216" s="67">
        <v>25.51</v>
      </c>
      <c r="BH216" s="52">
        <v>25.5</v>
      </c>
      <c r="BI216" s="52">
        <v>25.4</v>
      </c>
      <c r="BJ216" s="52">
        <v>26</v>
      </c>
      <c r="BK216" s="52">
        <v>25.85</v>
      </c>
      <c r="BL216" s="52">
        <v>26.17</v>
      </c>
      <c r="BM216" s="52">
        <v>24.75</v>
      </c>
      <c r="BN216" s="52">
        <v>25.45</v>
      </c>
      <c r="BO216" s="52">
        <v>26.24</v>
      </c>
      <c r="BP216" s="52" cm="1">
        <f t="array" aca="1" ref="BP216" ca="1">_FV(ED216,"Preço")</f>
        <v>25.09</v>
      </c>
      <c r="BQ216" s="69" t="s">
        <v>212</v>
      </c>
      <c r="BR216" s="36" cm="1">
        <f t="array" aca="1" ref="BR216" ca="1">_FV(ED216,"Média de volume",TRUE)</f>
        <v>14900</v>
      </c>
      <c r="BS216" s="36">
        <v>32200</v>
      </c>
      <c r="BT216" s="36" cm="1">
        <f t="array" aca="1" ref="BT216" ca="1">_FV(ED216,"Volume")</f>
        <v>3500</v>
      </c>
      <c r="BU216" s="24" cm="1">
        <f t="array" aca="1" ref="BU216" ca="1">_FV(ED216,"Beta")</f>
        <v>0.96689999999999998</v>
      </c>
      <c r="BV216" s="71" cm="1">
        <f t="array" aca="1" ref="BV216" ca="1">_FV(ED216,"Variação (%)",TRUE)</f>
        <v>3.5999999999999999E-3</v>
      </c>
      <c r="BX216" s="17" cm="1">
        <f t="array" aca="1" ref="BX216" ca="1">_FV(ED216,"Baixo")</f>
        <v>24.91</v>
      </c>
      <c r="BY216" s="17" cm="1">
        <f t="array" aca="1" ref="BY216" ca="1">_FV(ED216,"Alto")</f>
        <v>25.15</v>
      </c>
      <c r="BZ216" s="24"/>
      <c r="CA216" s="63">
        <f ca="1">SQRT(22.5*(BP216/VLOOKUP(BQ216,Fundamentus!A:U,3,FALSE))*(BP216/VLOOKUP(BQ216,Fundamentus!A:U,4,FALSE)))</f>
        <v>11.956147132257307</v>
      </c>
      <c r="CC216" s="62">
        <f t="shared" ca="1" si="241"/>
        <v>-4.3826219512195071E-2</v>
      </c>
      <c r="CD216" s="8"/>
      <c r="CE216" s="61">
        <f t="shared" si="242"/>
        <v>19.96</v>
      </c>
      <c r="CF216" s="61">
        <f t="shared" si="243"/>
        <v>41.69</v>
      </c>
      <c r="CG216" s="61">
        <f t="shared" si="244"/>
        <v>27.948582089552247</v>
      </c>
      <c r="CH216" s="14"/>
      <c r="CI216" s="35">
        <f t="shared" si="227"/>
        <v>24.784671738701128</v>
      </c>
      <c r="CJ216" s="15">
        <f t="shared" si="245"/>
        <v>25.879999999999995</v>
      </c>
      <c r="CK216" s="35">
        <f t="shared" si="228"/>
        <v>26.975328261298863</v>
      </c>
      <c r="CM216" s="14"/>
      <c r="CN216" s="17">
        <f t="shared" si="229"/>
        <v>-4.8266666666666609</v>
      </c>
      <c r="CO216" s="17">
        <f t="shared" si="230"/>
        <v>7.56666666666667</v>
      </c>
      <c r="CP216" s="17">
        <f t="shared" si="231"/>
        <v>16.903333333333336</v>
      </c>
      <c r="CQ216" s="38">
        <f t="shared" si="246"/>
        <v>29.296666666666667</v>
      </c>
      <c r="CR216" s="17">
        <f t="shared" si="232"/>
        <v>38.633333333333333</v>
      </c>
      <c r="CS216" s="17">
        <f t="shared" si="233"/>
        <v>51.026666666666664</v>
      </c>
      <c r="CT216" s="17">
        <f t="shared" si="234"/>
        <v>60.36333333333333</v>
      </c>
      <c r="CU216" s="2" cm="1">
        <f t="array" aca="1" ref="CU216" ca="1">MAX(_xlfn._xlws.FILTER(CN216:CT216,CN216:CT216&lt;BP216))</f>
        <v>16.903333333333336</v>
      </c>
      <c r="CV216" s="2" cm="1">
        <f t="array" aca="1" ref="CV216" ca="1">MIN(_xlfn._xlws.FILTER($CN216:$CT216,$CN216:$CT216&gt;BP216))</f>
        <v>29.296666666666667</v>
      </c>
      <c r="CW216" s="16">
        <f t="shared" ca="1" si="248"/>
        <v>0.73318872017353542</v>
      </c>
      <c r="CX216" s="20">
        <f t="shared" ca="1" si="249"/>
        <v>-0.36659436008676771</v>
      </c>
      <c r="CY216" s="20">
        <f t="shared" ca="1" si="250"/>
        <v>-0.24439624005784513</v>
      </c>
      <c r="CZ216" s="20">
        <f t="shared" ca="1" si="251"/>
        <v>-0.14663774403470708</v>
      </c>
      <c r="DA216" s="20">
        <f t="shared" ca="1" si="252"/>
        <v>-8.1465413352615049E-2</v>
      </c>
      <c r="DB216" s="20">
        <f t="shared" ca="1" si="253"/>
        <v>-4.3128748245502085E-2</v>
      </c>
      <c r="DC216" s="20">
        <f t="shared" ca="1" si="254"/>
        <v>-2.221784000525865E-2</v>
      </c>
      <c r="DD216" s="20">
        <f t="shared" ca="1" si="255"/>
        <v>-1.1279826464208238E-2</v>
      </c>
      <c r="DE216" s="21">
        <f t="shared" ca="1" si="256"/>
        <v>1.1279826464208238E-2</v>
      </c>
      <c r="DF216" s="21">
        <f t="shared" ca="1" si="257"/>
        <v>2.221784000525865E-2</v>
      </c>
      <c r="DG216" s="21">
        <f t="shared" ca="1" si="258"/>
        <v>4.3128748245502085E-2</v>
      </c>
      <c r="DH216" s="21">
        <f t="shared" ca="1" si="259"/>
        <v>8.1465413352615049E-2</v>
      </c>
      <c r="DI216" s="21">
        <f t="shared" ca="1" si="260"/>
        <v>0.14663774403470708</v>
      </c>
      <c r="DJ216" s="21">
        <f t="shared" ca="1" si="261"/>
        <v>0.24439624005784513</v>
      </c>
      <c r="DK216" s="21">
        <f t="shared" ca="1" si="262"/>
        <v>0.36659436008676771</v>
      </c>
      <c r="DM216" s="16" cm="1">
        <f t="array" aca="1" ref="DM216" ca="1">MAX(_xlfn._xlws.FILTER(CX216:DK216,CX216:DK216&lt;BV216))</f>
        <v>-1.1279826464208238E-2</v>
      </c>
      <c r="DN216" s="16" cm="1">
        <f t="array" aca="1" ref="DN216" ca="1">MIN(_xlfn._xlws.FILTER(CX216:DK216,CX216:DK216&gt;BV216))</f>
        <v>1.1279826464208238E-2</v>
      </c>
      <c r="DO216" s="2" cm="1">
        <f t="array" aca="1" ref="DO216" ca="1">_FV(ED216,"Fechamento anterior",TRUE)</f>
        <v>25</v>
      </c>
      <c r="DP216" s="28">
        <f t="shared" ca="1" si="235"/>
        <v>0.65957692307692362</v>
      </c>
      <c r="DQ216" s="15">
        <f t="shared" ca="1" si="263"/>
        <v>24.718004338394795</v>
      </c>
      <c r="DR216" s="15">
        <f t="shared" ca="1" si="264"/>
        <v>25.281995661605205</v>
      </c>
      <c r="DS216" s="9"/>
      <c r="DT216" s="9"/>
      <c r="DU216" s="9"/>
      <c r="DV216" s="89">
        <v>2.2559652928416475E-2</v>
      </c>
      <c r="DW216" s="89">
        <f t="shared" ca="1" si="236"/>
        <v>2.2559652928416475E-2</v>
      </c>
      <c r="DX216" s="72">
        <f t="shared" ca="1" si="237"/>
        <v>-0.72124497094888618</v>
      </c>
      <c r="DY216" s="37"/>
      <c r="DZ216" s="35">
        <f t="shared" si="247"/>
        <v>0.54766413064943387</v>
      </c>
      <c r="EA216" s="56"/>
      <c r="EB216" s="56"/>
      <c r="ED216" s="2" t="e" vm="218">
        <v>#VALUE!</v>
      </c>
      <c r="EF216" s="10" cm="1">
        <f t="array" aca="1" ref="EF216" ca="1">_FV(ED216,"Ações em circulação",TRUE)</f>
        <v>107306500</v>
      </c>
      <c r="EG216" s="18">
        <f>VLOOKUP(BQ216,Fundamentus!A:U,5,FALSE)</f>
        <v>0.93899999999999995</v>
      </c>
      <c r="EH216" s="2">
        <f t="shared" ca="1" si="238"/>
        <v>2867220537.8061771</v>
      </c>
      <c r="EI216" s="17">
        <v>75265853.307774231</v>
      </c>
      <c r="EJ216" s="17">
        <f t="shared" ca="1" si="239"/>
        <v>71967235.498935044</v>
      </c>
      <c r="EL216" s="16">
        <f t="shared" ca="1" si="226"/>
        <v>-4.3826219512195119E-2</v>
      </c>
      <c r="EM216" s="32" t="str">
        <f>IF(VLOOKUP(BQ216,Fundamentus!A:U,3,FALSE)&lt;15,"Bom",IF(VLOOKUP(BQ216,Fundamentus!A:U,3,FALSE)&gt;15,"Ruim","n/a"))</f>
        <v>Ruim</v>
      </c>
      <c r="EN216" s="28" t="str">
        <f>IF(VLOOKUP(BQ216,Fundamentus!A:U,4,FALSE)&lt;1,"Baixo",IF(VLOOKUP(BQ216,Fundamentus!A:U,4,FALSE)&lt;1.5,"Moderado",IF(VLOOKUP(BQ216,Fundamentus!A:U,4,FALSE)&gt;1.5,"Alto","n/a")))</f>
        <v>Alto</v>
      </c>
      <c r="EO216" s="17" t="str">
        <f>IF(VLOOKUP(BQ216,Fundamentus!A:U,8,FALSE)&lt;0,"Risco elevado",IF(VLOOKUP(BQ216,Fundamentus!A:U,8,FALSE)&lt;1,"Saudável",IF(VLOOKUP(BQ216,Fundamentus!A:U,8,FALSE)&lt;3,"Estável",IF(VLOOKUP(BQ216,Fundamentus!A:U,8,FALSE)&gt;3,"Alerta","n/a"))))</f>
        <v>Alerta</v>
      </c>
      <c r="EP216" s="28" t="str">
        <f t="shared" si="240"/>
        <v>Ruim</v>
      </c>
      <c r="EQ216" s="17" t="str">
        <f>IF(VLOOKUP(BQ216,Fundamentus!A:U,12,FALSE)&lt;2,"Subvalorizada",IF(VLOOKUP(BQ216,Fundamentus!A:U,12,FALSE)&lt;6,"Muita barata",IF(VLOOKUP(BQ216,Fundamentus!A:U,12,FALSE)&lt;6,"Barata",IF(VLOOKUP(BQ216,Fundamentus!A:U,12,FALSE)&lt;8,"Atrativa",IF(VLOOKUP(BQ216,Fundamentus!A:U,12,FALSE)&gt;8,"Supervalorizada","n/a")))))</f>
        <v>Atrativa</v>
      </c>
      <c r="ES216" s="17" t="str">
        <f>IF(VLOOKUP(BQ216,Fundamentus!A:U,17,FALSE)&lt;0.1,"Fraco retorno",IF(VLOOKUP(BQ216,Fundamentus!A:U,17,FALSE)&gt;0.1,"Bom retorno","n/a"))</f>
        <v>Fraco retorno</v>
      </c>
      <c r="ET216" s="17" t="str">
        <f>IF(VLOOKUP(BQ216,Fundamentus!A:U,16,FALSE)&lt;0.1,"Ineficiente",IF(VLOOKUP(BQ216,Fundamentus!A:U,16,FALSE)&gt;0.1,"Eficiente","n/a"))</f>
        <v>Ineficiente</v>
      </c>
      <c r="EU216" s="33" t="str">
        <f>IF(VLOOKUP(BQ216,Fundamentus!A:U,16,FALSE)&lt;0.1,"Oper. Ineficiente",IF(VLOOKUP(BQ216,Fundamentus!A:U,16,FALSE)&gt;0.1,"Oper.Eficiente","n/a"))</f>
        <v>Oper. Ineficiente</v>
      </c>
      <c r="EV216" s="34">
        <f>VLOOKUP(BQ216,Fundamentus!A:U,14,FALSE)</f>
        <v>2.5100000000000001E-2</v>
      </c>
      <c r="EW216" s="17" t="str">
        <f>IF(VLOOKUP(BQ216,Fundamentus!A:U,21,FALSE)&lt;0,"Negativo",IF(VLOOKUP(BQ216,Fundamentus!A:U,21,FALSE)&lt;0.05,"Fraco",IF(VLOOKUP(BQ216,Fundamentus!A:U,21,FALSE)&lt;0.1,"Bom",IF(VLOOKUP(BQ216,Fundamentus!A:U,21,FALSE)&gt;0.1,"Muito bom","n/a"))))</f>
        <v>Muito bom</v>
      </c>
      <c r="EY216" s="29" t="str">
        <f>IF(VLOOKUP(BQ216,Fundamentus!A:U,15,FALSE)&gt;1,"Bom",IF(VLOOKUP(BQ216,Fundamentus!A:U,15,FALSE)&lt;1,"Ruim","n/a"))</f>
        <v>Bom</v>
      </c>
      <c r="EZ216" s="17" t="str">
        <f>IF(VLOOKUP(BQ216,Fundamentus!A:U,20,FALSE)&lt;0.5,"Baixa",IF(VLOOKUP(BQ216,Fundamentus!A:U,20,FALSE)&lt;1,"Moderada",IF(VLOOKUP(BQ216,Fundamentus!A:U,20,FALSE)&lt;2,"Alerta",IF(VLOOKUP(BQ216,Fundamentus!A:U,20,FALSE)&gt;2,"Alta","n/a"))))</f>
        <v>Alerta</v>
      </c>
    </row>
    <row r="217" spans="1:157" s="2" customFormat="1" ht="11.25" hidden="1" x14ac:dyDescent="0.2">
      <c r="A217" s="4">
        <v>7.48</v>
      </c>
      <c r="B217" s="4">
        <v>8.1</v>
      </c>
      <c r="C217" s="4">
        <v>8.52</v>
      </c>
      <c r="D217" s="4">
        <v>8.16</v>
      </c>
      <c r="E217" s="4">
        <v>8.1300000000000008</v>
      </c>
      <c r="F217" s="4">
        <v>7.68</v>
      </c>
      <c r="G217" s="4">
        <v>7.31</v>
      </c>
      <c r="H217" s="4">
        <v>7.5</v>
      </c>
      <c r="I217" s="4">
        <v>7.53</v>
      </c>
      <c r="J217" s="4">
        <v>9</v>
      </c>
      <c r="K217" s="4">
        <v>9.15</v>
      </c>
      <c r="L217" s="4">
        <v>8.98</v>
      </c>
      <c r="M217" s="4">
        <v>8.94</v>
      </c>
      <c r="N217" s="4">
        <v>9.01</v>
      </c>
      <c r="O217" s="4">
        <v>8.48</v>
      </c>
      <c r="P217" s="4">
        <v>8.26</v>
      </c>
      <c r="Q217" s="4">
        <v>8.23</v>
      </c>
      <c r="R217" s="4">
        <v>7.6</v>
      </c>
      <c r="S217" s="4">
        <v>7.42</v>
      </c>
      <c r="T217" s="4">
        <v>7.32</v>
      </c>
      <c r="U217" s="4">
        <v>6.57</v>
      </c>
      <c r="V217" s="4">
        <v>6.5</v>
      </c>
      <c r="W217" s="4">
        <v>5.64</v>
      </c>
      <c r="X217" s="4">
        <v>5.6</v>
      </c>
      <c r="Y217" s="4">
        <v>5.99</v>
      </c>
      <c r="Z217" s="4">
        <v>6.32</v>
      </c>
      <c r="AA217" s="4">
        <v>5.77</v>
      </c>
      <c r="AB217" s="4">
        <v>5.71</v>
      </c>
      <c r="AC217" s="4">
        <v>5.53</v>
      </c>
      <c r="AD217" s="4">
        <v>6.1</v>
      </c>
      <c r="AE217" s="4">
        <v>5.79</v>
      </c>
      <c r="AF217" s="4">
        <v>5.3</v>
      </c>
      <c r="AG217" s="4">
        <v>5.6</v>
      </c>
      <c r="AH217" s="4">
        <v>5.0199999999999996</v>
      </c>
      <c r="AI217" s="4">
        <v>4.66</v>
      </c>
      <c r="AJ217" s="4">
        <v>4.58</v>
      </c>
      <c r="AK217" s="4">
        <v>4.4400000000000004</v>
      </c>
      <c r="AL217" s="4">
        <v>4.6399999999999997</v>
      </c>
      <c r="AM217" s="4">
        <v>4.5599999999999996</v>
      </c>
      <c r="AN217" s="4">
        <v>4.84</v>
      </c>
      <c r="AO217" s="4">
        <v>4.0599999999999996</v>
      </c>
      <c r="AP217" s="4">
        <v>5</v>
      </c>
      <c r="AQ217" s="4">
        <v>4.62</v>
      </c>
      <c r="AR217" s="4">
        <v>3.81</v>
      </c>
      <c r="AS217" s="4">
        <v>3.82</v>
      </c>
      <c r="AT217" s="4">
        <v>3.95</v>
      </c>
      <c r="AU217" s="4">
        <v>4.3499999999999996</v>
      </c>
      <c r="AV217" s="4">
        <v>4.67</v>
      </c>
      <c r="AW217" s="4">
        <v>4.3600000000000003</v>
      </c>
      <c r="AX217" s="4">
        <v>4.87</v>
      </c>
      <c r="AY217" s="12">
        <v>4.99</v>
      </c>
      <c r="AZ217" s="12">
        <v>5.36</v>
      </c>
      <c r="BA217" s="12">
        <v>4.92</v>
      </c>
      <c r="BB217" s="15">
        <v>4.55</v>
      </c>
      <c r="BC217" s="52">
        <v>4.34</v>
      </c>
      <c r="BD217" s="52">
        <v>4.12</v>
      </c>
      <c r="BE217" s="52">
        <v>4.97</v>
      </c>
      <c r="BF217" s="52">
        <v>4.53</v>
      </c>
      <c r="BG217" s="67">
        <v>4.6399999999999997</v>
      </c>
      <c r="BH217" s="52">
        <v>4.4800000000000004</v>
      </c>
      <c r="BI217" s="52">
        <v>4.13</v>
      </c>
      <c r="BJ217" s="52">
        <v>3.97</v>
      </c>
      <c r="BK217" s="52">
        <v>3.91</v>
      </c>
      <c r="BL217" s="52">
        <v>3.84</v>
      </c>
      <c r="BM217" s="52">
        <v>4</v>
      </c>
      <c r="BN217" s="52">
        <v>3.89</v>
      </c>
      <c r="BO217" s="52">
        <v>4.1399999999999997</v>
      </c>
      <c r="BP217" s="52" cm="1">
        <f t="array" aca="1" ref="BP217" ca="1">_FV(ED217,"Preço")</f>
        <v>3.83</v>
      </c>
      <c r="BQ217" s="69" t="s">
        <v>213</v>
      </c>
      <c r="BR217" s="36" cm="1">
        <f t="array" aca="1" ref="BR217" ca="1">_FV(ED217,"Média de volume",TRUE)</f>
        <v>13538790</v>
      </c>
      <c r="BS217" s="36">
        <v>11956700</v>
      </c>
      <c r="BT217" s="36" cm="1">
        <f t="array" aca="1" ref="BT217" ca="1">_FV(ED217,"Volume")</f>
        <v>12382300</v>
      </c>
      <c r="BU217" s="24" cm="1">
        <f t="array" aca="1" ref="BU217" ca="1">_FV(ED217,"Beta")</f>
        <v>1.2736000000000001</v>
      </c>
      <c r="BV217" s="71" cm="1">
        <f t="array" aca="1" ref="BV217" ca="1">_FV(ED217,"Variação (%)",TRUE)</f>
        <v>-5.195E-3</v>
      </c>
      <c r="BX217" s="17" cm="1">
        <f t="array" aca="1" ref="BX217" ca="1">_FV(ED217,"Baixo")</f>
        <v>3.8</v>
      </c>
      <c r="BY217" s="17" cm="1">
        <f t="array" aca="1" ref="BY217" ca="1">_FV(ED217,"Alto")</f>
        <v>3.91</v>
      </c>
      <c r="BZ217" s="24"/>
      <c r="CA217" s="63">
        <f ca="1">SQRT(22.5*(BP217/VLOOKUP(BQ217,Fundamentus!A:U,3,FALSE))*(BP217/VLOOKUP(BQ217,Fundamentus!A:U,4,FALSE)))</f>
        <v>3.7687326629630218</v>
      </c>
      <c r="CC217" s="62">
        <f t="shared" ca="1" si="241"/>
        <v>-7.4879227053140013E-2</v>
      </c>
      <c r="CD217" s="8"/>
      <c r="CE217" s="61">
        <f t="shared" si="242"/>
        <v>3.81</v>
      </c>
      <c r="CF217" s="61">
        <f t="shared" si="243"/>
        <v>9.15</v>
      </c>
      <c r="CG217" s="61">
        <f t="shared" si="244"/>
        <v>5.8246268656716422</v>
      </c>
      <c r="CH217" s="14"/>
      <c r="CI217" s="35">
        <f t="shared" si="227"/>
        <v>3.9538697084736176</v>
      </c>
      <c r="CJ217" s="15">
        <f t="shared" si="245"/>
        <v>4.1649999999999636</v>
      </c>
      <c r="CK217" s="35">
        <f t="shared" si="228"/>
        <v>4.3761302915263096</v>
      </c>
      <c r="CM217" s="14"/>
      <c r="CN217" s="17">
        <f t="shared" si="229"/>
        <v>-3.0900000000000003</v>
      </c>
      <c r="CO217" s="17">
        <f t="shared" si="230"/>
        <v>0.36000000000000032</v>
      </c>
      <c r="CP217" s="17">
        <f t="shared" si="231"/>
        <v>2.25</v>
      </c>
      <c r="CQ217" s="38">
        <f t="shared" si="246"/>
        <v>5.7</v>
      </c>
      <c r="CR217" s="17">
        <f t="shared" si="232"/>
        <v>7.59</v>
      </c>
      <c r="CS217" s="17">
        <f t="shared" si="233"/>
        <v>11.04</v>
      </c>
      <c r="CT217" s="17">
        <f t="shared" si="234"/>
        <v>12.93</v>
      </c>
      <c r="CU217" s="2" cm="1">
        <f t="array" aca="1" ref="CU217" ca="1">MAX(_xlfn._xlws.FILTER(CN217:CT217,CN217:CT217&lt;BP217))</f>
        <v>2.25</v>
      </c>
      <c r="CV217" s="2" cm="1">
        <f t="array" aca="1" ref="CV217" ca="1">MIN(_xlfn._xlws.FILTER($CN217:$CT217,$CN217:$CT217&gt;BP217))</f>
        <v>5.7</v>
      </c>
      <c r="CW217" s="16">
        <f t="shared" ca="1" si="248"/>
        <v>1.5333333333333332</v>
      </c>
      <c r="CX217" s="20">
        <f t="shared" ca="1" si="249"/>
        <v>-0.76666666666666661</v>
      </c>
      <c r="CY217" s="20">
        <f t="shared" ca="1" si="250"/>
        <v>-0.51111111111111107</v>
      </c>
      <c r="CZ217" s="20">
        <f t="shared" ca="1" si="251"/>
        <v>-0.30666666666666664</v>
      </c>
      <c r="DA217" s="20">
        <f t="shared" ca="1" si="252"/>
        <v>-0.17037037037037037</v>
      </c>
      <c r="DB217" s="20">
        <f t="shared" ca="1" si="253"/>
        <v>-9.0196078431372548E-2</v>
      </c>
      <c r="DC217" s="20">
        <f t="shared" ca="1" si="254"/>
        <v>-4.6464646464646459E-2</v>
      </c>
      <c r="DD217" s="20">
        <f t="shared" ca="1" si="255"/>
        <v>-2.3589743589743587E-2</v>
      </c>
      <c r="DE217" s="21">
        <f t="shared" ca="1" si="256"/>
        <v>2.3589743589743587E-2</v>
      </c>
      <c r="DF217" s="21">
        <f t="shared" ca="1" si="257"/>
        <v>4.6464646464646459E-2</v>
      </c>
      <c r="DG217" s="21">
        <f t="shared" ca="1" si="258"/>
        <v>9.0196078431372548E-2</v>
      </c>
      <c r="DH217" s="21">
        <f t="shared" ca="1" si="259"/>
        <v>0.17037037037037037</v>
      </c>
      <c r="DI217" s="21">
        <f t="shared" ca="1" si="260"/>
        <v>0.30666666666666664</v>
      </c>
      <c r="DJ217" s="21">
        <f t="shared" ca="1" si="261"/>
        <v>0.51111111111111107</v>
      </c>
      <c r="DK217" s="21">
        <f t="shared" ca="1" si="262"/>
        <v>0.76666666666666661</v>
      </c>
      <c r="DM217" s="16" cm="1">
        <f t="array" aca="1" ref="DM217" ca="1">MAX(_xlfn._xlws.FILTER(CX217:DK217,CX217:DK217&lt;BV217))</f>
        <v>-2.3589743589743587E-2</v>
      </c>
      <c r="DN217" s="16" cm="1">
        <f t="array" aca="1" ref="DN217" ca="1">MIN(_xlfn._xlws.FILTER(CX217:DK217,CX217:DK217&gt;BV217))</f>
        <v>2.3589743589743587E-2</v>
      </c>
      <c r="DO217" s="2" cm="1">
        <f t="array" aca="1" ref="DO217" ca="1">_FV(ED217,"Fechamento anterior",TRUE)</f>
        <v>3.85</v>
      </c>
      <c r="DP217" s="28">
        <f t="shared" ca="1" si="235"/>
        <v>0.38989271597967218</v>
      </c>
      <c r="DQ217" s="15">
        <f t="shared" ca="1" si="263"/>
        <v>3.7591794871794875</v>
      </c>
      <c r="DR217" s="15">
        <f t="shared" ca="1" si="264"/>
        <v>3.9408205128205127</v>
      </c>
      <c r="DS217" s="9"/>
      <c r="DT217" s="9"/>
      <c r="DU217" s="9"/>
      <c r="DV217" s="89">
        <v>4.7179487179487174E-2</v>
      </c>
      <c r="DW217" s="89">
        <f t="shared" ca="1" si="236"/>
        <v>4.7179487179487174E-2</v>
      </c>
      <c r="DX217" s="72">
        <f t="shared" ca="1" si="237"/>
        <v>-1.5866979464581492</v>
      </c>
      <c r="DY217" s="37"/>
      <c r="DZ217" s="35">
        <f t="shared" si="247"/>
        <v>0.10556514576317307</v>
      </c>
      <c r="EA217" s="56"/>
      <c r="EB217" s="56"/>
      <c r="ED217" s="2" t="e" vm="219">
        <v>#VALUE!</v>
      </c>
      <c r="EF217" s="10" cm="1">
        <f t="array" aca="1" ref="EF217" ca="1">_FV(ED217,"Ações em circulação",TRUE)</f>
        <v>1081033000</v>
      </c>
      <c r="EG217" s="18">
        <f>VLOOKUP(BQ217,Fundamentus!A:U,5,FALSE)</f>
        <v>0.97699999999999998</v>
      </c>
      <c r="EH217" s="2">
        <f t="shared" ca="1" si="238"/>
        <v>4237826397.1340842</v>
      </c>
      <c r="EI217" s="17">
        <v>325239344.95394063</v>
      </c>
      <c r="EJ217" s="17">
        <f t="shared" ca="1" si="239"/>
        <v>300885674.19651997</v>
      </c>
      <c r="EL217" s="16">
        <f t="shared" ca="1" si="226"/>
        <v>-7.4879227053140096E-2</v>
      </c>
      <c r="EM217" s="32" t="str">
        <f>IF(VLOOKUP(BQ217,Fundamentus!A:U,3,FALSE)&lt;15,"Bom",IF(VLOOKUP(BQ217,Fundamentus!A:U,3,FALSE)&gt;15,"Ruim","n/a"))</f>
        <v>Bom</v>
      </c>
      <c r="EN217" s="28" t="str">
        <f>IF(VLOOKUP(BQ217,Fundamentus!A:U,4,FALSE)&lt;1,"Baixo",IF(VLOOKUP(BQ217,Fundamentus!A:U,4,FALSE)&lt;1.5,"Moderado",IF(VLOOKUP(BQ217,Fundamentus!A:U,4,FALSE)&gt;1.5,"Alto","n/a")))</f>
        <v>Alto</v>
      </c>
      <c r="EO217" s="17" t="str">
        <f>IF(VLOOKUP(BQ217,Fundamentus!A:U,8,FALSE)&lt;0,"Risco elevado",IF(VLOOKUP(BQ217,Fundamentus!A:U,8,FALSE)&lt;1,"Saudável",IF(VLOOKUP(BQ217,Fundamentus!A:U,8,FALSE)&lt;3,"Estável",IF(VLOOKUP(BQ217,Fundamentus!A:U,8,FALSE)&gt;3,"Alerta","n/a"))))</f>
        <v>Estável</v>
      </c>
      <c r="EP217" s="28" t="str">
        <f t="shared" si="240"/>
        <v>Ruim</v>
      </c>
      <c r="EQ217" s="17" t="str">
        <f>IF(VLOOKUP(BQ217,Fundamentus!A:U,12,FALSE)&lt;2,"Subvalorizada",IF(VLOOKUP(BQ217,Fundamentus!A:U,12,FALSE)&lt;6,"Muita barata",IF(VLOOKUP(BQ217,Fundamentus!A:U,12,FALSE)&lt;6,"Barata",IF(VLOOKUP(BQ217,Fundamentus!A:U,12,FALSE)&lt;8,"Atrativa",IF(VLOOKUP(BQ217,Fundamentus!A:U,12,FALSE)&gt;8,"Supervalorizada","n/a")))))</f>
        <v>Muita barata</v>
      </c>
      <c r="ES217" s="17" t="str">
        <f>IF(VLOOKUP(BQ217,Fundamentus!A:U,17,FALSE)&lt;0.1,"Fraco retorno",IF(VLOOKUP(BQ217,Fundamentus!A:U,17,FALSE)&gt;0.1,"Bom retorno","n/a"))</f>
        <v>Bom retorno</v>
      </c>
      <c r="ET217" s="17" t="str">
        <f>IF(VLOOKUP(BQ217,Fundamentus!A:U,16,FALSE)&lt;0.1,"Ineficiente",IF(VLOOKUP(BQ217,Fundamentus!A:U,16,FALSE)&gt;0.1,"Eficiente","n/a"))</f>
        <v>Eficiente</v>
      </c>
      <c r="EU217" s="33" t="str">
        <f>IF(VLOOKUP(BQ217,Fundamentus!A:U,16,FALSE)&lt;0.1,"Oper. Ineficiente",IF(VLOOKUP(BQ217,Fundamentus!A:U,16,FALSE)&gt;0.1,"Oper.Eficiente","n/a"))</f>
        <v>Oper.Eficiente</v>
      </c>
      <c r="EV217" s="34">
        <f>VLOOKUP(BQ217,Fundamentus!A:U,14,FALSE)</f>
        <v>7.0999999999999994E-2</v>
      </c>
      <c r="EW217" s="17" t="str">
        <f>IF(VLOOKUP(BQ217,Fundamentus!A:U,21,FALSE)&lt;0,"Negativo",IF(VLOOKUP(BQ217,Fundamentus!A:U,21,FALSE)&lt;0.05,"Fraco",IF(VLOOKUP(BQ217,Fundamentus!A:U,21,FALSE)&lt;0.1,"Bom",IF(VLOOKUP(BQ217,Fundamentus!A:U,21,FALSE)&gt;0.1,"Muito bom","n/a"))))</f>
        <v>Muito bom</v>
      </c>
      <c r="EY217" s="29" t="str">
        <f>IF(VLOOKUP(BQ217,Fundamentus!A:U,15,FALSE)&gt;1,"Bom",IF(VLOOKUP(BQ217,Fundamentus!A:U,15,FALSE)&lt;1,"Ruim","n/a"))</f>
        <v>Bom</v>
      </c>
      <c r="EZ217" s="17" t="str">
        <f>IF(VLOOKUP(BQ217,Fundamentus!A:U,20,FALSE)&lt;0.5,"Baixa",IF(VLOOKUP(BQ217,Fundamentus!A:U,20,FALSE)&lt;1,"Moderada",IF(VLOOKUP(BQ217,Fundamentus!A:U,20,FALSE)&lt;2,"Alerta",IF(VLOOKUP(BQ217,Fundamentus!A:U,20,FALSE)&gt;2,"Alta","n/a"))))</f>
        <v>Alta</v>
      </c>
    </row>
    <row r="218" spans="1:157" s="2" customFormat="1" ht="11.25" hidden="1" x14ac:dyDescent="0.2">
      <c r="A218" s="4">
        <v>4.3600000000000003</v>
      </c>
      <c r="B218" s="4">
        <v>4.2</v>
      </c>
      <c r="C218" s="4">
        <v>4.1399999999999997</v>
      </c>
      <c r="D218" s="4">
        <v>4.07</v>
      </c>
      <c r="E218" s="4">
        <v>4</v>
      </c>
      <c r="F218" s="4">
        <v>3.87</v>
      </c>
      <c r="G218" s="4">
        <v>3.75</v>
      </c>
      <c r="H218" s="4">
        <v>3.85</v>
      </c>
      <c r="I218" s="4">
        <v>3.95</v>
      </c>
      <c r="J218" s="4">
        <v>4.26</v>
      </c>
      <c r="K218" s="4">
        <v>4.3099999999999996</v>
      </c>
      <c r="L218" s="4">
        <v>4.0199999999999996</v>
      </c>
      <c r="M218" s="4">
        <v>4</v>
      </c>
      <c r="N218" s="4">
        <v>4.01</v>
      </c>
      <c r="O218" s="4">
        <v>4.17</v>
      </c>
      <c r="P218" s="4">
        <v>4.29</v>
      </c>
      <c r="Q218" s="4">
        <v>4.46</v>
      </c>
      <c r="R218" s="4">
        <v>4.37</v>
      </c>
      <c r="S218" s="4">
        <v>4.49</v>
      </c>
      <c r="T218" s="4">
        <v>4.54</v>
      </c>
      <c r="U218" s="4">
        <v>4.18</v>
      </c>
      <c r="V218" s="4">
        <v>4.0999999999999996</v>
      </c>
      <c r="W218" s="4">
        <v>4.3099999999999996</v>
      </c>
      <c r="X218" s="4">
        <v>4.2300000000000004</v>
      </c>
      <c r="Y218" s="4">
        <v>4.4800000000000004</v>
      </c>
      <c r="Z218" s="4">
        <v>4.4000000000000004</v>
      </c>
      <c r="AA218" s="4">
        <v>4.3099999999999996</v>
      </c>
      <c r="AB218" s="4">
        <v>4.5</v>
      </c>
      <c r="AC218" s="4">
        <v>4.45</v>
      </c>
      <c r="AD218" s="4">
        <v>4.49</v>
      </c>
      <c r="AE218" s="4">
        <v>4.34</v>
      </c>
      <c r="AF218" s="4">
        <v>4.04</v>
      </c>
      <c r="AG218" s="4">
        <v>3.91</v>
      </c>
      <c r="AH218" s="4">
        <v>3.78</v>
      </c>
      <c r="AI218" s="4">
        <v>3.74</v>
      </c>
      <c r="AJ218" s="4">
        <v>3.66</v>
      </c>
      <c r="AK218" s="4">
        <v>3.65</v>
      </c>
      <c r="AL218" s="4">
        <v>3.66</v>
      </c>
      <c r="AM218" s="4">
        <v>3.69</v>
      </c>
      <c r="AN218" s="4">
        <v>3.96</v>
      </c>
      <c r="AO218" s="4">
        <v>3.87</v>
      </c>
      <c r="AP218" s="4">
        <v>4.01</v>
      </c>
      <c r="AQ218" s="4">
        <v>3.84</v>
      </c>
      <c r="AR218" s="4">
        <v>3.56</v>
      </c>
      <c r="AS218" s="4">
        <v>3.78</v>
      </c>
      <c r="AT218" s="4">
        <v>3.89</v>
      </c>
      <c r="AU218" s="4">
        <v>3.9249999999999998</v>
      </c>
      <c r="AV218" s="4">
        <v>4.13</v>
      </c>
      <c r="AW218" s="4">
        <v>4.0999999999999996</v>
      </c>
      <c r="AX218" s="4">
        <v>4.1900000000000004</v>
      </c>
      <c r="AY218" s="12">
        <v>4.55</v>
      </c>
      <c r="AZ218" s="12">
        <v>5.0599999999999996</v>
      </c>
      <c r="BA218" s="12">
        <v>5.13</v>
      </c>
      <c r="BB218" s="15">
        <v>5.0999999999999996</v>
      </c>
      <c r="BC218" s="52">
        <v>5.17</v>
      </c>
      <c r="BD218" s="52">
        <v>5.0599999999999996</v>
      </c>
      <c r="BE218" s="52">
        <v>5.35</v>
      </c>
      <c r="BF218" s="52">
        <v>5.24</v>
      </c>
      <c r="BG218" s="67">
        <v>5.23</v>
      </c>
      <c r="BH218" s="52">
        <v>5.26</v>
      </c>
      <c r="BI218" s="52">
        <v>5.25</v>
      </c>
      <c r="BJ218" s="52">
        <v>5.3</v>
      </c>
      <c r="BK218" s="52">
        <v>5.23</v>
      </c>
      <c r="BL218" s="52">
        <v>5.04</v>
      </c>
      <c r="BM218" s="52">
        <v>5.12</v>
      </c>
      <c r="BN218" s="52">
        <v>5.16</v>
      </c>
      <c r="BO218" s="52">
        <v>5.34</v>
      </c>
      <c r="BP218" s="52" cm="1">
        <f t="array" aca="1" ref="BP218" ca="1">_FV(ED218,"Preço")</f>
        <v>5.45</v>
      </c>
      <c r="BQ218" s="69" t="s">
        <v>214</v>
      </c>
      <c r="BR218" s="36" cm="1">
        <f t="array" aca="1" ref="BR218" ca="1">_FV(ED218,"Média de volume",TRUE)</f>
        <v>2300390</v>
      </c>
      <c r="BS218" s="36">
        <v>2348500</v>
      </c>
      <c r="BT218" s="36" cm="1">
        <f t="array" aca="1" ref="BT218" ca="1">_FV(ED218,"Volume")</f>
        <v>4142700</v>
      </c>
      <c r="BU218" s="24" cm="1">
        <f t="array" aca="1" ref="BU218" ca="1">_FV(ED218,"Beta")</f>
        <v>1.5049999999999999</v>
      </c>
      <c r="BV218" s="71" cm="1">
        <f t="array" aca="1" ref="BV218" ca="1">_FV(ED218,"Variação (%)",TRUE)</f>
        <v>3.4155999999999999E-2</v>
      </c>
      <c r="BX218" s="17" cm="1">
        <f t="array" aca="1" ref="BX218" ca="1">_FV(ED218,"Baixo")</f>
        <v>5.32</v>
      </c>
      <c r="BY218" s="17" cm="1">
        <f t="array" aca="1" ref="BY218" ca="1">_FV(ED218,"Alto")</f>
        <v>5.49</v>
      </c>
      <c r="BZ218" s="24"/>
      <c r="CA218" s="63">
        <f ca="1">SQRT(22.5*(BP218/VLOOKUP(BQ218,Fundamentus!A:U,3,FALSE))*(BP218/VLOOKUP(BQ218,Fundamentus!A:U,4,FALSE)))</f>
        <v>18.018675940982693</v>
      </c>
      <c r="CC218" s="62">
        <f t="shared" ca="1" si="241"/>
        <v>2.0599250936329649E-2</v>
      </c>
      <c r="CD218" s="8"/>
      <c r="CE218" s="61">
        <f t="shared" si="242"/>
        <v>3.56</v>
      </c>
      <c r="CF218" s="61">
        <f t="shared" si="243"/>
        <v>5.35</v>
      </c>
      <c r="CG218" s="61">
        <f t="shared" si="244"/>
        <v>4.3563432835820892</v>
      </c>
      <c r="CH218" s="14"/>
      <c r="CI218" s="35">
        <f t="shared" si="227"/>
        <v>5.1966677595656421</v>
      </c>
      <c r="CJ218" s="15">
        <f t="shared" si="245"/>
        <v>5.3999999999998636</v>
      </c>
      <c r="CK218" s="35">
        <f t="shared" si="228"/>
        <v>5.6033322404340851</v>
      </c>
      <c r="CM218" s="14"/>
      <c r="CN218" s="17">
        <f t="shared" si="229"/>
        <v>2.3600000000000008</v>
      </c>
      <c r="CO218" s="17">
        <f t="shared" si="230"/>
        <v>2.9600000000000004</v>
      </c>
      <c r="CP218" s="17">
        <f t="shared" si="231"/>
        <v>4.1500000000000004</v>
      </c>
      <c r="CQ218" s="38">
        <f t="shared" si="246"/>
        <v>4.75</v>
      </c>
      <c r="CR218" s="17">
        <f t="shared" si="232"/>
        <v>5.9399999999999995</v>
      </c>
      <c r="CS218" s="17">
        <f t="shared" si="233"/>
        <v>6.5399999999999991</v>
      </c>
      <c r="CT218" s="17">
        <f t="shared" si="234"/>
        <v>7.7299999999999995</v>
      </c>
      <c r="CU218" s="2" cm="1">
        <f t="array" aca="1" ref="CU218" ca="1">MAX(_xlfn._xlws.FILTER(CN218:CT218,CN218:CT218&lt;BP218))</f>
        <v>4.75</v>
      </c>
      <c r="CV218" s="2" cm="1">
        <f t="array" aca="1" ref="CV218" ca="1">MIN(_xlfn._xlws.FILTER($CN218:$CT218,$CN218:$CT218&gt;BP218))</f>
        <v>5.9399999999999995</v>
      </c>
      <c r="CW218" s="16">
        <f t="shared" ca="1" si="248"/>
        <v>0.25052631578947349</v>
      </c>
      <c r="CX218" s="20">
        <f t="shared" ca="1" si="249"/>
        <v>-0.12526315789473674</v>
      </c>
      <c r="CY218" s="20">
        <f t="shared" ca="1" si="250"/>
        <v>-8.3508771929824491E-2</v>
      </c>
      <c r="CZ218" s="20">
        <f t="shared" ca="1" si="251"/>
        <v>-5.0105263157894694E-2</v>
      </c>
      <c r="DA218" s="20">
        <f t="shared" ca="1" si="252"/>
        <v>-2.7836257309941499E-2</v>
      </c>
      <c r="DB218" s="20">
        <f t="shared" ca="1" si="253"/>
        <v>-1.4736842105263145E-2</v>
      </c>
      <c r="DC218" s="20">
        <f t="shared" ca="1" si="254"/>
        <v>-7.5917065390749541E-3</v>
      </c>
      <c r="DD218" s="20">
        <f t="shared" ca="1" si="255"/>
        <v>-3.8542510121457457E-3</v>
      </c>
      <c r="DE218" s="21">
        <f t="shared" ca="1" si="256"/>
        <v>3.8542510121457457E-3</v>
      </c>
      <c r="DF218" s="21">
        <f t="shared" ca="1" si="257"/>
        <v>7.5917065390749541E-3</v>
      </c>
      <c r="DG218" s="21">
        <f t="shared" ca="1" si="258"/>
        <v>1.4736842105263145E-2</v>
      </c>
      <c r="DH218" s="21">
        <f t="shared" ca="1" si="259"/>
        <v>2.7836257309941499E-2</v>
      </c>
      <c r="DI218" s="21">
        <f t="shared" ca="1" si="260"/>
        <v>5.0105263157894694E-2</v>
      </c>
      <c r="DJ218" s="21">
        <f t="shared" ca="1" si="261"/>
        <v>8.3508771929824491E-2</v>
      </c>
      <c r="DK218" s="21">
        <f t="shared" ca="1" si="262"/>
        <v>0.12526315789473674</v>
      </c>
      <c r="DM218" s="16" cm="1">
        <f t="array" aca="1" ref="DM218" ca="1">MAX(_xlfn._xlws.FILTER(CX218:DK218,CX218:DK218&lt;BV218))</f>
        <v>2.7836257309941499E-2</v>
      </c>
      <c r="DN218" s="16" cm="1">
        <f t="array" aca="1" ref="DN218" ca="1">MIN(_xlfn._xlws.FILTER(CX218:DK218,CX218:DK218&gt;BV218))</f>
        <v>5.0105263157894694E-2</v>
      </c>
      <c r="DO218" s="2" cm="1">
        <f t="array" aca="1" ref="DO218" ca="1">_FV(ED218,"Fechamento anterior",TRUE)</f>
        <v>5.27</v>
      </c>
      <c r="DP218" s="28">
        <f t="shared" ca="1" si="235"/>
        <v>0.28377290195015975</v>
      </c>
      <c r="DQ218" s="15">
        <f t="shared" ca="1" si="263"/>
        <v>5.4166970760233912</v>
      </c>
      <c r="DR218" s="15">
        <f t="shared" ca="1" si="264"/>
        <v>5.5340547368421049</v>
      </c>
      <c r="DS218" s="9"/>
      <c r="DT218" s="9"/>
      <c r="DU218" s="9"/>
      <c r="DV218" s="89">
        <v>7.7085020242914915E-3</v>
      </c>
      <c r="DW218" s="89">
        <f t="shared" ca="1" si="236"/>
        <v>2.2269005847953195E-2</v>
      </c>
      <c r="DX218" s="72">
        <f t="shared" ca="1" si="237"/>
        <v>0.24590296105211967</v>
      </c>
      <c r="DY218" s="37"/>
      <c r="DZ218" s="35">
        <f t="shared" si="247"/>
        <v>0.10166612021711065</v>
      </c>
      <c r="EA218" s="56"/>
      <c r="EB218" s="56"/>
      <c r="ED218" s="2" t="e" vm="220">
        <v>#VALUE!</v>
      </c>
      <c r="EF218" s="10" cm="1">
        <f t="array" aca="1" ref="EF218" ca="1">_FV(ED218,"Ações em circulação",TRUE)</f>
        <v>681322800</v>
      </c>
      <c r="EG218" s="18">
        <f>VLOOKUP(BQ218,Fundamentus!A:U,5,FALSE)</f>
        <v>2.0630000000000002</v>
      </c>
      <c r="EH218" s="2">
        <f t="shared" ca="1" si="238"/>
        <v>1799907542.4139602</v>
      </c>
      <c r="EI218" s="17">
        <v>1086717461.9400871</v>
      </c>
      <c r="EJ218" s="17">
        <f t="shared" ca="1" si="239"/>
        <v>1109103027.6354823</v>
      </c>
      <c r="EL218" s="16">
        <f t="shared" ca="1" si="226"/>
        <v>2.0599250936329749E-2</v>
      </c>
      <c r="EM218" s="32" t="str">
        <f>IF(VLOOKUP(BQ218,Fundamentus!A:U,3,FALSE)&lt;15,"Bom",IF(VLOOKUP(BQ218,Fundamentus!A:U,3,FALSE)&gt;15,"Ruim","n/a"))</f>
        <v>Bom</v>
      </c>
      <c r="EN218" s="28" t="str">
        <f>IF(VLOOKUP(BQ218,Fundamentus!A:U,4,FALSE)&lt;1,"Baixo",IF(VLOOKUP(BQ218,Fundamentus!A:U,4,FALSE)&lt;1.5,"Moderado",IF(VLOOKUP(BQ218,Fundamentus!A:U,4,FALSE)&gt;1.5,"Alto","n/a")))</f>
        <v>Baixo</v>
      </c>
      <c r="EO218" s="17" t="str">
        <f>IF(VLOOKUP(BQ218,Fundamentus!A:U,8,FALSE)&lt;0,"Risco elevado",IF(VLOOKUP(BQ218,Fundamentus!A:U,8,FALSE)&lt;1,"Saudável",IF(VLOOKUP(BQ218,Fundamentus!A:U,8,FALSE)&lt;3,"Estável",IF(VLOOKUP(BQ218,Fundamentus!A:U,8,FALSE)&gt;3,"Alerta","n/a"))))</f>
        <v>Estável</v>
      </c>
      <c r="EP218" s="28" t="str">
        <f t="shared" si="240"/>
        <v>Bom</v>
      </c>
      <c r="EQ218" s="17" t="str">
        <f>IF(VLOOKUP(BQ218,Fundamentus!A:U,12,FALSE)&lt;2,"Subvalorizada",IF(VLOOKUP(BQ218,Fundamentus!A:U,12,FALSE)&lt;6,"Muita barata",IF(VLOOKUP(BQ218,Fundamentus!A:U,12,FALSE)&lt;6,"Barata",IF(VLOOKUP(BQ218,Fundamentus!A:U,12,FALSE)&lt;8,"Atrativa",IF(VLOOKUP(BQ218,Fundamentus!A:U,12,FALSE)&gt;8,"Supervalorizada","n/a")))))</f>
        <v>Supervalorizada</v>
      </c>
      <c r="ES218" s="17" t="str">
        <f>IF(VLOOKUP(BQ218,Fundamentus!A:U,17,FALSE)&lt;0.1,"Fraco retorno",IF(VLOOKUP(BQ218,Fundamentus!A:U,17,FALSE)&gt;0.1,"Bom retorno","n/a"))</f>
        <v>Bom retorno</v>
      </c>
      <c r="ET218" s="17" t="str">
        <f>IF(VLOOKUP(BQ218,Fundamentus!A:U,16,FALSE)&lt;0.1,"Ineficiente",IF(VLOOKUP(BQ218,Fundamentus!A:U,16,FALSE)&gt;0.1,"Eficiente","n/a"))</f>
        <v>Ineficiente</v>
      </c>
      <c r="EU218" s="33" t="str">
        <f>IF(VLOOKUP(BQ218,Fundamentus!A:U,16,FALSE)&lt;0.1,"Oper. Ineficiente",IF(VLOOKUP(BQ218,Fundamentus!A:U,16,FALSE)&gt;0.1,"Oper.Eficiente","n/a"))</f>
        <v>Oper. Ineficiente</v>
      </c>
      <c r="EV218" s="34">
        <f>VLOOKUP(BQ218,Fundamentus!A:U,14,FALSE)</f>
        <v>0.61619999999999997</v>
      </c>
      <c r="EW218" s="17" t="str">
        <f>IF(VLOOKUP(BQ218,Fundamentus!A:U,21,FALSE)&lt;0,"Negativo",IF(VLOOKUP(BQ218,Fundamentus!A:U,21,FALSE)&lt;0.05,"Fraco",IF(VLOOKUP(BQ218,Fundamentus!A:U,21,FALSE)&lt;0.1,"Bom",IF(VLOOKUP(BQ218,Fundamentus!A:U,21,FALSE)&gt;0.1,"Muito bom","n/a"))))</f>
        <v>Fraco</v>
      </c>
      <c r="EY218" s="29" t="str">
        <f>IF(VLOOKUP(BQ218,Fundamentus!A:U,15,FALSE)&gt;1,"Bom",IF(VLOOKUP(BQ218,Fundamentus!A:U,15,FALSE)&lt;1,"Ruim","n/a"))</f>
        <v>Bom</v>
      </c>
      <c r="EZ218" s="17" t="str">
        <f>IF(VLOOKUP(BQ218,Fundamentus!A:U,20,FALSE)&lt;0.5,"Baixa",IF(VLOOKUP(BQ218,Fundamentus!A:U,20,FALSE)&lt;1,"Moderada",IF(VLOOKUP(BQ218,Fundamentus!A:U,20,FALSE)&lt;2,"Alerta",IF(VLOOKUP(BQ218,Fundamentus!A:U,20,FALSE)&gt;2,"Alta","n/a"))))</f>
        <v>Moderada</v>
      </c>
    </row>
    <row r="219" spans="1:157" s="2" customFormat="1" ht="11.25" hidden="1" x14ac:dyDescent="0.2">
      <c r="A219" s="4">
        <v>6.05</v>
      </c>
      <c r="B219" s="4">
        <v>6.23</v>
      </c>
      <c r="C219" s="4">
        <v>6.42</v>
      </c>
      <c r="D219" s="4">
        <v>6.14</v>
      </c>
      <c r="E219" s="4">
        <v>6.03</v>
      </c>
      <c r="F219" s="4">
        <v>5.8</v>
      </c>
      <c r="G219" s="4">
        <v>5.39</v>
      </c>
      <c r="H219" s="4">
        <v>5.49</v>
      </c>
      <c r="I219" s="4">
        <v>5.34</v>
      </c>
      <c r="J219" s="4">
        <v>6.88</v>
      </c>
      <c r="K219" s="4">
        <v>6.77</v>
      </c>
      <c r="L219" s="4">
        <v>6.37</v>
      </c>
      <c r="M219" s="4">
        <v>6.39</v>
      </c>
      <c r="N219" s="4">
        <v>6.54</v>
      </c>
      <c r="O219" s="4">
        <v>6.66</v>
      </c>
      <c r="P219" s="4">
        <v>6.5</v>
      </c>
      <c r="Q219" s="4">
        <v>6.93</v>
      </c>
      <c r="R219" s="4">
        <v>6.17</v>
      </c>
      <c r="S219" s="4">
        <v>5.94</v>
      </c>
      <c r="T219" s="4">
        <v>5.96</v>
      </c>
      <c r="U219" s="4">
        <v>5.31</v>
      </c>
      <c r="V219" s="4">
        <v>5.26</v>
      </c>
      <c r="W219" s="4">
        <v>5.24</v>
      </c>
      <c r="X219" s="4">
        <v>4.99</v>
      </c>
      <c r="Y219" s="4">
        <v>5.05</v>
      </c>
      <c r="Z219" s="4">
        <v>5.3</v>
      </c>
      <c r="AA219" s="4">
        <v>4.9800000000000004</v>
      </c>
      <c r="AB219" s="4">
        <v>5.15</v>
      </c>
      <c r="AC219" s="4">
        <v>5.05</v>
      </c>
      <c r="AD219" s="4">
        <v>5.45</v>
      </c>
      <c r="AE219" s="4">
        <v>4.62</v>
      </c>
      <c r="AF219" s="4">
        <v>4.0199999999999996</v>
      </c>
      <c r="AG219" s="4">
        <v>3.71</v>
      </c>
      <c r="AH219" s="4">
        <v>3.59</v>
      </c>
      <c r="AI219" s="4">
        <v>3.52</v>
      </c>
      <c r="AJ219" s="4">
        <v>3.41</v>
      </c>
      <c r="AK219" s="4">
        <v>3.36</v>
      </c>
      <c r="AL219" s="4">
        <v>3.3</v>
      </c>
      <c r="AM219" s="4">
        <v>3.25</v>
      </c>
      <c r="AN219" s="4">
        <v>3.61</v>
      </c>
      <c r="AO219" s="4">
        <v>3.26</v>
      </c>
      <c r="AP219" s="4">
        <v>3.96</v>
      </c>
      <c r="AQ219" s="4">
        <v>3.6</v>
      </c>
      <c r="AR219" s="4">
        <v>3.12</v>
      </c>
      <c r="AS219" s="4">
        <v>3.28</v>
      </c>
      <c r="AT219" s="4">
        <v>3.65</v>
      </c>
      <c r="AU219" s="4">
        <v>4.1449999999999996</v>
      </c>
      <c r="AV219" s="4">
        <v>4.37</v>
      </c>
      <c r="AW219" s="4">
        <v>4.37</v>
      </c>
      <c r="AX219" s="4">
        <v>4.6900000000000004</v>
      </c>
      <c r="AY219" s="12">
        <v>4.9800000000000004</v>
      </c>
      <c r="AZ219" s="12">
        <v>5.65</v>
      </c>
      <c r="BA219" s="12">
        <v>5.36</v>
      </c>
      <c r="BB219" s="15">
        <v>5.09</v>
      </c>
      <c r="BC219" s="52">
        <v>4.83</v>
      </c>
      <c r="BD219" s="52">
        <v>4.7</v>
      </c>
      <c r="BE219" s="52">
        <v>5.33</v>
      </c>
      <c r="BF219" s="52">
        <v>5.09</v>
      </c>
      <c r="BG219" s="67">
        <v>5.52</v>
      </c>
      <c r="BH219" s="52">
        <v>5.49</v>
      </c>
      <c r="BI219" s="52">
        <v>5.03</v>
      </c>
      <c r="BJ219" s="52">
        <v>4.82</v>
      </c>
      <c r="BK219" s="52">
        <v>4.4400000000000004</v>
      </c>
      <c r="BL219" s="52">
        <v>4.25</v>
      </c>
      <c r="BM219" s="52">
        <v>4.3899999999999997</v>
      </c>
      <c r="BN219" s="52">
        <v>4.3</v>
      </c>
      <c r="BO219" s="52">
        <v>4.87</v>
      </c>
      <c r="BP219" s="52" cm="1">
        <f t="array" aca="1" ref="BP219" ca="1">_FV(ED219,"Preço")</f>
        <v>4.2699999999999996</v>
      </c>
      <c r="BQ219" s="69" t="s">
        <v>215</v>
      </c>
      <c r="BR219" s="36" cm="1">
        <f t="array" aca="1" ref="BR219" ca="1">_FV(ED219,"Média de volume",TRUE)</f>
        <v>4731960</v>
      </c>
      <c r="BS219" s="36">
        <v>5964600</v>
      </c>
      <c r="BT219" s="36" cm="1">
        <f t="array" aca="1" ref="BT219" ca="1">_FV(ED219,"Volume")</f>
        <v>5085700</v>
      </c>
      <c r="BU219" s="24" cm="1">
        <f t="array" aca="1" ref="BU219" ca="1">_FV(ED219,"Beta")</f>
        <v>1.653</v>
      </c>
      <c r="BV219" s="71" cm="1">
        <f t="array" aca="1" ref="BV219" ca="1">_FV(ED219,"Variação (%)",TRUE)</f>
        <v>-4.0448999999999999E-2</v>
      </c>
      <c r="BX219" s="17" cm="1">
        <f t="array" aca="1" ref="BX219" ca="1">_FV(ED219,"Baixo")</f>
        <v>4.22</v>
      </c>
      <c r="BY219" s="17" cm="1">
        <f t="array" aca="1" ref="BY219" ca="1">_FV(ED219,"Alto")</f>
        <v>4.5199999999999996</v>
      </c>
      <c r="BZ219" s="24"/>
      <c r="CA219" s="63" t="e">
        <f ca="1">SQRT(22.5*(BP219/VLOOKUP(BQ219,Fundamentus!A:U,3,FALSE))*(BP219/VLOOKUP(BQ219,Fundamentus!A:U,4,FALSE)))</f>
        <v>#NUM!</v>
      </c>
      <c r="CC219" s="62">
        <f t="shared" ca="1" si="241"/>
        <v>-0.12320328542094466</v>
      </c>
      <c r="CD219" s="8"/>
      <c r="CE219" s="61">
        <f t="shared" si="242"/>
        <v>3.12</v>
      </c>
      <c r="CF219" s="61">
        <f t="shared" si="243"/>
        <v>6.93</v>
      </c>
      <c r="CG219" s="61">
        <f t="shared" si="244"/>
        <v>4.9963432835820898</v>
      </c>
      <c r="CH219" s="14"/>
      <c r="CI219" s="35">
        <f t="shared" si="227"/>
        <v>4.4544548831279416</v>
      </c>
      <c r="CJ219" s="15">
        <f t="shared" si="245"/>
        <v>4.8950000000002092</v>
      </c>
      <c r="CK219" s="35">
        <f t="shared" si="228"/>
        <v>5.3355451168724768</v>
      </c>
      <c r="CM219" s="14"/>
      <c r="CN219" s="17">
        <f t="shared" si="229"/>
        <v>-0.79333333333333211</v>
      </c>
      <c r="CO219" s="17">
        <f t="shared" si="230"/>
        <v>1.163333333333334</v>
      </c>
      <c r="CP219" s="17">
        <f t="shared" si="231"/>
        <v>3.0166666666666675</v>
      </c>
      <c r="CQ219" s="38">
        <f t="shared" si="246"/>
        <v>4.9733333333333336</v>
      </c>
      <c r="CR219" s="17">
        <f t="shared" si="232"/>
        <v>6.8266666666666671</v>
      </c>
      <c r="CS219" s="17">
        <f t="shared" si="233"/>
        <v>8.7833333333333332</v>
      </c>
      <c r="CT219" s="17">
        <f t="shared" si="234"/>
        <v>10.636666666666667</v>
      </c>
      <c r="CU219" s="2" cm="1">
        <f t="array" aca="1" ref="CU219" ca="1">MAX(_xlfn._xlws.FILTER(CN219:CT219,CN219:CT219&lt;BP219))</f>
        <v>3.0166666666666675</v>
      </c>
      <c r="CV219" s="2" cm="1">
        <f t="array" aca="1" ref="CV219" ca="1">MIN(_xlfn._xlws.FILTER($CN219:$CT219,$CN219:$CT219&gt;BP219))</f>
        <v>4.9733333333333336</v>
      </c>
      <c r="CW219" s="16">
        <f t="shared" ca="1" si="248"/>
        <v>0.64861878453038635</v>
      </c>
      <c r="CX219" s="20">
        <f t="shared" ca="1" si="249"/>
        <v>-0.32430939226519317</v>
      </c>
      <c r="CY219" s="20">
        <f t="shared" ca="1" si="250"/>
        <v>-0.21620626151012878</v>
      </c>
      <c r="CZ219" s="20">
        <f t="shared" ca="1" si="251"/>
        <v>-0.12972375690607726</v>
      </c>
      <c r="DA219" s="20">
        <f t="shared" ca="1" si="252"/>
        <v>-7.206875383670959E-2</v>
      </c>
      <c r="DB219" s="20">
        <f t="shared" ca="1" si="253"/>
        <v>-3.8154046148846259E-2</v>
      </c>
      <c r="DC219" s="20">
        <f t="shared" ca="1" si="254"/>
        <v>-1.9655114682738981E-2</v>
      </c>
      <c r="DD219" s="20">
        <f t="shared" ca="1" si="255"/>
        <v>-9.9787505312367124E-3</v>
      </c>
      <c r="DE219" s="21">
        <f t="shared" ca="1" si="256"/>
        <v>9.9787505312367124E-3</v>
      </c>
      <c r="DF219" s="21">
        <f t="shared" ca="1" si="257"/>
        <v>1.9655114682738981E-2</v>
      </c>
      <c r="DG219" s="21">
        <f t="shared" ca="1" si="258"/>
        <v>3.8154046148846259E-2</v>
      </c>
      <c r="DH219" s="21">
        <f t="shared" ca="1" si="259"/>
        <v>7.206875383670959E-2</v>
      </c>
      <c r="DI219" s="21">
        <f t="shared" ca="1" si="260"/>
        <v>0.12972375690607726</v>
      </c>
      <c r="DJ219" s="21">
        <f t="shared" ca="1" si="261"/>
        <v>0.21620626151012878</v>
      </c>
      <c r="DK219" s="21">
        <f t="shared" ca="1" si="262"/>
        <v>0.32430939226519317</v>
      </c>
      <c r="DM219" s="16" cm="1">
        <f t="array" aca="1" ref="DM219" ca="1">MAX(_xlfn._xlws.FILTER(CX219:DK219,CX219:DK219&lt;BV219))</f>
        <v>-7.206875383670959E-2</v>
      </c>
      <c r="DN219" s="16" cm="1">
        <f t="array" aca="1" ref="DN219" ca="1">MIN(_xlfn._xlws.FILTER(CX219:DK219,CX219:DK219&gt;BV219))</f>
        <v>-3.8154046148846259E-2</v>
      </c>
      <c r="DO219" s="2" cm="1">
        <f t="array" aca="1" ref="DO219" ca="1">_FV(ED219,"Fechamento anterior",TRUE)</f>
        <v>4.45</v>
      </c>
      <c r="DP219" s="28">
        <f t="shared" ca="1" si="235"/>
        <v>0.93231868384280925</v>
      </c>
      <c r="DQ219" s="15">
        <f t="shared" ca="1" si="263"/>
        <v>4.1292940454266427</v>
      </c>
      <c r="DR219" s="15">
        <f t="shared" ca="1" si="264"/>
        <v>4.2802144946376339</v>
      </c>
      <c r="DS219" s="9"/>
      <c r="DT219" s="9"/>
      <c r="DU219" s="9"/>
      <c r="DV219" s="89">
        <v>1.9957501062473425E-2</v>
      </c>
      <c r="DW219" s="89">
        <f t="shared" ca="1" si="236"/>
        <v>3.3914707687863331E-2</v>
      </c>
      <c r="DX219" s="72">
        <f t="shared" ca="1" si="237"/>
        <v>-1.418696919029574</v>
      </c>
      <c r="DY219" s="37"/>
      <c r="DZ219" s="35">
        <f t="shared" si="247"/>
        <v>0.22027255843613391</v>
      </c>
      <c r="EA219" s="56"/>
      <c r="EB219" s="56"/>
      <c r="ED219" s="2" t="e" vm="221">
        <v>#VALUE!</v>
      </c>
      <c r="EF219" s="10" cm="1">
        <f t="array" aca="1" ref="EF219" ca="1">_FV(ED219,"Ações em circulação",TRUE)</f>
        <v>873040500</v>
      </c>
      <c r="EG219" s="18">
        <f>VLOOKUP(BQ219,Fundamentus!A:U,5,FALSE)</f>
        <v>8.6999999999999994E-2</v>
      </c>
      <c r="EH219" s="2">
        <f t="shared" ca="1" si="238"/>
        <v>42849229137.93103</v>
      </c>
      <c r="EI219" s="17">
        <v>19548079.241379313</v>
      </c>
      <c r="EJ219" s="17">
        <f t="shared" ca="1" si="239"/>
        <v>17139691.655172411</v>
      </c>
      <c r="EL219" s="16">
        <f t="shared" ca="1" si="226"/>
        <v>-0.12320328542094483</v>
      </c>
      <c r="EM219" s="32" t="str">
        <f>IF(VLOOKUP(BQ219,Fundamentus!A:U,3,FALSE)&lt;15,"Bom",IF(VLOOKUP(BQ219,Fundamentus!A:U,3,FALSE)&gt;15,"Ruim","n/a"))</f>
        <v>Bom</v>
      </c>
      <c r="EN219" s="28" t="str">
        <f>IF(VLOOKUP(BQ219,Fundamentus!A:U,4,FALSE)&lt;1,"Baixo",IF(VLOOKUP(BQ219,Fundamentus!A:U,4,FALSE)&lt;1.5,"Moderado",IF(VLOOKUP(BQ219,Fundamentus!A:U,4,FALSE)&gt;1.5,"Alto","n/a")))</f>
        <v>Moderado</v>
      </c>
      <c r="EO219" s="17" t="str">
        <f>IF(VLOOKUP(BQ219,Fundamentus!A:U,8,FALSE)&lt;0,"Risco elevado",IF(VLOOKUP(BQ219,Fundamentus!A:U,8,FALSE)&lt;1,"Saudável",IF(VLOOKUP(BQ219,Fundamentus!A:U,8,FALSE)&lt;3,"Estável",IF(VLOOKUP(BQ219,Fundamentus!A:U,8,FALSE)&gt;3,"Alerta","n/a"))))</f>
        <v>Saudável</v>
      </c>
      <c r="EP219" s="28" t="str">
        <f t="shared" si="240"/>
        <v>Ruim</v>
      </c>
      <c r="EQ219" s="17" t="str">
        <f>IF(VLOOKUP(BQ219,Fundamentus!A:U,12,FALSE)&lt;2,"Subvalorizada",IF(VLOOKUP(BQ219,Fundamentus!A:U,12,FALSE)&lt;6,"Muita barata",IF(VLOOKUP(BQ219,Fundamentus!A:U,12,FALSE)&lt;6,"Barata",IF(VLOOKUP(BQ219,Fundamentus!A:U,12,FALSE)&lt;8,"Atrativa",IF(VLOOKUP(BQ219,Fundamentus!A:U,12,FALSE)&gt;8,"Supervalorizada","n/a")))))</f>
        <v>Muita barata</v>
      </c>
      <c r="ES219" s="17" t="str">
        <f>IF(VLOOKUP(BQ219,Fundamentus!A:U,17,FALSE)&lt;0.1,"Fraco retorno",IF(VLOOKUP(BQ219,Fundamentus!A:U,17,FALSE)&gt;0.1,"Bom retorno","n/a"))</f>
        <v>Fraco retorno</v>
      </c>
      <c r="ET219" s="17" t="str">
        <f>IF(VLOOKUP(BQ219,Fundamentus!A:U,16,FALSE)&lt;0.1,"Ineficiente",IF(VLOOKUP(BQ219,Fundamentus!A:U,16,FALSE)&gt;0.1,"Eficiente","n/a"))</f>
        <v>Eficiente</v>
      </c>
      <c r="EU219" s="33" t="str">
        <f>IF(VLOOKUP(BQ219,Fundamentus!A:U,16,FALSE)&lt;0.1,"Oper. Ineficiente",IF(VLOOKUP(BQ219,Fundamentus!A:U,16,FALSE)&gt;0.1,"Oper.Eficiente","n/a"))</f>
        <v>Oper.Eficiente</v>
      </c>
      <c r="EV219" s="34">
        <f>VLOOKUP(BQ219,Fundamentus!A:U,14,FALSE)</f>
        <v>4.0000000000000002E-4</v>
      </c>
      <c r="EW219" s="17" t="str">
        <f>IF(VLOOKUP(BQ219,Fundamentus!A:U,21,FALSE)&lt;0,"Negativo",IF(VLOOKUP(BQ219,Fundamentus!A:U,21,FALSE)&lt;0.05,"Fraco",IF(VLOOKUP(BQ219,Fundamentus!A:U,21,FALSE)&lt;0.1,"Bom",IF(VLOOKUP(BQ219,Fundamentus!A:U,21,FALSE)&gt;0.1,"Muito bom","n/a"))))</f>
        <v>Muito bom</v>
      </c>
      <c r="EY219" s="29" t="str">
        <f>IF(VLOOKUP(BQ219,Fundamentus!A:U,15,FALSE)&gt;1,"Bom",IF(VLOOKUP(BQ219,Fundamentus!A:U,15,FALSE)&lt;1,"Ruim","n/a"))</f>
        <v>Bom</v>
      </c>
      <c r="EZ219" s="17" t="str">
        <f>IF(VLOOKUP(BQ219,Fundamentus!A:U,20,FALSE)&lt;0.5,"Baixa",IF(VLOOKUP(BQ219,Fundamentus!A:U,20,FALSE)&lt;1,"Moderada",IF(VLOOKUP(BQ219,Fundamentus!A:U,20,FALSE)&lt;2,"Alerta",IF(VLOOKUP(BQ219,Fundamentus!A:U,20,FALSE)&gt;2,"Alta","n/a"))))</f>
        <v>Alta</v>
      </c>
    </row>
    <row r="220" spans="1:157" s="2" customFormat="1" ht="11.25" hidden="1" x14ac:dyDescent="0.2">
      <c r="A220" s="4">
        <v>8.76</v>
      </c>
      <c r="B220" s="4">
        <v>8.14</v>
      </c>
      <c r="C220" s="4">
        <v>7.73</v>
      </c>
      <c r="D220" s="4">
        <v>7.57</v>
      </c>
      <c r="E220" s="4">
        <v>7.56</v>
      </c>
      <c r="F220" s="4">
        <v>7.14</v>
      </c>
      <c r="G220" s="4">
        <v>6.8</v>
      </c>
      <c r="H220" s="4">
        <v>6.45</v>
      </c>
      <c r="I220" s="4">
        <v>6.92</v>
      </c>
      <c r="J220" s="4">
        <v>7.3</v>
      </c>
      <c r="K220" s="4">
        <v>7.58</v>
      </c>
      <c r="L220" s="4">
        <v>7.34</v>
      </c>
      <c r="M220" s="4">
        <v>7.04</v>
      </c>
      <c r="N220" s="4">
        <v>7.07</v>
      </c>
      <c r="O220" s="4">
        <v>8.1</v>
      </c>
      <c r="P220" s="4">
        <v>8.5299999999999994</v>
      </c>
      <c r="Q220" s="4">
        <v>8.92</v>
      </c>
      <c r="R220" s="4">
        <v>8.66</v>
      </c>
      <c r="S220" s="4">
        <v>8.8800000000000008</v>
      </c>
      <c r="T220" s="4">
        <v>8.93</v>
      </c>
      <c r="U220" s="4">
        <v>8.16</v>
      </c>
      <c r="V220" s="4">
        <v>8.09</v>
      </c>
      <c r="W220" s="4">
        <v>7.57</v>
      </c>
      <c r="X220" s="4">
        <v>8.16</v>
      </c>
      <c r="Y220" s="4">
        <v>7.87</v>
      </c>
      <c r="Z220" s="4">
        <v>8.15</v>
      </c>
      <c r="AA220" s="4">
        <v>8.3699999999999992</v>
      </c>
      <c r="AB220" s="4">
        <v>8.3000000000000007</v>
      </c>
      <c r="AC220" s="4">
        <v>8.01</v>
      </c>
      <c r="AD220" s="4">
        <v>8.25</v>
      </c>
      <c r="AE220" s="4">
        <v>6.97</v>
      </c>
      <c r="AF220" s="4">
        <v>6.75</v>
      </c>
      <c r="AG220" s="4">
        <v>6.5</v>
      </c>
      <c r="AH220" s="4">
        <v>6.19</v>
      </c>
      <c r="AI220" s="4">
        <v>6.15</v>
      </c>
      <c r="AJ220" s="4">
        <v>5.83</v>
      </c>
      <c r="AK220" s="4">
        <v>5.71</v>
      </c>
      <c r="AL220" s="4">
        <v>5.85</v>
      </c>
      <c r="AM220" s="4">
        <v>6.28</v>
      </c>
      <c r="AN220" s="4">
        <v>6.51</v>
      </c>
      <c r="AO220" s="4">
        <v>6.21</v>
      </c>
      <c r="AP220" s="4">
        <v>6.77</v>
      </c>
      <c r="AQ220" s="4">
        <v>6.72</v>
      </c>
      <c r="AR220" s="4">
        <v>6.14</v>
      </c>
      <c r="AS220" s="4">
        <v>6.75</v>
      </c>
      <c r="AT220" s="4">
        <v>7.4</v>
      </c>
      <c r="AU220" s="4">
        <v>7.11</v>
      </c>
      <c r="AV220" s="4">
        <v>6.77</v>
      </c>
      <c r="AW220" s="4">
        <v>6.44</v>
      </c>
      <c r="AX220" s="4">
        <v>6.59</v>
      </c>
      <c r="AY220" s="12">
        <v>7.57</v>
      </c>
      <c r="AZ220" s="12">
        <v>8.11</v>
      </c>
      <c r="BA220" s="12">
        <v>8.14</v>
      </c>
      <c r="BB220" s="15">
        <v>8.11</v>
      </c>
      <c r="BC220" s="52">
        <v>8.06</v>
      </c>
      <c r="BD220" s="52">
        <v>8.11</v>
      </c>
      <c r="BE220" s="52">
        <v>8.5399999999999991</v>
      </c>
      <c r="BF220" s="52">
        <v>8.1</v>
      </c>
      <c r="BG220" s="67">
        <v>8.01</v>
      </c>
      <c r="BH220" s="52">
        <v>8.02</v>
      </c>
      <c r="BI220" s="52">
        <v>8.48</v>
      </c>
      <c r="BJ220" s="52">
        <v>8.83</v>
      </c>
      <c r="BK220" s="52">
        <v>7.95</v>
      </c>
      <c r="BL220" s="52">
        <v>7.69</v>
      </c>
      <c r="BM220" s="52">
        <v>7.77</v>
      </c>
      <c r="BN220" s="52">
        <v>7.67</v>
      </c>
      <c r="BO220" s="52">
        <v>8.99</v>
      </c>
      <c r="BP220" s="52" cm="1">
        <f t="array" aca="1" ref="BP220" ca="1">_FV(ED220,"Preço")</f>
        <v>8.16</v>
      </c>
      <c r="BQ220" s="69" t="s">
        <v>216</v>
      </c>
      <c r="BR220" s="36" cm="1">
        <f t="array" aca="1" ref="BR220" ca="1">_FV(ED220,"Média de volume",TRUE)</f>
        <v>1141280</v>
      </c>
      <c r="BS220" s="36">
        <v>958800</v>
      </c>
      <c r="BT220" s="36" cm="1">
        <f t="array" aca="1" ref="BT220" ca="1">_FV(ED220,"Volume")</f>
        <v>579700</v>
      </c>
      <c r="BU220" s="24" cm="1">
        <f t="array" aca="1" ref="BU220" ca="1">_FV(ED220,"Beta")</f>
        <v>2.2058</v>
      </c>
      <c r="BV220" s="71" cm="1">
        <f t="array" aca="1" ref="BV220" ca="1">_FV(ED220,"Variação (%)",TRUE)</f>
        <v>2.457E-3</v>
      </c>
      <c r="BX220" s="17" cm="1">
        <f t="array" aca="1" ref="BX220" ca="1">_FV(ED220,"Baixo")</f>
        <v>8.08</v>
      </c>
      <c r="BY220" s="17" cm="1">
        <f t="array" aca="1" ref="BY220" ca="1">_FV(ED220,"Alto")</f>
        <v>8.33</v>
      </c>
      <c r="BZ220" s="24"/>
      <c r="CA220" s="63">
        <f ca="1">SQRT(22.5*(BP220/VLOOKUP(BQ220,Fundamentus!A:U,3,FALSE))*(BP220/VLOOKUP(BQ220,Fundamentus!A:U,4,FALSE)))</f>
        <v>12.819178769770875</v>
      </c>
      <c r="CC220" s="62">
        <f t="shared" ca="1" si="241"/>
        <v>-9.2324805339265861E-2</v>
      </c>
      <c r="CD220" s="8"/>
      <c r="CE220" s="61">
        <f t="shared" si="242"/>
        <v>5.71</v>
      </c>
      <c r="CF220" s="61">
        <f t="shared" si="243"/>
        <v>8.99</v>
      </c>
      <c r="CG220" s="61">
        <f t="shared" si="244"/>
        <v>7.5244776119402967</v>
      </c>
      <c r="CH220" s="14"/>
      <c r="CI220" s="35">
        <f t="shared" si="227"/>
        <v>7.9842008234593393</v>
      </c>
      <c r="CJ220" s="15">
        <f t="shared" si="245"/>
        <v>8.9800000000004729</v>
      </c>
      <c r="CK220" s="35">
        <f t="shared" si="228"/>
        <v>9.9757991765416065</v>
      </c>
      <c r="CM220" s="14"/>
      <c r="CN220" s="17">
        <f t="shared" si="229"/>
        <v>3.5233333333333308</v>
      </c>
      <c r="CO220" s="17">
        <f t="shared" si="230"/>
        <v>4.6166666666666654</v>
      </c>
      <c r="CP220" s="17">
        <f t="shared" si="231"/>
        <v>6.803333333333331</v>
      </c>
      <c r="CQ220" s="38">
        <f t="shared" si="246"/>
        <v>7.8966666666666656</v>
      </c>
      <c r="CR220" s="17">
        <f t="shared" si="232"/>
        <v>10.083333333333332</v>
      </c>
      <c r="CS220" s="17">
        <f t="shared" si="233"/>
        <v>11.176666666666666</v>
      </c>
      <c r="CT220" s="17">
        <f t="shared" si="234"/>
        <v>13.363333333333332</v>
      </c>
      <c r="CU220" s="2" cm="1">
        <f t="array" aca="1" ref="CU220" ca="1">MAX(_xlfn._xlws.FILTER(CN220:CT220,CN220:CT220&lt;BP220))</f>
        <v>7.8966666666666656</v>
      </c>
      <c r="CV220" s="2" cm="1">
        <f t="array" aca="1" ref="CV220" ca="1">MIN(_xlfn._xlws.FILTER($CN220:$CT220,$CN220:$CT220&gt;BP220))</f>
        <v>10.083333333333332</v>
      </c>
      <c r="CW220" s="16">
        <f t="shared" ca="1" si="248"/>
        <v>0.276910088644998</v>
      </c>
      <c r="CX220" s="20">
        <f t="shared" ca="1" si="249"/>
        <v>-0.138455044322499</v>
      </c>
      <c r="CY220" s="20">
        <f t="shared" ca="1" si="250"/>
        <v>-9.2303362881666004E-2</v>
      </c>
      <c r="CZ220" s="20">
        <f t="shared" ca="1" si="251"/>
        <v>-5.5382017728999602E-2</v>
      </c>
      <c r="DA220" s="20">
        <f t="shared" ca="1" si="252"/>
        <v>-3.0767787627222001E-2</v>
      </c>
      <c r="DB220" s="20">
        <f t="shared" ca="1" si="253"/>
        <v>-1.6288828743823411E-2</v>
      </c>
      <c r="DC220" s="20">
        <f t="shared" ca="1" si="254"/>
        <v>-8.3912148074241823E-3</v>
      </c>
      <c r="DD220" s="20">
        <f t="shared" ca="1" si="255"/>
        <v>-4.2601552099230458E-3</v>
      </c>
      <c r="DE220" s="21">
        <f t="shared" ca="1" si="256"/>
        <v>4.2601552099230458E-3</v>
      </c>
      <c r="DF220" s="21">
        <f t="shared" ca="1" si="257"/>
        <v>8.3912148074241823E-3</v>
      </c>
      <c r="DG220" s="21">
        <f t="shared" ca="1" si="258"/>
        <v>1.6288828743823411E-2</v>
      </c>
      <c r="DH220" s="21">
        <f t="shared" ca="1" si="259"/>
        <v>3.0767787627222001E-2</v>
      </c>
      <c r="DI220" s="21">
        <f t="shared" ca="1" si="260"/>
        <v>5.5382017728999602E-2</v>
      </c>
      <c r="DJ220" s="21">
        <f t="shared" ca="1" si="261"/>
        <v>9.2303362881666004E-2</v>
      </c>
      <c r="DK220" s="21">
        <f t="shared" ca="1" si="262"/>
        <v>0.138455044322499</v>
      </c>
      <c r="DM220" s="16" cm="1">
        <f t="array" aca="1" ref="DM220" ca="1">MAX(_xlfn._xlws.FILTER(CX220:DK220,CX220:DK220&lt;BV220))</f>
        <v>-4.2601552099230458E-3</v>
      </c>
      <c r="DN220" s="16" cm="1">
        <f t="array" aca="1" ref="DN220" ca="1">MIN(_xlfn._xlws.FILTER(CX220:DK220,CX220:DK220&gt;BV220))</f>
        <v>4.2601552099230458E-3</v>
      </c>
      <c r="DO220" s="2" cm="1">
        <f t="array" aca="1" ref="DO220" ca="1">_FV(ED220,"Fechamento anterior",TRUE)</f>
        <v>8.14</v>
      </c>
      <c r="DP220" s="28">
        <f t="shared" ca="1" si="235"/>
        <v>0.78837006352249672</v>
      </c>
      <c r="DQ220" s="15">
        <f t="shared" ca="1" si="263"/>
        <v>8.105322336591227</v>
      </c>
      <c r="DR220" s="15">
        <f t="shared" ca="1" si="264"/>
        <v>8.1746776634087741</v>
      </c>
      <c r="DS220" s="9"/>
      <c r="DT220" s="9"/>
      <c r="DU220" s="9"/>
      <c r="DV220" s="89">
        <v>1.447895888339859E-2</v>
      </c>
      <c r="DW220" s="89">
        <f t="shared" ca="1" si="236"/>
        <v>8.5203104198460916E-3</v>
      </c>
      <c r="DX220" s="72">
        <f t="shared" ca="1" si="237"/>
        <v>-0.82345920675362294</v>
      </c>
      <c r="DY220" s="37"/>
      <c r="DZ220" s="35">
        <f t="shared" si="247"/>
        <v>0.49789958827056691</v>
      </c>
      <c r="EA220" s="56"/>
      <c r="EB220" s="56"/>
      <c r="ED220" s="2" t="e" vm="222">
        <v>#VALUE!</v>
      </c>
      <c r="EF220" s="10" cm="1">
        <f t="array" aca="1" ref="EF220" ca="1">_FV(ED220,"Ações em circulação",TRUE)</f>
        <v>499200000</v>
      </c>
      <c r="EG220" s="18">
        <f>VLOOKUP(BQ220,Fundamentus!A:U,5,FALSE)</f>
        <v>0.40699999999999997</v>
      </c>
      <c r="EH220" s="2">
        <f t="shared" ca="1" si="238"/>
        <v>10008530712.530714</v>
      </c>
      <c r="EI220" s="17">
        <v>364978979.85257983</v>
      </c>
      <c r="EJ220" s="17">
        <f t="shared" ca="1" si="239"/>
        <v>331282366.58476663</v>
      </c>
      <c r="EL220" s="16">
        <f t="shared" ca="1" si="226"/>
        <v>-9.2324805339265681E-2</v>
      </c>
      <c r="EM220" s="32" t="str">
        <f>IF(VLOOKUP(BQ220,Fundamentus!A:U,3,FALSE)&lt;15,"Bom",IF(VLOOKUP(BQ220,Fundamentus!A:U,3,FALSE)&gt;15,"Ruim","n/a"))</f>
        <v>Bom</v>
      </c>
      <c r="EN220" s="28" t="str">
        <f>IF(VLOOKUP(BQ220,Fundamentus!A:U,4,FALSE)&lt;1,"Baixo",IF(VLOOKUP(BQ220,Fundamentus!A:U,4,FALSE)&lt;1.5,"Moderado",IF(VLOOKUP(BQ220,Fundamentus!A:U,4,FALSE)&gt;1.5,"Alto","n/a")))</f>
        <v>Baixo</v>
      </c>
      <c r="EO220" s="17" t="str">
        <f>IF(VLOOKUP(BQ220,Fundamentus!A:U,8,FALSE)&lt;0,"Risco elevado",IF(VLOOKUP(BQ220,Fundamentus!A:U,8,FALSE)&lt;1,"Saudável",IF(VLOOKUP(BQ220,Fundamentus!A:U,8,FALSE)&lt;3,"Estável",IF(VLOOKUP(BQ220,Fundamentus!A:U,8,FALSE)&gt;3,"Alerta","n/a"))))</f>
        <v>Estável</v>
      </c>
      <c r="EP220" s="28" t="str">
        <f t="shared" si="240"/>
        <v>Ruim</v>
      </c>
      <c r="EQ220" s="17" t="str">
        <f>IF(VLOOKUP(BQ220,Fundamentus!A:U,12,FALSE)&lt;2,"Subvalorizada",IF(VLOOKUP(BQ220,Fundamentus!A:U,12,FALSE)&lt;6,"Muita barata",IF(VLOOKUP(BQ220,Fundamentus!A:U,12,FALSE)&lt;6,"Barata",IF(VLOOKUP(BQ220,Fundamentus!A:U,12,FALSE)&lt;8,"Atrativa",IF(VLOOKUP(BQ220,Fundamentus!A:U,12,FALSE)&gt;8,"Supervalorizada","n/a")))))</f>
        <v>Muita barata</v>
      </c>
      <c r="ES220" s="17" t="str">
        <f>IF(VLOOKUP(BQ220,Fundamentus!A:U,17,FALSE)&lt;0.1,"Fraco retorno",IF(VLOOKUP(BQ220,Fundamentus!A:U,17,FALSE)&gt;0.1,"Bom retorno","n/a"))</f>
        <v>Fraco retorno</v>
      </c>
      <c r="ET220" s="17" t="str">
        <f>IF(VLOOKUP(BQ220,Fundamentus!A:U,16,FALSE)&lt;0.1,"Ineficiente",IF(VLOOKUP(BQ220,Fundamentus!A:U,16,FALSE)&gt;0.1,"Eficiente","n/a"))</f>
        <v>Ineficiente</v>
      </c>
      <c r="EU220" s="33" t="str">
        <f>IF(VLOOKUP(BQ220,Fundamentus!A:U,16,FALSE)&lt;0.1,"Oper. Ineficiente",IF(VLOOKUP(BQ220,Fundamentus!A:U,16,FALSE)&gt;0.1,"Oper.Eficiente","n/a"))</f>
        <v>Oper. Ineficiente</v>
      </c>
      <c r="EV220" s="34">
        <f>VLOOKUP(BQ220,Fundamentus!A:U,14,FALSE)</f>
        <v>3.3099999999999997E-2</v>
      </c>
      <c r="EW220" s="17" t="str">
        <f>IF(VLOOKUP(BQ220,Fundamentus!A:U,21,FALSE)&lt;0,"Negativo",IF(VLOOKUP(BQ220,Fundamentus!A:U,21,FALSE)&lt;0.05,"Fraco",IF(VLOOKUP(BQ220,Fundamentus!A:U,21,FALSE)&lt;0.1,"Bom",IF(VLOOKUP(BQ220,Fundamentus!A:U,21,FALSE)&gt;0.1,"Muito bom","n/a"))))</f>
        <v>Muito bom</v>
      </c>
      <c r="EY220" s="29" t="str">
        <f>IF(VLOOKUP(BQ220,Fundamentus!A:U,15,FALSE)&gt;1,"Bom",IF(VLOOKUP(BQ220,Fundamentus!A:U,15,FALSE)&lt;1,"Ruim","n/a"))</f>
        <v>Bom</v>
      </c>
      <c r="EZ220" s="17" t="str">
        <f>IF(VLOOKUP(BQ220,Fundamentus!A:U,20,FALSE)&lt;0.5,"Baixa",IF(VLOOKUP(BQ220,Fundamentus!A:U,20,FALSE)&lt;1,"Moderada",IF(VLOOKUP(BQ220,Fundamentus!A:U,20,FALSE)&lt;2,"Alerta",IF(VLOOKUP(BQ220,Fundamentus!A:U,20,FALSE)&gt;2,"Alta","n/a"))))</f>
        <v>Baixa</v>
      </c>
    </row>
    <row r="221" spans="1:157" s="2" customFormat="1" ht="11.25" hidden="1" x14ac:dyDescent="0.2">
      <c r="A221" s="4">
        <v>0.76</v>
      </c>
      <c r="B221" s="4">
        <v>0.72</v>
      </c>
      <c r="C221" s="4">
        <v>0.62</v>
      </c>
      <c r="D221" s="4">
        <v>0.54</v>
      </c>
      <c r="E221" s="4">
        <v>0.46</v>
      </c>
      <c r="F221" s="4">
        <v>0.39</v>
      </c>
      <c r="G221" s="4">
        <v>0.36</v>
      </c>
      <c r="H221" s="4">
        <v>0.36</v>
      </c>
      <c r="I221" s="4">
        <v>0.37</v>
      </c>
      <c r="J221" s="4">
        <v>1.49</v>
      </c>
      <c r="K221" s="4">
        <v>1.98</v>
      </c>
      <c r="L221" s="4">
        <v>2.34</v>
      </c>
      <c r="M221" s="4">
        <v>2.2999999999999998</v>
      </c>
      <c r="N221" s="4">
        <v>1.96</v>
      </c>
      <c r="O221" s="4">
        <v>1.88</v>
      </c>
      <c r="P221" s="4">
        <v>1.64</v>
      </c>
      <c r="Q221" s="4">
        <v>1.64</v>
      </c>
      <c r="R221" s="4">
        <v>1.64</v>
      </c>
      <c r="S221" s="4">
        <v>1.64</v>
      </c>
      <c r="T221" s="4">
        <v>1.64</v>
      </c>
      <c r="U221" s="4">
        <v>1.64</v>
      </c>
      <c r="V221" s="4">
        <v>1.64</v>
      </c>
      <c r="W221" s="4">
        <v>1.64</v>
      </c>
      <c r="X221" s="4">
        <v>1.64</v>
      </c>
      <c r="Y221" s="4">
        <v>1.64</v>
      </c>
      <c r="Z221" s="4">
        <v>1.64</v>
      </c>
      <c r="AA221" s="4">
        <v>1.64</v>
      </c>
      <c r="AB221" s="4">
        <v>1.64</v>
      </c>
      <c r="AC221" s="4">
        <v>1.64</v>
      </c>
      <c r="AD221" s="4">
        <v>1.64</v>
      </c>
      <c r="AE221" s="4">
        <v>1.64</v>
      </c>
      <c r="AF221" s="4">
        <v>1.64</v>
      </c>
      <c r="AG221" s="4">
        <v>1.64</v>
      </c>
      <c r="AH221" s="4">
        <v>1.64</v>
      </c>
      <c r="AI221" s="4">
        <v>1.64</v>
      </c>
      <c r="AJ221" s="4">
        <v>1.64</v>
      </c>
      <c r="AK221" s="4">
        <v>1.64</v>
      </c>
      <c r="AL221" s="4">
        <v>1.64</v>
      </c>
      <c r="AM221" s="4">
        <v>1.64</v>
      </c>
      <c r="AN221" s="4">
        <v>1.64</v>
      </c>
      <c r="AO221" s="4">
        <v>1.64</v>
      </c>
      <c r="AP221" s="4">
        <v>1.64</v>
      </c>
      <c r="AQ221" s="4">
        <v>1.64</v>
      </c>
      <c r="AR221" s="4">
        <v>1.64</v>
      </c>
      <c r="AS221" s="4">
        <v>1.64</v>
      </c>
      <c r="AT221" s="4">
        <v>1.64</v>
      </c>
      <c r="AU221" s="4">
        <v>1.64</v>
      </c>
      <c r="AV221" s="4">
        <v>1.64</v>
      </c>
      <c r="AW221" s="4">
        <v>1.64</v>
      </c>
      <c r="AX221" s="4">
        <v>1.64</v>
      </c>
      <c r="AY221" s="12">
        <v>1.64</v>
      </c>
      <c r="AZ221" s="12">
        <v>1.64</v>
      </c>
      <c r="BA221" s="12">
        <v>1.64</v>
      </c>
      <c r="BB221" s="15">
        <v>1.64</v>
      </c>
      <c r="BC221" s="52">
        <v>1.64</v>
      </c>
      <c r="BD221" s="52">
        <v>1.64</v>
      </c>
      <c r="BE221" s="52">
        <v>1.64</v>
      </c>
      <c r="BF221" s="52">
        <v>1.64</v>
      </c>
      <c r="BG221" s="67">
        <v>1.64</v>
      </c>
      <c r="BH221" s="52">
        <v>1.64</v>
      </c>
      <c r="BI221" s="52">
        <v>1.64</v>
      </c>
      <c r="BJ221" s="52">
        <v>1.64</v>
      </c>
      <c r="BK221" s="52">
        <v>1.64</v>
      </c>
      <c r="BL221" s="52">
        <v>1.64</v>
      </c>
      <c r="BM221" s="52">
        <v>1.64</v>
      </c>
      <c r="BN221" s="52">
        <v>1.64</v>
      </c>
      <c r="BO221" s="52">
        <v>1.64</v>
      </c>
      <c r="BP221" s="52" cm="1">
        <f t="array" aca="1" ref="BP221" ca="1">_FV(ED221,"Preço")</f>
        <v>1.64</v>
      </c>
      <c r="BQ221" s="69" t="s">
        <v>217</v>
      </c>
      <c r="BR221" s="36" t="e" cm="1" vm="3">
        <f t="array" ref="BR221">_FV(ED221,"Média de volume",TRUE)</f>
        <v>#VALUE!</v>
      </c>
      <c r="BS221" s="36">
        <v>19800</v>
      </c>
      <c r="BT221" s="36" cm="1">
        <f t="array" aca="1" ref="BT221" ca="1">_FV(ED221,"Volume")</f>
        <v>19800</v>
      </c>
      <c r="BU221" s="24" cm="1">
        <f t="array" aca="1" ref="BU221" ca="1">_FV(ED221,"Beta")</f>
        <v>2.1299000000000001</v>
      </c>
      <c r="BV221" s="71" cm="1">
        <f t="array" aca="1" ref="BV221" ca="1">_FV(ED221,"Variação (%)",TRUE)</f>
        <v>-6.2856999999999996E-2</v>
      </c>
      <c r="BX221" s="17" cm="1">
        <f t="array" aca="1" ref="BX221" ca="1">_FV(ED221,"Baixo")</f>
        <v>1.64</v>
      </c>
      <c r="BY221" s="17" cm="1">
        <f t="array" aca="1" ref="BY221" ca="1">_FV(ED221,"Alto")</f>
        <v>1.64</v>
      </c>
      <c r="BZ221" s="24"/>
      <c r="CA221" s="63" t="e">
        <f ca="1">SQRT(22.5*(BP221/VLOOKUP(BQ221,Fundamentus!A:U,3,FALSE))*(BP221/VLOOKUP(BQ221,Fundamentus!A:U,4,FALSE)))</f>
        <v>#N/A</v>
      </c>
      <c r="CC221" s="62">
        <f t="shared" ca="1" si="241"/>
        <v>0</v>
      </c>
      <c r="CD221" s="8"/>
      <c r="CE221" s="61">
        <f t="shared" si="242"/>
        <v>0.36</v>
      </c>
      <c r="CF221" s="61">
        <f t="shared" si="243"/>
        <v>2.34</v>
      </c>
      <c r="CG221" s="61">
        <f t="shared" si="244"/>
        <v>1.5195522388059706</v>
      </c>
      <c r="CH221" s="14"/>
      <c r="CI221" s="35">
        <f t="shared" si="227"/>
        <v>1.64</v>
      </c>
      <c r="CJ221" s="15">
        <f t="shared" si="245"/>
        <v>1.64</v>
      </c>
      <c r="CK221" s="35">
        <f t="shared" si="228"/>
        <v>1.64</v>
      </c>
      <c r="CM221" s="14"/>
      <c r="CN221" s="17">
        <f t="shared" si="229"/>
        <v>-1.4266666666666667</v>
      </c>
      <c r="CO221" s="17">
        <f t="shared" si="230"/>
        <v>-0.53333333333333344</v>
      </c>
      <c r="CP221" s="17">
        <f t="shared" si="231"/>
        <v>0.55333333333333323</v>
      </c>
      <c r="CQ221" s="38">
        <f t="shared" si="246"/>
        <v>1.4466666666666665</v>
      </c>
      <c r="CR221" s="17">
        <f t="shared" si="232"/>
        <v>2.5333333333333332</v>
      </c>
      <c r="CS221" s="17">
        <f t="shared" si="233"/>
        <v>3.4266666666666667</v>
      </c>
      <c r="CT221" s="17">
        <f t="shared" si="234"/>
        <v>4.5133333333333328</v>
      </c>
      <c r="CU221" s="2" cm="1">
        <f t="array" aca="1" ref="CU221" ca="1">MAX(_xlfn._xlws.FILTER(CN221:CT221,CN221:CT221&lt;BP221))</f>
        <v>1.4466666666666665</v>
      </c>
      <c r="CV221" s="2" cm="1">
        <f t="array" aca="1" ref="CV221" ca="1">MIN(_xlfn._xlws.FILTER($CN221:$CT221,$CN221:$CT221&gt;BP221))</f>
        <v>2.5333333333333332</v>
      </c>
      <c r="CW221" s="16">
        <f t="shared" ca="1" si="248"/>
        <v>0.75115207373271886</v>
      </c>
      <c r="CX221" s="20">
        <f t="shared" ca="1" si="249"/>
        <v>-0.37557603686635943</v>
      </c>
      <c r="CY221" s="20">
        <f t="shared" ca="1" si="250"/>
        <v>-0.25038402457757297</v>
      </c>
      <c r="CZ221" s="20">
        <f t="shared" ca="1" si="251"/>
        <v>-0.15023041474654378</v>
      </c>
      <c r="DA221" s="20">
        <f t="shared" ca="1" si="252"/>
        <v>-8.3461341525857657E-2</v>
      </c>
      <c r="DB221" s="20">
        <f t="shared" ca="1" si="253"/>
        <v>-4.4185416101924641E-2</v>
      </c>
      <c r="DC221" s="20">
        <f t="shared" ca="1" si="254"/>
        <v>-2.2762184052506632E-2</v>
      </c>
      <c r="DD221" s="20">
        <f t="shared" ca="1" si="255"/>
        <v>-1.1556185749734136E-2</v>
      </c>
      <c r="DE221" s="21">
        <f t="shared" ca="1" si="256"/>
        <v>1.1556185749734136E-2</v>
      </c>
      <c r="DF221" s="21">
        <f t="shared" ca="1" si="257"/>
        <v>2.2762184052506632E-2</v>
      </c>
      <c r="DG221" s="21">
        <f t="shared" ca="1" si="258"/>
        <v>4.4185416101924641E-2</v>
      </c>
      <c r="DH221" s="21">
        <f t="shared" ca="1" si="259"/>
        <v>8.3461341525857657E-2</v>
      </c>
      <c r="DI221" s="21">
        <f t="shared" ca="1" si="260"/>
        <v>0.15023041474654378</v>
      </c>
      <c r="DJ221" s="21">
        <f t="shared" ca="1" si="261"/>
        <v>0.25038402457757297</v>
      </c>
      <c r="DK221" s="21">
        <f t="shared" ca="1" si="262"/>
        <v>0.37557603686635943</v>
      </c>
      <c r="DM221" s="16" cm="1">
        <f t="array" aca="1" ref="DM221" ca="1">MAX(_xlfn._xlws.FILTER(CX221:DK221,CX221:DK221&lt;BV221))</f>
        <v>-8.3461341525857657E-2</v>
      </c>
      <c r="DN221" s="16" cm="1">
        <f t="array" aca="1" ref="DN221" ca="1">MIN(_xlfn._xlws.FILTER(CX221:DK221,CX221:DK221&gt;BV221))</f>
        <v>-4.4185416101924641E-2</v>
      </c>
      <c r="DO221" s="2" cm="1">
        <f t="array" aca="1" ref="DO221" ca="1">_FV(ED221,"Fechamento anterior",TRUE)</f>
        <v>1.75</v>
      </c>
      <c r="DP221" s="28">
        <f t="shared" ca="1" si="235"/>
        <v>0.52460122699386424</v>
      </c>
      <c r="DQ221" s="15">
        <f t="shared" ca="1" si="263"/>
        <v>1.6039426523297491</v>
      </c>
      <c r="DR221" s="15">
        <f t="shared" ca="1" si="264"/>
        <v>1.6726755218216318</v>
      </c>
      <c r="DS221" s="9"/>
      <c r="DT221" s="9"/>
      <c r="DU221" s="9"/>
      <c r="DV221" s="89">
        <v>3.9275925423933017E-2</v>
      </c>
      <c r="DW221" s="89">
        <f t="shared" ca="1" si="236"/>
        <v>3.9275925423933017E-2</v>
      </c>
      <c r="DX221" s="72" t="e">
        <f t="shared" ca="1" si="237"/>
        <v>#DIV/0!</v>
      </c>
      <c r="DY221" s="37"/>
      <c r="DZ221" s="35">
        <f t="shared" si="247"/>
        <v>0</v>
      </c>
      <c r="EA221" s="56"/>
      <c r="EB221" s="56"/>
      <c r="ED221" s="2" t="e" vm="223">
        <v>#VALUE!</v>
      </c>
      <c r="EF221" s="10" cm="1">
        <f t="array" aca="1" ref="EF221" ca="1">_FV(ED221,"Ações em circulação",TRUE)</f>
        <v>10000000</v>
      </c>
      <c r="EG221" s="18" t="e">
        <f>VLOOKUP(BQ221,Fundamentus!A:U,5,FALSE)</f>
        <v>#N/A</v>
      </c>
      <c r="EH221" s="2" t="e">
        <f t="shared" ca="1" si="238"/>
        <v>#N/A</v>
      </c>
      <c r="EI221" s="17" t="e">
        <v>#N/A</v>
      </c>
      <c r="EJ221" s="17" t="e">
        <f t="shared" ca="1" si="239"/>
        <v>#N/A</v>
      </c>
      <c r="EL221" s="16" t="e">
        <f t="shared" ca="1" si="226"/>
        <v>#N/A</v>
      </c>
      <c r="EM221" s="32" t="e">
        <f>IF(VLOOKUP(BQ221,Fundamentus!A:U,3,FALSE)&lt;15,"Bom",IF(VLOOKUP(BQ221,Fundamentus!A:U,3,FALSE)&gt;15,"Ruim","n/a"))</f>
        <v>#N/A</v>
      </c>
      <c r="EN221" s="28" t="e">
        <f>IF(VLOOKUP(BQ221,Fundamentus!A:U,4,FALSE)&lt;1,"Baixo",IF(VLOOKUP(BQ221,Fundamentus!A:U,4,FALSE)&lt;1.5,"Moderado",IF(VLOOKUP(BQ221,Fundamentus!A:U,4,FALSE)&gt;1.5,"Alto","n/a")))</f>
        <v>#N/A</v>
      </c>
      <c r="EO221" s="17" t="e">
        <f>IF(VLOOKUP(BQ221,Fundamentus!A:U,8,FALSE)&lt;0,"Risco elevado",IF(VLOOKUP(BQ221,Fundamentus!A:U,8,FALSE)&lt;1,"Saudável",IF(VLOOKUP(BQ221,Fundamentus!A:U,8,FALSE)&lt;3,"Estável",IF(VLOOKUP(BQ221,Fundamentus!A:U,8,FALSE)&gt;3,"Alerta","n/a"))))</f>
        <v>#N/A</v>
      </c>
      <c r="EP221" s="28" t="e">
        <f t="shared" si="240"/>
        <v>#N/A</v>
      </c>
      <c r="EQ221" s="17" t="e">
        <f>IF(VLOOKUP(BQ221,Fundamentus!A:U,12,FALSE)&lt;2,"Subvalorizada",IF(VLOOKUP(BQ221,Fundamentus!A:U,12,FALSE)&lt;6,"Muita barata",IF(VLOOKUP(BQ221,Fundamentus!A:U,12,FALSE)&lt;6,"Barata",IF(VLOOKUP(BQ221,Fundamentus!A:U,12,FALSE)&lt;8,"Atrativa",IF(VLOOKUP(BQ221,Fundamentus!A:U,12,FALSE)&gt;8,"Supervalorizada","n/a")))))</f>
        <v>#N/A</v>
      </c>
      <c r="ES221" s="17" t="e">
        <f>IF(VLOOKUP(BQ221,Fundamentus!A:U,17,FALSE)&lt;0.1,"Fraco retorno",IF(VLOOKUP(BQ221,Fundamentus!A:U,17,FALSE)&gt;0.1,"Bom retorno","n/a"))</f>
        <v>#N/A</v>
      </c>
      <c r="ET221" s="17" t="e">
        <f>IF(VLOOKUP(BQ221,Fundamentus!A:U,16,FALSE)&lt;0.1,"Ineficiente",IF(VLOOKUP(BQ221,Fundamentus!A:U,16,FALSE)&gt;0.1,"Eficiente","n/a"))</f>
        <v>#N/A</v>
      </c>
      <c r="EU221" s="33" t="e">
        <f>IF(VLOOKUP(BQ221,Fundamentus!A:U,16,FALSE)&lt;0.1,"Oper. Ineficiente",IF(VLOOKUP(BQ221,Fundamentus!A:U,16,FALSE)&gt;0.1,"Oper.Eficiente","n/a"))</f>
        <v>#N/A</v>
      </c>
      <c r="EV221" s="34" t="e">
        <f>VLOOKUP(BQ221,Fundamentus!A:U,14,FALSE)</f>
        <v>#N/A</v>
      </c>
      <c r="EW221" s="17" t="e">
        <f>IF(VLOOKUP(BQ221,Fundamentus!A:U,21,FALSE)&lt;0,"Negativo",IF(VLOOKUP(BQ221,Fundamentus!A:U,21,FALSE)&lt;0.05,"Fraco",IF(VLOOKUP(BQ221,Fundamentus!A:U,21,FALSE)&lt;0.1,"Bom",IF(VLOOKUP(BQ221,Fundamentus!A:U,21,FALSE)&gt;0.1,"Muito bom","n/a"))))</f>
        <v>#N/A</v>
      </c>
      <c r="EY221" s="29" t="e">
        <f>IF(VLOOKUP(BQ221,Fundamentus!A:U,15,FALSE)&gt;1,"Bom",IF(VLOOKUP(BQ221,Fundamentus!A:U,15,FALSE)&lt;1,"Ruim","n/a"))</f>
        <v>#N/A</v>
      </c>
      <c r="EZ221" s="17" t="e">
        <f>IF(VLOOKUP(BQ221,Fundamentus!A:U,20,FALSE)&lt;0.5,"Baixa",IF(VLOOKUP(BQ221,Fundamentus!A:U,20,FALSE)&lt;1,"Moderada",IF(VLOOKUP(BQ221,Fundamentus!A:U,20,FALSE)&lt;2,"Alerta",IF(VLOOKUP(BQ221,Fundamentus!A:U,20,FALSE)&gt;2,"Alta","n/a"))))</f>
        <v>#N/A</v>
      </c>
    </row>
    <row r="222" spans="1:157" s="2" customFormat="1" ht="11.25" hidden="1" x14ac:dyDescent="0.2">
      <c r="A222" s="4">
        <v>2.2999999999999998</v>
      </c>
      <c r="B222" s="4">
        <v>2.17</v>
      </c>
      <c r="C222" s="4">
        <v>2.04</v>
      </c>
      <c r="D222" s="4">
        <v>1.95</v>
      </c>
      <c r="E222" s="4">
        <v>1.85</v>
      </c>
      <c r="F222" s="4">
        <v>1.8</v>
      </c>
      <c r="G222" s="4">
        <v>1.67</v>
      </c>
      <c r="H222" s="4">
        <v>1.74</v>
      </c>
      <c r="I222" s="4">
        <v>1.79</v>
      </c>
      <c r="J222" s="4">
        <v>1.87</v>
      </c>
      <c r="K222" s="4">
        <v>1.89</v>
      </c>
      <c r="L222" s="4">
        <v>1.67</v>
      </c>
      <c r="M222" s="4">
        <v>1.58</v>
      </c>
      <c r="N222" s="4">
        <v>1.5</v>
      </c>
      <c r="O222" s="4">
        <v>1.52</v>
      </c>
      <c r="P222" s="4">
        <v>1.34</v>
      </c>
      <c r="Q222" s="4">
        <v>1.43</v>
      </c>
      <c r="R222" s="4">
        <v>1.37</v>
      </c>
      <c r="S222" s="4">
        <v>1.39</v>
      </c>
      <c r="T222" s="4">
        <v>1.47</v>
      </c>
      <c r="U222" s="4">
        <v>1.32</v>
      </c>
      <c r="V222" s="4">
        <v>1.33</v>
      </c>
      <c r="W222" s="4">
        <v>1.26</v>
      </c>
      <c r="X222" s="4">
        <v>1.33</v>
      </c>
      <c r="Y222" s="4">
        <v>1.37</v>
      </c>
      <c r="Z222" s="4">
        <v>1.43</v>
      </c>
      <c r="AA222" s="4">
        <v>1.36</v>
      </c>
      <c r="AB222" s="4">
        <v>1.36</v>
      </c>
      <c r="AC222" s="4">
        <v>1.35</v>
      </c>
      <c r="AD222" s="4">
        <v>1.39</v>
      </c>
      <c r="AE222" s="4">
        <v>1.29</v>
      </c>
      <c r="AF222" s="4">
        <v>1.2</v>
      </c>
      <c r="AG222" s="4">
        <v>1.1200000000000001</v>
      </c>
      <c r="AH222" s="4">
        <v>1.07</v>
      </c>
      <c r="AI222" s="4">
        <v>1.06</v>
      </c>
      <c r="AJ222" s="4">
        <v>1.08</v>
      </c>
      <c r="AK222" s="4">
        <v>1.18</v>
      </c>
      <c r="AL222" s="4">
        <v>1.25</v>
      </c>
      <c r="AM222" s="4">
        <v>1.37</v>
      </c>
      <c r="AN222" s="4">
        <v>1.41</v>
      </c>
      <c r="AO222" s="4">
        <v>1.52</v>
      </c>
      <c r="AP222" s="4">
        <v>1.7</v>
      </c>
      <c r="AQ222" s="4">
        <v>1.7</v>
      </c>
      <c r="AR222" s="4">
        <v>1.52</v>
      </c>
      <c r="AS222" s="4">
        <v>1.65</v>
      </c>
      <c r="AT222" s="4">
        <v>1.75</v>
      </c>
      <c r="AU222" s="4">
        <v>1.875</v>
      </c>
      <c r="AV222" s="4">
        <v>2.12</v>
      </c>
      <c r="AW222" s="4">
        <v>2.06</v>
      </c>
      <c r="AX222" s="4">
        <v>2.25</v>
      </c>
      <c r="AY222" s="12">
        <v>2.4500000000000002</v>
      </c>
      <c r="AZ222" s="12">
        <v>2.5</v>
      </c>
      <c r="BA222" s="12">
        <v>2.58</v>
      </c>
      <c r="BB222" s="15">
        <v>3.03</v>
      </c>
      <c r="BC222" s="52">
        <v>3.11</v>
      </c>
      <c r="BD222" s="52">
        <v>2.9</v>
      </c>
      <c r="BE222" s="52">
        <v>2.97</v>
      </c>
      <c r="BF222" s="52">
        <v>2.91</v>
      </c>
      <c r="BG222" s="67">
        <v>2.79</v>
      </c>
      <c r="BH222" s="52">
        <v>2.82</v>
      </c>
      <c r="BI222" s="52">
        <v>2.79</v>
      </c>
      <c r="BJ222" s="52">
        <v>2.91</v>
      </c>
      <c r="BK222" s="52">
        <v>2.65</v>
      </c>
      <c r="BL222" s="52">
        <v>2.59</v>
      </c>
      <c r="BM222" s="52">
        <v>2.66</v>
      </c>
      <c r="BN222" s="52">
        <v>2.77</v>
      </c>
      <c r="BO222" s="52">
        <v>3.07</v>
      </c>
      <c r="BP222" s="52" cm="1">
        <f t="array" aca="1" ref="BP222" ca="1">_FV(ED222,"Preço")</f>
        <v>2.83</v>
      </c>
      <c r="BQ222" s="69" t="s">
        <v>218</v>
      </c>
      <c r="BR222" s="36" cm="1">
        <f t="array" aca="1" ref="BR222" ca="1">_FV(ED222,"Média de volume",TRUE)</f>
        <v>40342790</v>
      </c>
      <c r="BS222" s="36">
        <v>58599800</v>
      </c>
      <c r="BT222" s="36" cm="1">
        <f t="array" aca="1" ref="BT222" ca="1">_FV(ED222,"Volume")</f>
        <v>17273100</v>
      </c>
      <c r="BU222" s="24" cm="1">
        <f t="array" aca="1" ref="BU222" ca="1">_FV(ED222,"Beta")</f>
        <v>1.8660000000000001</v>
      </c>
      <c r="BV222" s="71" cm="1">
        <f t="array" aca="1" ref="BV222" ca="1">_FV(ED222,"Variação (%)",TRUE)</f>
        <v>-1.3937E-2</v>
      </c>
      <c r="BX222" s="17" cm="1">
        <f t="array" aca="1" ref="BX222" ca="1">_FV(ED222,"Baixo")</f>
        <v>2.82</v>
      </c>
      <c r="BY222" s="17" cm="1">
        <f t="array" aca="1" ref="BY222" ca="1">_FV(ED222,"Alto")</f>
        <v>2.9</v>
      </c>
      <c r="BZ222" s="24"/>
      <c r="CA222" s="63">
        <f ca="1">SQRT(22.5*(BP222/VLOOKUP(BQ222,Fundamentus!A:U,3,FALSE))*(BP222/VLOOKUP(BQ222,Fundamentus!A:U,4,FALSE)))</f>
        <v>9.4543664326520123</v>
      </c>
      <c r="CC222" s="62">
        <f t="shared" ca="1" si="241"/>
        <v>-7.8175895765472236E-2</v>
      </c>
      <c r="CD222" s="8"/>
      <c r="CE222" s="61">
        <f t="shared" si="242"/>
        <v>1.06</v>
      </c>
      <c r="CF222" s="61">
        <f t="shared" si="243"/>
        <v>3.11</v>
      </c>
      <c r="CG222" s="61">
        <f t="shared" si="244"/>
        <v>1.8733582089552239</v>
      </c>
      <c r="CH222" s="14"/>
      <c r="CI222" s="35">
        <f t="shared" si="227"/>
        <v>2.8176785136746134</v>
      </c>
      <c r="CJ222" s="15">
        <f t="shared" si="245"/>
        <v>3.1599999999999682</v>
      </c>
      <c r="CK222" s="35">
        <f t="shared" si="228"/>
        <v>3.5023214863253229</v>
      </c>
      <c r="CM222" s="14"/>
      <c r="CN222" s="17">
        <f t="shared" si="229"/>
        <v>-0.33333333333333259</v>
      </c>
      <c r="CO222" s="17">
        <f t="shared" si="230"/>
        <v>0.36333333333333373</v>
      </c>
      <c r="CP222" s="17">
        <f t="shared" si="231"/>
        <v>1.7166666666666672</v>
      </c>
      <c r="CQ222" s="38">
        <f t="shared" si="246"/>
        <v>2.4133333333333336</v>
      </c>
      <c r="CR222" s="17">
        <f t="shared" si="232"/>
        <v>3.7666666666666671</v>
      </c>
      <c r="CS222" s="17">
        <f t="shared" si="233"/>
        <v>4.4633333333333329</v>
      </c>
      <c r="CT222" s="17">
        <f t="shared" si="234"/>
        <v>5.8166666666666664</v>
      </c>
      <c r="CU222" s="2" cm="1">
        <f t="array" aca="1" ref="CU222" ca="1">MAX(_xlfn._xlws.FILTER(CN222:CT222,CN222:CT222&lt;BP222))</f>
        <v>2.4133333333333336</v>
      </c>
      <c r="CV222" s="2" cm="1">
        <f t="array" aca="1" ref="CV222" ca="1">MIN(_xlfn._xlws.FILTER($CN222:$CT222,$CN222:$CT222&gt;BP222))</f>
        <v>3.7666666666666671</v>
      </c>
      <c r="CW222" s="16">
        <f t="shared" ca="1" si="248"/>
        <v>0.56077348066298338</v>
      </c>
      <c r="CX222" s="20">
        <f t="shared" ca="1" si="249"/>
        <v>-0.28038674033149169</v>
      </c>
      <c r="CY222" s="20">
        <f t="shared" ca="1" si="250"/>
        <v>-0.1869244935543278</v>
      </c>
      <c r="CZ222" s="20">
        <f t="shared" ca="1" si="251"/>
        <v>-0.11215469613259668</v>
      </c>
      <c r="DA222" s="20">
        <f t="shared" ca="1" si="252"/>
        <v>-6.2308164518109263E-2</v>
      </c>
      <c r="DB222" s="20">
        <f t="shared" ca="1" si="253"/>
        <v>-3.2986675333116666E-2</v>
      </c>
      <c r="DC222" s="20">
        <f t="shared" ca="1" si="254"/>
        <v>-1.6993135777666164E-2</v>
      </c>
      <c r="DD222" s="20">
        <f t="shared" ca="1" si="255"/>
        <v>-8.6272843178920519E-3</v>
      </c>
      <c r="DE222" s="21">
        <f t="shared" ca="1" si="256"/>
        <v>8.6272843178920519E-3</v>
      </c>
      <c r="DF222" s="21">
        <f t="shared" ca="1" si="257"/>
        <v>1.6993135777666164E-2</v>
      </c>
      <c r="DG222" s="21">
        <f t="shared" ca="1" si="258"/>
        <v>3.2986675333116666E-2</v>
      </c>
      <c r="DH222" s="21">
        <f t="shared" ca="1" si="259"/>
        <v>6.2308164518109263E-2</v>
      </c>
      <c r="DI222" s="21">
        <f t="shared" ca="1" si="260"/>
        <v>0.11215469613259668</v>
      </c>
      <c r="DJ222" s="21">
        <f t="shared" ca="1" si="261"/>
        <v>0.1869244935543278</v>
      </c>
      <c r="DK222" s="21">
        <f t="shared" ca="1" si="262"/>
        <v>0.28038674033149169</v>
      </c>
      <c r="DM222" s="16" cm="1">
        <f t="array" aca="1" ref="DM222" ca="1">MAX(_xlfn._xlws.FILTER(CX222:DK222,CX222:DK222&lt;BV222))</f>
        <v>-1.6993135777666164E-2</v>
      </c>
      <c r="DN222" s="16" cm="1">
        <f t="array" aca="1" ref="DN222" ca="1">MIN(_xlfn._xlws.FILTER(CX222:DK222,CX222:DK222&gt;BV222))</f>
        <v>-8.6272843178920519E-3</v>
      </c>
      <c r="DO222" s="2" cm="1">
        <f t="array" aca="1" ref="DO222" ca="1">_FV(ED222,"Fechamento anterior",TRUE)</f>
        <v>2.87</v>
      </c>
      <c r="DP222" s="28">
        <f t="shared" ca="1" si="235"/>
        <v>0.3652770506857021</v>
      </c>
      <c r="DQ222" s="15">
        <f t="shared" ca="1" si="263"/>
        <v>2.8212297003180984</v>
      </c>
      <c r="DR222" s="15">
        <f t="shared" ca="1" si="264"/>
        <v>2.8452396940076499</v>
      </c>
      <c r="DS222" s="9"/>
      <c r="DT222" s="9"/>
      <c r="DU222" s="9"/>
      <c r="DV222" s="89">
        <v>2.9321489184992597E-2</v>
      </c>
      <c r="DW222" s="89">
        <f t="shared" ca="1" si="236"/>
        <v>8.3658514597741117E-3</v>
      </c>
      <c r="DX222" s="72">
        <f t="shared" ca="1" si="237"/>
        <v>-0.96400609714087337</v>
      </c>
      <c r="DY222" s="37"/>
      <c r="DZ222" s="35">
        <f t="shared" si="247"/>
        <v>0.17116074316267732</v>
      </c>
      <c r="EA222" s="56"/>
      <c r="EB222" s="56"/>
      <c r="ED222" s="2" t="e" vm="224">
        <v>#VALUE!</v>
      </c>
      <c r="EF222" s="10" cm="1">
        <f t="array" aca="1" ref="EF222" ca="1">_FV(ED222,"Ações em circulação",TRUE)</f>
        <v>1876606000</v>
      </c>
      <c r="EG222" s="18">
        <f>VLOOKUP(BQ222,Fundamentus!A:U,5,FALSE)</f>
        <v>0.76200000000000001</v>
      </c>
      <c r="EH222" s="2">
        <f t="shared" ca="1" si="238"/>
        <v>6969547217.8477688</v>
      </c>
      <c r="EI222" s="17">
        <v>1267157268.2309711</v>
      </c>
      <c r="EJ222" s="17">
        <f t="shared" ca="1" si="239"/>
        <v>1168096113.7112861</v>
      </c>
      <c r="EL222" s="16">
        <f t="shared" ca="1" si="226"/>
        <v>-7.8175895765472347E-2</v>
      </c>
      <c r="EM222" s="32" t="str">
        <f>IF(VLOOKUP(BQ222,Fundamentus!A:U,3,FALSE)&lt;15,"Bom",IF(VLOOKUP(BQ222,Fundamentus!A:U,3,FALSE)&gt;15,"Ruim","n/a"))</f>
        <v>Bom</v>
      </c>
      <c r="EN222" s="28" t="str">
        <f>IF(VLOOKUP(BQ222,Fundamentus!A:U,4,FALSE)&lt;1,"Baixo",IF(VLOOKUP(BQ222,Fundamentus!A:U,4,FALSE)&lt;1.5,"Moderado",IF(VLOOKUP(BQ222,Fundamentus!A:U,4,FALSE)&gt;1.5,"Alto","n/a")))</f>
        <v>Baixo</v>
      </c>
      <c r="EO222" s="17" t="str">
        <f>IF(VLOOKUP(BQ222,Fundamentus!A:U,8,FALSE)&lt;0,"Risco elevado",IF(VLOOKUP(BQ222,Fundamentus!A:U,8,FALSE)&lt;1,"Saudável",IF(VLOOKUP(BQ222,Fundamentus!A:U,8,FALSE)&lt;3,"Estável",IF(VLOOKUP(BQ222,Fundamentus!A:U,8,FALSE)&gt;3,"Alerta","n/a"))))</f>
        <v>Alerta</v>
      </c>
      <c r="EP222" s="28" t="str">
        <f t="shared" si="240"/>
        <v>Ruim</v>
      </c>
      <c r="EQ222" s="17" t="str">
        <f>IF(VLOOKUP(BQ222,Fundamentus!A:U,12,FALSE)&lt;2,"Subvalorizada",IF(VLOOKUP(BQ222,Fundamentus!A:U,12,FALSE)&lt;6,"Muita barata",IF(VLOOKUP(BQ222,Fundamentus!A:U,12,FALSE)&lt;6,"Barata",IF(VLOOKUP(BQ222,Fundamentus!A:U,12,FALSE)&lt;8,"Atrativa",IF(VLOOKUP(BQ222,Fundamentus!A:U,12,FALSE)&gt;8,"Supervalorizada","n/a")))))</f>
        <v>Muita barata</v>
      </c>
      <c r="ES222" s="17" t="str">
        <f>IF(VLOOKUP(BQ222,Fundamentus!A:U,17,FALSE)&lt;0.1,"Fraco retorno",IF(VLOOKUP(BQ222,Fundamentus!A:U,17,FALSE)&gt;0.1,"Bom retorno","n/a"))</f>
        <v>Fraco retorno</v>
      </c>
      <c r="ET222" s="17" t="str">
        <f>IF(VLOOKUP(BQ222,Fundamentus!A:U,16,FALSE)&lt;0.1,"Ineficiente",IF(VLOOKUP(BQ222,Fundamentus!A:U,16,FALSE)&gt;0.1,"Eficiente","n/a"))</f>
        <v>Ineficiente</v>
      </c>
      <c r="EU222" s="33" t="str">
        <f>IF(VLOOKUP(BQ222,Fundamentus!A:U,16,FALSE)&lt;0.1,"Oper. Ineficiente",IF(VLOOKUP(BQ222,Fundamentus!A:U,16,FALSE)&gt;0.1,"Oper.Eficiente","n/a"))</f>
        <v>Oper. Ineficiente</v>
      </c>
      <c r="EV222" s="34">
        <f>VLOOKUP(BQ222,Fundamentus!A:U,14,FALSE)</f>
        <v>0.1676</v>
      </c>
      <c r="EW222" s="17" t="str">
        <f>IF(VLOOKUP(BQ222,Fundamentus!A:U,21,FALSE)&lt;0,"Negativo",IF(VLOOKUP(BQ222,Fundamentus!A:U,21,FALSE)&lt;0.05,"Fraco",IF(VLOOKUP(BQ222,Fundamentus!A:U,21,FALSE)&lt;0.1,"Bom",IF(VLOOKUP(BQ222,Fundamentus!A:U,21,FALSE)&gt;0.1,"Muito bom","n/a"))))</f>
        <v>Bom</v>
      </c>
      <c r="EY222" s="29" t="str">
        <f>IF(VLOOKUP(BQ222,Fundamentus!A:U,15,FALSE)&gt;1,"Bom",IF(VLOOKUP(BQ222,Fundamentus!A:U,15,FALSE)&lt;1,"Ruim","n/a"))</f>
        <v>Bom</v>
      </c>
      <c r="EZ222" s="17" t="str">
        <f>IF(VLOOKUP(BQ222,Fundamentus!A:U,20,FALSE)&lt;0.5,"Baixa",IF(VLOOKUP(BQ222,Fundamentus!A:U,20,FALSE)&lt;1,"Moderada",IF(VLOOKUP(BQ222,Fundamentus!A:U,20,FALSE)&lt;2,"Alerta",IF(VLOOKUP(BQ222,Fundamentus!A:U,20,FALSE)&gt;2,"Alta","n/a"))))</f>
        <v>Moderada</v>
      </c>
    </row>
    <row r="223" spans="1:157" s="2" customFormat="1" ht="11.25" hidden="1" x14ac:dyDescent="0.2">
      <c r="A223" s="4">
        <v>1.88</v>
      </c>
      <c r="B223" s="4">
        <v>1.89</v>
      </c>
      <c r="C223" s="4">
        <v>1.8</v>
      </c>
      <c r="D223" s="4">
        <v>1.78</v>
      </c>
      <c r="E223" s="4">
        <v>1.72</v>
      </c>
      <c r="F223" s="4">
        <v>1.66</v>
      </c>
      <c r="G223" s="4">
        <v>1.56</v>
      </c>
      <c r="H223" s="4">
        <v>12.6</v>
      </c>
      <c r="I223" s="4">
        <v>13.46</v>
      </c>
      <c r="J223" s="4">
        <v>15.38</v>
      </c>
      <c r="K223" s="4">
        <v>15.05</v>
      </c>
      <c r="L223" s="4">
        <v>12.41</v>
      </c>
      <c r="M223" s="4">
        <v>12.78</v>
      </c>
      <c r="N223" s="4">
        <v>12.29</v>
      </c>
      <c r="O223" s="4">
        <v>12.26</v>
      </c>
      <c r="P223" s="4">
        <v>12.4</v>
      </c>
      <c r="Q223" s="4">
        <v>12.54</v>
      </c>
      <c r="R223" s="4">
        <v>12.05</v>
      </c>
      <c r="S223" s="4">
        <v>11.93</v>
      </c>
      <c r="T223" s="4">
        <v>11.32</v>
      </c>
      <c r="U223" s="4">
        <v>11.5</v>
      </c>
      <c r="V223" s="4">
        <v>11.35</v>
      </c>
      <c r="W223" s="4">
        <v>11.26</v>
      </c>
      <c r="X223" s="4">
        <v>11.08</v>
      </c>
      <c r="Y223" s="4">
        <v>9.9600000000000009</v>
      </c>
      <c r="Z223" s="4">
        <v>10.58</v>
      </c>
      <c r="AA223" s="4">
        <v>11.2</v>
      </c>
      <c r="AB223" s="4">
        <v>11.85</v>
      </c>
      <c r="AC223" s="4">
        <v>8.9499999999999993</v>
      </c>
      <c r="AD223" s="4">
        <v>10.4</v>
      </c>
      <c r="AE223" s="4">
        <v>10.53</v>
      </c>
      <c r="AF223" s="4">
        <v>10.199999999999999</v>
      </c>
      <c r="AG223" s="4">
        <v>9.15</v>
      </c>
      <c r="AH223" s="4">
        <v>8.75</v>
      </c>
      <c r="AI223" s="4">
        <v>9.35</v>
      </c>
      <c r="AJ223" s="4">
        <v>8.6999999999999993</v>
      </c>
      <c r="AK223" s="4">
        <v>8.61</v>
      </c>
      <c r="AL223" s="4">
        <v>8.8800000000000008</v>
      </c>
      <c r="AM223" s="4">
        <v>8.65</v>
      </c>
      <c r="AN223" s="4">
        <v>8.67</v>
      </c>
      <c r="AO223" s="4">
        <v>8.4</v>
      </c>
      <c r="AP223" s="4">
        <v>8.36</v>
      </c>
      <c r="AQ223" s="4">
        <v>8.31</v>
      </c>
      <c r="AR223" s="4">
        <v>8.26</v>
      </c>
      <c r="AS223" s="4">
        <v>8.25</v>
      </c>
      <c r="AT223" s="4">
        <v>8.2899999999999991</v>
      </c>
      <c r="AU223" s="4">
        <v>8.33</v>
      </c>
      <c r="AV223" s="4">
        <v>7.56</v>
      </c>
      <c r="AW223" s="4">
        <v>7.79</v>
      </c>
      <c r="AX223" s="4">
        <v>6.59</v>
      </c>
      <c r="AY223" s="12">
        <v>7.18</v>
      </c>
      <c r="AZ223" s="12">
        <v>7.3</v>
      </c>
      <c r="BA223" s="12">
        <v>7.18</v>
      </c>
      <c r="BB223" s="15">
        <v>7.06</v>
      </c>
      <c r="BC223" s="52">
        <v>7.92</v>
      </c>
      <c r="BD223" s="52">
        <v>8.31</v>
      </c>
      <c r="BE223" s="52">
        <v>8.3699999999999992</v>
      </c>
      <c r="BF223" s="52">
        <v>8.86</v>
      </c>
      <c r="BG223" s="67">
        <v>8.9</v>
      </c>
      <c r="BH223" s="52">
        <v>8.99</v>
      </c>
      <c r="BI223" s="52">
        <v>9.2200000000000006</v>
      </c>
      <c r="BJ223" s="52">
        <v>8.5299999999999994</v>
      </c>
      <c r="BK223" s="52">
        <v>8.56</v>
      </c>
      <c r="BL223" s="52">
        <v>8.5500000000000007</v>
      </c>
      <c r="BM223" s="52">
        <v>8.02</v>
      </c>
      <c r="BN223" s="52">
        <v>7.01</v>
      </c>
      <c r="BO223" s="52">
        <v>7.65</v>
      </c>
      <c r="BP223" s="52" cm="1">
        <f t="array" aca="1" ref="BP223" ca="1">_FV(ED223,"Preço")</f>
        <v>7.3</v>
      </c>
      <c r="BQ223" s="70" t="s">
        <v>219</v>
      </c>
      <c r="BR223" s="36" cm="1">
        <f t="array" aca="1" ref="BR223" ca="1">_FV(ED223,"Média de volume",TRUE)</f>
        <v>17980</v>
      </c>
      <c r="BS223" s="36">
        <v>53500</v>
      </c>
      <c r="BT223" s="36" cm="1">
        <f t="array" aca="1" ref="BT223" ca="1">_FV(ED223,"Volume")</f>
        <v>2500</v>
      </c>
      <c r="BU223" s="24" cm="1">
        <f t="array" aca="1" ref="BU223" ca="1">_FV(ED223,"Beta")</f>
        <v>1.3743000000000001</v>
      </c>
      <c r="BV223" s="71" cm="1">
        <f t="array" aca="1" ref="BV223" ca="1">_FV(ED223,"Variação (%)",TRUE)</f>
        <v>-3.3113000000000004E-2</v>
      </c>
      <c r="BX223" s="17" cm="1">
        <f t="array" aca="1" ref="BX223" ca="1">_FV(ED223,"Baixo")</f>
        <v>7.3</v>
      </c>
      <c r="BY223" s="17" cm="1">
        <f t="array" aca="1" ref="BY223" ca="1">_FV(ED223,"Alto")</f>
        <v>7.56</v>
      </c>
      <c r="BZ223" s="24"/>
      <c r="CA223" s="63" t="e">
        <f ca="1">SQRT(22.5*(BP223/VLOOKUP(BQ223,Fundamentus!A:U,3,FALSE))*(BP223/VLOOKUP(BQ223,Fundamentus!A:U,4,FALSE)))</f>
        <v>#NUM!</v>
      </c>
      <c r="CC223" s="62">
        <f t="shared" ca="1" si="241"/>
        <v>-4.5751633986928171E-2</v>
      </c>
      <c r="CD223" s="8"/>
      <c r="CE223" s="61">
        <f t="shared" si="242"/>
        <v>1.56</v>
      </c>
      <c r="CF223" s="61">
        <f t="shared" si="243"/>
        <v>15.38</v>
      </c>
      <c r="CG223" s="61">
        <f t="shared" si="244"/>
        <v>8.8974626865671613</v>
      </c>
      <c r="CH223" s="14"/>
      <c r="CI223" s="35">
        <f t="shared" si="227"/>
        <v>5.7102889245626471</v>
      </c>
      <c r="CJ223" s="15">
        <f t="shared" si="245"/>
        <v>6.8799999999996544</v>
      </c>
      <c r="CK223" s="35">
        <f t="shared" si="228"/>
        <v>8.0497110754366616</v>
      </c>
      <c r="CM223" s="14"/>
      <c r="CN223" s="17">
        <f t="shared" si="229"/>
        <v>-12.806666666666667</v>
      </c>
      <c r="CO223" s="17">
        <f t="shared" si="230"/>
        <v>-5.6233333333333331</v>
      </c>
      <c r="CP223" s="17">
        <f t="shared" si="231"/>
        <v>1.0133333333333336</v>
      </c>
      <c r="CQ223" s="38">
        <f t="shared" si="246"/>
        <v>8.1966666666666672</v>
      </c>
      <c r="CR223" s="17">
        <f t="shared" si="232"/>
        <v>14.833333333333334</v>
      </c>
      <c r="CS223" s="17">
        <f t="shared" si="233"/>
        <v>22.016666666666666</v>
      </c>
      <c r="CT223" s="17">
        <f t="shared" si="234"/>
        <v>28.653333333333336</v>
      </c>
      <c r="CU223" s="2" cm="1">
        <f t="array" aca="1" ref="CU223" ca="1">MAX(_xlfn._xlws.FILTER(CN223:CT223,CN223:CT223&lt;BP223))</f>
        <v>1.0133333333333336</v>
      </c>
      <c r="CV223" s="2" cm="1">
        <f t="array" aca="1" ref="CV223" ca="1">MIN(_xlfn._xlws.FILTER($CN223:$CT223,$CN223:$CT223&gt;BP223))</f>
        <v>8.1966666666666672</v>
      </c>
      <c r="CW223" s="16">
        <f t="shared" ca="1" si="248"/>
        <v>7.0888157894736814</v>
      </c>
      <c r="CX223" s="20">
        <f t="shared" ca="1" si="249"/>
        <v>-3.5444078947368407</v>
      </c>
      <c r="CY223" s="20">
        <f t="shared" ca="1" si="250"/>
        <v>-2.3629385964912273</v>
      </c>
      <c r="CZ223" s="20">
        <f t="shared" ca="1" si="251"/>
        <v>-1.4177631578947363</v>
      </c>
      <c r="DA223" s="20">
        <f t="shared" ca="1" si="252"/>
        <v>-0.78764619883040909</v>
      </c>
      <c r="DB223" s="20">
        <f t="shared" ca="1" si="253"/>
        <v>-0.41698916408668713</v>
      </c>
      <c r="DC223" s="20">
        <f t="shared" ca="1" si="254"/>
        <v>-0.21481259968102065</v>
      </c>
      <c r="DD223" s="20">
        <f t="shared" ca="1" si="255"/>
        <v>-0.10905870445344125</v>
      </c>
      <c r="DE223" s="21">
        <f t="shared" ca="1" si="256"/>
        <v>0.10905870445344125</v>
      </c>
      <c r="DF223" s="21">
        <f t="shared" ca="1" si="257"/>
        <v>0.21481259968102065</v>
      </c>
      <c r="DG223" s="21">
        <f t="shared" ca="1" si="258"/>
        <v>0.41698916408668713</v>
      </c>
      <c r="DH223" s="21">
        <f t="shared" ca="1" si="259"/>
        <v>0.78764619883040909</v>
      </c>
      <c r="DI223" s="21">
        <f t="shared" ca="1" si="260"/>
        <v>1.4177631578947363</v>
      </c>
      <c r="DJ223" s="21">
        <f t="shared" ca="1" si="261"/>
        <v>2.3629385964912273</v>
      </c>
      <c r="DK223" s="21">
        <f t="shared" ca="1" si="262"/>
        <v>3.5444078947368407</v>
      </c>
      <c r="DM223" s="16" cm="1">
        <f t="array" aca="1" ref="DM223" ca="1">MAX(_xlfn._xlws.FILTER(CX223:DK223,CX223:DK223&lt;BV223))</f>
        <v>-0.10905870445344125</v>
      </c>
      <c r="DN223" s="16" cm="1">
        <f t="array" aca="1" ref="DN223" ca="1">MIN(_xlfn._xlws.FILTER(CX223:DK223,CX223:DK223&gt;BV223))</f>
        <v>0.10905870445344125</v>
      </c>
      <c r="DO223" s="2" cm="1">
        <f t="array" aca="1" ref="DO223" ca="1">_FV(ED223,"Fechamento anterior",TRUE)</f>
        <v>7.55</v>
      </c>
      <c r="DP223" s="28">
        <f t="shared" ca="1" si="235"/>
        <v>0.34818917963768237</v>
      </c>
      <c r="DQ223" s="15">
        <f t="shared" ca="1" si="263"/>
        <v>6.7266067813765185</v>
      </c>
      <c r="DR223" s="15">
        <f t="shared" ca="1" si="264"/>
        <v>8.3733932186234803</v>
      </c>
      <c r="DS223" s="9"/>
      <c r="DT223" s="9"/>
      <c r="DU223" s="9"/>
      <c r="DV223" s="89">
        <v>0.2181174089068825</v>
      </c>
      <c r="DW223" s="89">
        <f t="shared" ca="1" si="236"/>
        <v>0.2181174089068825</v>
      </c>
      <c r="DX223" s="72">
        <f t="shared" ca="1" si="237"/>
        <v>0.35906302746037716</v>
      </c>
      <c r="DY223" s="37"/>
      <c r="DZ223" s="35">
        <f t="shared" si="247"/>
        <v>0.58485553771850385</v>
      </c>
      <c r="EA223" s="56"/>
      <c r="EB223" s="56"/>
      <c r="ED223" s="2" t="e" vm="225">
        <v>#VALUE!</v>
      </c>
      <c r="EF223" s="10" cm="1">
        <f t="array" aca="1" ref="EF223" ca="1">_FV(ED223,"Ações em circulação",TRUE)</f>
        <v>330121700</v>
      </c>
      <c r="EG223" s="18">
        <f>VLOOKUP(BQ223,Fundamentus!A:U,5,FALSE)</f>
        <v>1.5960000000000001</v>
      </c>
      <c r="EH223" s="2">
        <f t="shared" ca="1" si="238"/>
        <v>1509955144.1102755</v>
      </c>
      <c r="EI223" s="17">
        <v>13409310755.43327</v>
      </c>
      <c r="EJ223" s="17">
        <f t="shared" ca="1" si="239"/>
        <v>12795812877.733707</v>
      </c>
      <c r="EL223" s="16">
        <f t="shared" ca="1" si="226"/>
        <v>-4.5751633986928164E-2</v>
      </c>
      <c r="EM223" s="32" t="str">
        <f>IF(VLOOKUP(BQ223,Fundamentus!A:U,3,FALSE)&lt;15,"Bom",IF(VLOOKUP(BQ223,Fundamentus!A:U,3,FALSE)&gt;15,"Ruim","n/a"))</f>
        <v>Bom</v>
      </c>
      <c r="EN223" s="28" t="str">
        <f>IF(VLOOKUP(BQ223,Fundamentus!A:U,4,FALSE)&lt;1,"Baixo",IF(VLOOKUP(BQ223,Fundamentus!A:U,4,FALSE)&lt;1.5,"Moderado",IF(VLOOKUP(BQ223,Fundamentus!A:U,4,FALSE)&gt;1.5,"Alto","n/a")))</f>
        <v>Baixo</v>
      </c>
      <c r="EO223" s="17" t="str">
        <f>IF(VLOOKUP(BQ223,Fundamentus!A:U,8,FALSE)&lt;0,"Risco elevado",IF(VLOOKUP(BQ223,Fundamentus!A:U,8,FALSE)&lt;1,"Saudável",IF(VLOOKUP(BQ223,Fundamentus!A:U,8,FALSE)&lt;3,"Estável",IF(VLOOKUP(BQ223,Fundamentus!A:U,8,FALSE)&gt;3,"Alerta","n/a"))))</f>
        <v>Risco elevado</v>
      </c>
      <c r="EP223" s="28" t="str">
        <f t="shared" si="240"/>
        <v>Bom</v>
      </c>
      <c r="EQ223" s="17" t="str">
        <f>IF(VLOOKUP(BQ223,Fundamentus!A:U,12,FALSE)&lt;2,"Subvalorizada",IF(VLOOKUP(BQ223,Fundamentus!A:U,12,FALSE)&lt;6,"Muita barata",IF(VLOOKUP(BQ223,Fundamentus!A:U,12,FALSE)&lt;6,"Barata",IF(VLOOKUP(BQ223,Fundamentus!A:U,12,FALSE)&lt;8,"Atrativa",IF(VLOOKUP(BQ223,Fundamentus!A:U,12,FALSE)&gt;8,"Supervalorizada","n/a")))))</f>
        <v>Subvalorizada</v>
      </c>
      <c r="ES223" s="17" t="str">
        <f>IF(VLOOKUP(BQ223,Fundamentus!A:U,17,FALSE)&lt;0.1,"Fraco retorno",IF(VLOOKUP(BQ223,Fundamentus!A:U,17,FALSE)&gt;0.1,"Bom retorno","n/a"))</f>
        <v>Fraco retorno</v>
      </c>
      <c r="ET223" s="17" t="str">
        <f>IF(VLOOKUP(BQ223,Fundamentus!A:U,16,FALSE)&lt;0.1,"Ineficiente",IF(VLOOKUP(BQ223,Fundamentus!A:U,16,FALSE)&gt;0.1,"Eficiente","n/a"))</f>
        <v>Ineficiente</v>
      </c>
      <c r="EU223" s="33" t="str">
        <f>IF(VLOOKUP(BQ223,Fundamentus!A:U,16,FALSE)&lt;0.1,"Oper. Ineficiente",IF(VLOOKUP(BQ223,Fundamentus!A:U,16,FALSE)&gt;0.1,"Oper.Eficiente","n/a"))</f>
        <v>Oper. Ineficiente</v>
      </c>
      <c r="EV223" s="34">
        <f>VLOOKUP(BQ223,Fundamentus!A:U,14,FALSE)</f>
        <v>8.4742999999999995</v>
      </c>
      <c r="EW223" s="17" t="str">
        <f>IF(VLOOKUP(BQ223,Fundamentus!A:U,21,FALSE)&lt;0,"Negativo",IF(VLOOKUP(BQ223,Fundamentus!A:U,21,FALSE)&lt;0.05,"Fraco",IF(VLOOKUP(BQ223,Fundamentus!A:U,21,FALSE)&lt;0.1,"Bom",IF(VLOOKUP(BQ223,Fundamentus!A:U,21,FALSE)&gt;0.1,"Muito bom","n/a"))))</f>
        <v>Negativo</v>
      </c>
      <c r="EY223" s="29" t="str">
        <f>IF(VLOOKUP(BQ223,Fundamentus!A:U,15,FALSE)&gt;1,"Bom",IF(VLOOKUP(BQ223,Fundamentus!A:U,15,FALSE)&lt;1,"Ruim","n/a"))</f>
        <v>Ruim</v>
      </c>
      <c r="EZ223" s="17" t="str">
        <f>IF(VLOOKUP(BQ223,Fundamentus!A:U,20,FALSE)&lt;0.5,"Baixa",IF(VLOOKUP(BQ223,Fundamentus!A:U,20,FALSE)&lt;1,"Moderada",IF(VLOOKUP(BQ223,Fundamentus!A:U,20,FALSE)&lt;2,"Alerta",IF(VLOOKUP(BQ223,Fundamentus!A:U,20,FALSE)&gt;2,"Alta","n/a"))))</f>
        <v>Baixa</v>
      </c>
    </row>
    <row r="224" spans="1:157" s="2" customFormat="1" ht="11.25" hidden="1" x14ac:dyDescent="0.2">
      <c r="A224" s="4">
        <v>5.65</v>
      </c>
      <c r="B224" s="4">
        <v>5.48</v>
      </c>
      <c r="C224" s="4">
        <v>5.39</v>
      </c>
      <c r="D224" s="4">
        <v>5.21</v>
      </c>
      <c r="E224" s="4">
        <v>5.26</v>
      </c>
      <c r="F224" s="4">
        <v>5.3</v>
      </c>
      <c r="G224" s="4">
        <v>5.45</v>
      </c>
      <c r="H224" s="4">
        <v>5.82</v>
      </c>
      <c r="I224" s="4">
        <v>5.84</v>
      </c>
      <c r="J224" s="4">
        <v>5.97</v>
      </c>
      <c r="K224" s="4">
        <v>6.46</v>
      </c>
      <c r="L224" s="4">
        <v>6.15</v>
      </c>
      <c r="M224" s="4">
        <v>6.29</v>
      </c>
      <c r="N224" s="4">
        <v>6.23</v>
      </c>
      <c r="O224" s="4">
        <v>6.11</v>
      </c>
      <c r="P224" s="4">
        <v>6.05</v>
      </c>
      <c r="Q224" s="4">
        <v>6.37</v>
      </c>
      <c r="R224" s="4">
        <v>6.19</v>
      </c>
      <c r="S224" s="4">
        <v>6.2</v>
      </c>
      <c r="T224" s="4">
        <v>6.28</v>
      </c>
      <c r="U224" s="4">
        <v>5.61</v>
      </c>
      <c r="V224" s="4">
        <v>5.7</v>
      </c>
      <c r="W224" s="4">
        <v>5.68</v>
      </c>
      <c r="X224" s="4">
        <v>5.72</v>
      </c>
      <c r="Y224" s="4">
        <v>5.53</v>
      </c>
      <c r="Z224" s="4">
        <v>5.44</v>
      </c>
      <c r="AA224" s="4">
        <v>5.49</v>
      </c>
      <c r="AB224" s="4">
        <v>5.4</v>
      </c>
      <c r="AC224" s="4">
        <v>5.84</v>
      </c>
      <c r="AD224" s="4">
        <v>5.58</v>
      </c>
      <c r="AE224" s="4">
        <v>5.31</v>
      </c>
      <c r="AF224" s="4">
        <v>5.45</v>
      </c>
      <c r="AG224" s="4">
        <v>5.03</v>
      </c>
      <c r="AH224" s="4">
        <v>5.07</v>
      </c>
      <c r="AI224" s="4">
        <v>5.25</v>
      </c>
      <c r="AJ224" s="4">
        <v>5.14</v>
      </c>
      <c r="AK224" s="4">
        <v>5.18</v>
      </c>
      <c r="AL224" s="4">
        <v>5.17</v>
      </c>
      <c r="AM224" s="4">
        <v>5.09</v>
      </c>
      <c r="AN224" s="4">
        <v>5.58</v>
      </c>
      <c r="AO224" s="4">
        <v>5.25</v>
      </c>
      <c r="AP224" s="4">
        <v>5.4</v>
      </c>
      <c r="AQ224" s="4">
        <v>5.46</v>
      </c>
      <c r="AR224" s="4">
        <v>5.35</v>
      </c>
      <c r="AS224" s="4">
        <v>5.25</v>
      </c>
      <c r="AT224" s="4">
        <v>5.3</v>
      </c>
      <c r="AU224" s="4">
        <v>5.2</v>
      </c>
      <c r="AV224" s="4">
        <v>5.35</v>
      </c>
      <c r="AW224" s="4">
        <v>5.31</v>
      </c>
      <c r="AX224" s="4">
        <v>4.95</v>
      </c>
      <c r="AY224" s="12">
        <v>4.9000000000000004</v>
      </c>
      <c r="AZ224" s="12">
        <v>5.01</v>
      </c>
      <c r="BA224" s="12">
        <v>5.2</v>
      </c>
      <c r="BB224" s="15">
        <v>5.2</v>
      </c>
      <c r="BC224" s="52">
        <v>5</v>
      </c>
      <c r="BD224" s="52">
        <v>4.8</v>
      </c>
      <c r="BE224" s="52">
        <v>4.62</v>
      </c>
      <c r="BF224" s="52">
        <v>4.5599999999999996</v>
      </c>
      <c r="BG224" s="67">
        <v>4.49</v>
      </c>
      <c r="BH224" s="52">
        <v>4.3499999999999996</v>
      </c>
      <c r="BI224" s="52">
        <v>4.8099999999999996</v>
      </c>
      <c r="BJ224" s="52">
        <v>4.95</v>
      </c>
      <c r="BK224" s="52">
        <v>4.96</v>
      </c>
      <c r="BL224" s="52">
        <v>4.97</v>
      </c>
      <c r="BM224" s="52">
        <v>4.96</v>
      </c>
      <c r="BN224" s="52">
        <v>4.75</v>
      </c>
      <c r="BO224" s="52">
        <v>4.83</v>
      </c>
      <c r="BP224" s="52" cm="1">
        <f t="array" aca="1" ref="BP224" ca="1">_FV(ED224,"Preço")</f>
        <v>4.6500000000000004</v>
      </c>
      <c r="BQ224" s="69" t="s">
        <v>220</v>
      </c>
      <c r="BR224" s="36" cm="1">
        <f t="array" aca="1" ref="BR224" ca="1">_FV(ED224,"Média de volume",TRUE)</f>
        <v>194780</v>
      </c>
      <c r="BS224" s="36">
        <v>64400</v>
      </c>
      <c r="BT224" s="36" cm="1">
        <f t="array" aca="1" ref="BT224" ca="1">_FV(ED224,"Volume")</f>
        <v>255600</v>
      </c>
      <c r="BU224" s="24" cm="1">
        <f t="array" aca="1" ref="BU224" ca="1">_FV(ED224,"Beta")</f>
        <v>0.9839</v>
      </c>
      <c r="BV224" s="71" cm="1">
        <f t="array" aca="1" ref="BV224" ca="1">_FV(ED224,"Variação (%)",TRUE)</f>
        <v>7.6388999999999999E-2</v>
      </c>
      <c r="BX224" s="17" cm="1">
        <f t="array" aca="1" ref="BX224" ca="1">_FV(ED224,"Baixo")</f>
        <v>4.3099999999999996</v>
      </c>
      <c r="BY224" s="17" cm="1">
        <f t="array" aca="1" ref="BY224" ca="1">_FV(ED224,"Alto")</f>
        <v>4.6500000000000004</v>
      </c>
      <c r="BZ224" s="24"/>
      <c r="CA224" s="63">
        <f ca="1">SQRT(22.5*(BP224/VLOOKUP(BQ224,Fundamentus!A:U,3,FALSE))*(BP224/VLOOKUP(BQ224,Fundamentus!A:U,4,FALSE)))</f>
        <v>6.513999375802217</v>
      </c>
      <c r="CC224" s="62">
        <f t="shared" ca="1" si="241"/>
        <v>-3.7267080745341553E-2</v>
      </c>
      <c r="CD224" s="8"/>
      <c r="CE224" s="61">
        <f t="shared" si="242"/>
        <v>4.3499999999999996</v>
      </c>
      <c r="CF224" s="61">
        <f t="shared" si="243"/>
        <v>6.46</v>
      </c>
      <c r="CG224" s="61">
        <f t="shared" si="244"/>
        <v>5.3901492537313427</v>
      </c>
      <c r="CH224" s="14"/>
      <c r="CI224" s="35">
        <f t="shared" si="227"/>
        <v>4.5426416057808074</v>
      </c>
      <c r="CJ224" s="15">
        <f t="shared" si="245"/>
        <v>4.7199999999999704</v>
      </c>
      <c r="CK224" s="35">
        <f t="shared" si="228"/>
        <v>4.8973583942191334</v>
      </c>
      <c r="CM224" s="14"/>
      <c r="CN224" s="17">
        <f t="shared" si="229"/>
        <v>1.8566666666666656</v>
      </c>
      <c r="CO224" s="17">
        <f t="shared" si="230"/>
        <v>3.1033333333333326</v>
      </c>
      <c r="CP224" s="17">
        <f t="shared" si="231"/>
        <v>3.9666666666666659</v>
      </c>
      <c r="CQ224" s="38">
        <f t="shared" si="246"/>
        <v>5.2133333333333329</v>
      </c>
      <c r="CR224" s="17">
        <f t="shared" si="232"/>
        <v>6.0766666666666662</v>
      </c>
      <c r="CS224" s="17">
        <f t="shared" si="233"/>
        <v>7.3233333333333333</v>
      </c>
      <c r="CT224" s="17">
        <f t="shared" si="234"/>
        <v>8.1866666666666674</v>
      </c>
      <c r="CU224" s="2" cm="1">
        <f t="array" aca="1" ref="CU224" ca="1">MAX(_xlfn._xlws.FILTER(CN224:CT224,CN224:CT224&lt;BP224))</f>
        <v>3.9666666666666659</v>
      </c>
      <c r="CV224" s="2" cm="1">
        <f t="array" aca="1" ref="CV224" ca="1">MIN(_xlfn._xlws.FILTER($CN224:$CT224,$CN224:$CT224&gt;BP224))</f>
        <v>5.2133333333333329</v>
      </c>
      <c r="CW224" s="16">
        <f t="shared" ca="1" si="248"/>
        <v>0.3142857142857145</v>
      </c>
      <c r="CX224" s="20">
        <f t="shared" ca="1" si="249"/>
        <v>-0.15714285714285725</v>
      </c>
      <c r="CY224" s="20">
        <f t="shared" ca="1" si="250"/>
        <v>-0.10476190476190483</v>
      </c>
      <c r="CZ224" s="20">
        <f t="shared" ca="1" si="251"/>
        <v>-6.2857142857142903E-2</v>
      </c>
      <c r="DA224" s="20">
        <f t="shared" ca="1" si="252"/>
        <v>-3.4920634920634942E-2</v>
      </c>
      <c r="DB224" s="20">
        <f t="shared" ca="1" si="253"/>
        <v>-1.8487394957983207E-2</v>
      </c>
      <c r="DC224" s="20">
        <f t="shared" ca="1" si="254"/>
        <v>-9.5238095238095299E-3</v>
      </c>
      <c r="DD224" s="20">
        <f t="shared" ca="1" si="255"/>
        <v>-4.8351648351648386E-3</v>
      </c>
      <c r="DE224" s="21">
        <f t="shared" ca="1" si="256"/>
        <v>4.8351648351648386E-3</v>
      </c>
      <c r="DF224" s="21">
        <f t="shared" ca="1" si="257"/>
        <v>9.5238095238095299E-3</v>
      </c>
      <c r="DG224" s="21">
        <f t="shared" ca="1" si="258"/>
        <v>1.8487394957983207E-2</v>
      </c>
      <c r="DH224" s="21">
        <f t="shared" ca="1" si="259"/>
        <v>3.4920634920634942E-2</v>
      </c>
      <c r="DI224" s="21">
        <f t="shared" ca="1" si="260"/>
        <v>6.2857142857142903E-2</v>
      </c>
      <c r="DJ224" s="21">
        <f t="shared" ca="1" si="261"/>
        <v>0.10476190476190483</v>
      </c>
      <c r="DK224" s="21">
        <f t="shared" ca="1" si="262"/>
        <v>0.15714285714285725</v>
      </c>
      <c r="DM224" s="16" cm="1">
        <f t="array" aca="1" ref="DM224" ca="1">MAX(_xlfn._xlws.FILTER(CX224:DK224,CX224:DK224&lt;BV224))</f>
        <v>6.2857142857142903E-2</v>
      </c>
      <c r="DN224" s="16" cm="1">
        <f t="array" aca="1" ref="DN224" ca="1">MIN(_xlfn._xlws.FILTER(CX224:DK224,CX224:DK224&gt;BV224))</f>
        <v>0.10476190476190483</v>
      </c>
      <c r="DO224" s="2" cm="1">
        <f t="array" aca="1" ref="DO224" ca="1">_FV(ED224,"Fechamento anterior",TRUE)</f>
        <v>4.32</v>
      </c>
      <c r="DP224" s="28">
        <f t="shared" ca="1" si="235"/>
        <v>0.32291666666666596</v>
      </c>
      <c r="DQ224" s="15">
        <f t="shared" ca="1" si="263"/>
        <v>4.5915428571428576</v>
      </c>
      <c r="DR224" s="15">
        <f t="shared" ca="1" si="264"/>
        <v>4.7725714285714291</v>
      </c>
      <c r="DS224" s="9"/>
      <c r="DT224" s="9"/>
      <c r="DU224" s="9"/>
      <c r="DV224" s="89">
        <v>1.6433239962651735E-2</v>
      </c>
      <c r="DW224" s="89">
        <f t="shared" ca="1" si="236"/>
        <v>4.1904761904761931E-2</v>
      </c>
      <c r="DX224" s="72">
        <f t="shared" ca="1" si="237"/>
        <v>-0.39468106546719522</v>
      </c>
      <c r="DY224" s="37"/>
      <c r="DZ224" s="35">
        <f t="shared" si="247"/>
        <v>8.8679197109581401E-2</v>
      </c>
      <c r="EA224" s="56"/>
      <c r="EB224" s="56"/>
      <c r="ED224" s="2" t="e" vm="226">
        <v>#VALUE!</v>
      </c>
      <c r="EF224" s="10" cm="1">
        <f t="array" aca="1" ref="EF224" ca="1">_FV(ED224,"Ações em circulação",TRUE)</f>
        <v>150314000</v>
      </c>
      <c r="EG224" s="18">
        <f>VLOOKUP(BQ224,Fundamentus!A:U,5,FALSE)</f>
        <v>0.90400000000000003</v>
      </c>
      <c r="EH224" s="2">
        <f t="shared" ca="1" si="238"/>
        <v>773185951.32743359</v>
      </c>
      <c r="EI224" s="17">
        <v>72601661.999999985</v>
      </c>
      <c r="EJ224" s="17">
        <f t="shared" ca="1" si="239"/>
        <v>69896009.999999985</v>
      </c>
      <c r="EL224" s="16">
        <f t="shared" ca="1" si="226"/>
        <v>-3.7267080745341574E-2</v>
      </c>
      <c r="EM224" s="32" t="str">
        <f>IF(VLOOKUP(BQ224,Fundamentus!A:U,3,FALSE)&lt;15,"Bom",IF(VLOOKUP(BQ224,Fundamentus!A:U,3,FALSE)&gt;15,"Ruim","n/a"))</f>
        <v>Bom</v>
      </c>
      <c r="EN224" s="28" t="str">
        <f>IF(VLOOKUP(BQ224,Fundamentus!A:U,4,FALSE)&lt;1,"Baixo",IF(VLOOKUP(BQ224,Fundamentus!A:U,4,FALSE)&lt;1.5,"Moderado",IF(VLOOKUP(BQ224,Fundamentus!A:U,4,FALSE)&gt;1.5,"Alto","n/a")))</f>
        <v>Moderado</v>
      </c>
      <c r="EO224" s="17" t="str">
        <f>IF(VLOOKUP(BQ224,Fundamentus!A:U,8,FALSE)&lt;0,"Risco elevado",IF(VLOOKUP(BQ224,Fundamentus!A:U,8,FALSE)&lt;1,"Saudável",IF(VLOOKUP(BQ224,Fundamentus!A:U,8,FALSE)&lt;3,"Estável",IF(VLOOKUP(BQ224,Fundamentus!A:U,8,FALSE)&gt;3,"Alerta","n/a"))))</f>
        <v>Estável</v>
      </c>
      <c r="EP224" s="28" t="str">
        <f t="shared" si="240"/>
        <v>Ruim</v>
      </c>
      <c r="EQ224" s="17" t="str">
        <f>IF(VLOOKUP(BQ224,Fundamentus!A:U,12,FALSE)&lt;2,"Subvalorizada",IF(VLOOKUP(BQ224,Fundamentus!A:U,12,FALSE)&lt;6,"Muita barata",IF(VLOOKUP(BQ224,Fundamentus!A:U,12,FALSE)&lt;6,"Barata",IF(VLOOKUP(BQ224,Fundamentus!A:U,12,FALSE)&lt;8,"Atrativa",IF(VLOOKUP(BQ224,Fundamentus!A:U,12,FALSE)&gt;8,"Supervalorizada","n/a")))))</f>
        <v>Supervalorizada</v>
      </c>
      <c r="ES224" s="17" t="str">
        <f>IF(VLOOKUP(BQ224,Fundamentus!A:U,17,FALSE)&lt;0.1,"Fraco retorno",IF(VLOOKUP(BQ224,Fundamentus!A:U,17,FALSE)&gt;0.1,"Bom retorno","n/a"))</f>
        <v>Bom retorno</v>
      </c>
      <c r="ET224" s="17" t="str">
        <f>IF(VLOOKUP(BQ224,Fundamentus!A:U,16,FALSE)&lt;0.1,"Ineficiente",IF(VLOOKUP(BQ224,Fundamentus!A:U,16,FALSE)&gt;0.1,"Eficiente","n/a"))</f>
        <v>Ineficiente</v>
      </c>
      <c r="EU224" s="33" t="str">
        <f>IF(VLOOKUP(BQ224,Fundamentus!A:U,16,FALSE)&lt;0.1,"Oper. Ineficiente",IF(VLOOKUP(BQ224,Fundamentus!A:U,16,FALSE)&gt;0.1,"Oper.Eficiente","n/a"))</f>
        <v>Oper. Ineficiente</v>
      </c>
      <c r="EV224" s="34">
        <f>VLOOKUP(BQ224,Fundamentus!A:U,14,FALSE)</f>
        <v>9.0399999999999994E-2</v>
      </c>
      <c r="EW224" s="17" t="str">
        <f>IF(VLOOKUP(BQ224,Fundamentus!A:U,21,FALSE)&lt;0,"Negativo",IF(VLOOKUP(BQ224,Fundamentus!A:U,21,FALSE)&lt;0.05,"Fraco",IF(VLOOKUP(BQ224,Fundamentus!A:U,21,FALSE)&lt;0.1,"Bom",IF(VLOOKUP(BQ224,Fundamentus!A:U,21,FALSE)&gt;0.1,"Muito bom","n/a"))))</f>
        <v>Bom</v>
      </c>
      <c r="EY224" s="29" t="str">
        <f>IF(VLOOKUP(BQ224,Fundamentus!A:U,15,FALSE)&gt;1,"Bom",IF(VLOOKUP(BQ224,Fundamentus!A:U,15,FALSE)&lt;1,"Ruim","n/a"))</f>
        <v>Bom</v>
      </c>
      <c r="EZ224" s="17" t="str">
        <f>IF(VLOOKUP(BQ224,Fundamentus!A:U,20,FALSE)&lt;0.5,"Baixa",IF(VLOOKUP(BQ224,Fundamentus!A:U,20,FALSE)&lt;1,"Moderada",IF(VLOOKUP(BQ224,Fundamentus!A:U,20,FALSE)&lt;2,"Alerta",IF(VLOOKUP(BQ224,Fundamentus!A:U,20,FALSE)&gt;2,"Alta","n/a"))))</f>
        <v>Baixa</v>
      </c>
    </row>
    <row r="225" spans="1:156" s="2" customFormat="1" ht="11.25" hidden="1" x14ac:dyDescent="0.2">
      <c r="A225" s="4">
        <v>6.04</v>
      </c>
      <c r="B225" s="4">
        <v>6.05</v>
      </c>
      <c r="C225" s="4">
        <v>4.8</v>
      </c>
      <c r="D225" s="4">
        <v>4.47</v>
      </c>
      <c r="E225" s="4">
        <v>4.18</v>
      </c>
      <c r="F225" s="4">
        <v>4.12</v>
      </c>
      <c r="G225" s="4">
        <v>4.0199999999999996</v>
      </c>
      <c r="H225" s="4">
        <v>4.1500000000000004</v>
      </c>
      <c r="I225" s="4">
        <v>4.62</v>
      </c>
      <c r="J225" s="4">
        <v>4.91</v>
      </c>
      <c r="K225" s="4">
        <v>5.08</v>
      </c>
      <c r="L225" s="4">
        <v>4.7699999999999996</v>
      </c>
      <c r="M225" s="4">
        <v>4.93</v>
      </c>
      <c r="N225" s="4">
        <v>4.3499999999999996</v>
      </c>
      <c r="O225" s="4">
        <v>4.9400000000000004</v>
      </c>
      <c r="P225" s="4">
        <v>4.62</v>
      </c>
      <c r="Q225" s="4">
        <v>5.29</v>
      </c>
      <c r="R225" s="4">
        <v>4.8899999999999997</v>
      </c>
      <c r="S225" s="4">
        <v>4.91</v>
      </c>
      <c r="T225" s="4">
        <v>5.08</v>
      </c>
      <c r="U225" s="4">
        <v>4.75</v>
      </c>
      <c r="V225" s="4">
        <v>4.6399999999999997</v>
      </c>
      <c r="W225" s="4">
        <v>4.6500000000000004</v>
      </c>
      <c r="X225" s="4">
        <v>4.63</v>
      </c>
      <c r="Y225" s="4">
        <v>4.5199999999999996</v>
      </c>
      <c r="Z225" s="4">
        <v>4.28</v>
      </c>
      <c r="AA225" s="4">
        <v>4</v>
      </c>
      <c r="AB225" s="4">
        <v>4.04</v>
      </c>
      <c r="AC225" s="4">
        <v>4.08</v>
      </c>
      <c r="AD225" s="4">
        <v>4.2699999999999996</v>
      </c>
      <c r="AE225" s="4">
        <v>4.17</v>
      </c>
      <c r="AF225" s="4">
        <v>3.85</v>
      </c>
      <c r="AG225" s="4">
        <v>3.91</v>
      </c>
      <c r="AH225" s="4">
        <v>3.74</v>
      </c>
      <c r="AI225" s="4">
        <v>3.56</v>
      </c>
      <c r="AJ225" s="4">
        <v>3.36</v>
      </c>
      <c r="AK225" s="4">
        <v>3.4</v>
      </c>
      <c r="AL225" s="4">
        <v>3.53</v>
      </c>
      <c r="AM225" s="4">
        <v>3.42</v>
      </c>
      <c r="AN225" s="4">
        <v>3.66</v>
      </c>
      <c r="AO225" s="4">
        <v>3.53</v>
      </c>
      <c r="AP225" s="4">
        <v>3.69</v>
      </c>
      <c r="AQ225" s="4">
        <v>3.99</v>
      </c>
      <c r="AR225" s="4">
        <v>3.56</v>
      </c>
      <c r="AS225" s="4">
        <v>3.7</v>
      </c>
      <c r="AT225" s="4">
        <v>3.5</v>
      </c>
      <c r="AU225" s="4">
        <v>3.54</v>
      </c>
      <c r="AV225" s="4">
        <v>3.62</v>
      </c>
      <c r="AW225" s="4">
        <v>3.67</v>
      </c>
      <c r="AX225" s="4">
        <v>3.72</v>
      </c>
      <c r="AY225" s="12">
        <v>4.25</v>
      </c>
      <c r="AZ225" s="12">
        <v>4.3499999999999996</v>
      </c>
      <c r="BA225" s="12">
        <v>4.2300000000000004</v>
      </c>
      <c r="BB225" s="15">
        <v>4.08</v>
      </c>
      <c r="BC225" s="52">
        <v>4.17</v>
      </c>
      <c r="BD225" s="52">
        <v>5</v>
      </c>
      <c r="BE225" s="52">
        <v>5.15</v>
      </c>
      <c r="BF225" s="52">
        <v>4.7699999999999996</v>
      </c>
      <c r="BG225" s="67">
        <v>5.26</v>
      </c>
      <c r="BH225" s="52">
        <v>4.79</v>
      </c>
      <c r="BI225" s="52">
        <v>4.6500000000000004</v>
      </c>
      <c r="BJ225" s="52">
        <v>4.6399999999999997</v>
      </c>
      <c r="BK225" s="52">
        <v>4.24</v>
      </c>
      <c r="BL225" s="52">
        <v>3.95</v>
      </c>
      <c r="BM225" s="52">
        <v>3.9</v>
      </c>
      <c r="BN225" s="52">
        <v>4.0599999999999996</v>
      </c>
      <c r="BO225" s="52">
        <v>3.79</v>
      </c>
      <c r="BP225" s="52" cm="1">
        <f t="array" aca="1" ref="BP225" ca="1">_FV(ED225,"Preço")</f>
        <v>3.77</v>
      </c>
      <c r="BQ225" s="69" t="s">
        <v>221</v>
      </c>
      <c r="BR225" s="36" cm="1">
        <f t="array" aca="1" ref="BR225" ca="1">_FV(ED225,"Média de volume",TRUE)</f>
        <v>229850</v>
      </c>
      <c r="BS225" s="36">
        <v>592000</v>
      </c>
      <c r="BT225" s="36" cm="1">
        <f t="array" aca="1" ref="BT225" ca="1">_FV(ED225,"Volume")</f>
        <v>84400</v>
      </c>
      <c r="BU225" s="24" cm="1">
        <f t="array" aca="1" ref="BU225" ca="1">_FV(ED225,"Beta")</f>
        <v>1.7664</v>
      </c>
      <c r="BV225" s="71" cm="1">
        <f t="array" aca="1" ref="BV225" ca="1">_FV(ED225,"Variação (%)",TRUE)</f>
        <v>1.8918999999999998E-2</v>
      </c>
      <c r="BX225" s="17" cm="1">
        <f t="array" aca="1" ref="BX225" ca="1">_FV(ED225,"Baixo")</f>
        <v>3.65</v>
      </c>
      <c r="BY225" s="17" cm="1">
        <f t="array" aca="1" ref="BY225" ca="1">_FV(ED225,"Alto")</f>
        <v>3.77</v>
      </c>
      <c r="BZ225" s="24"/>
      <c r="CA225" s="63" t="e">
        <f ca="1">SQRT(22.5*(BP225/VLOOKUP(BQ225,Fundamentus!A:U,3,FALSE))*(BP225/VLOOKUP(BQ225,Fundamentus!A:U,4,FALSE)))</f>
        <v>#NUM!</v>
      </c>
      <c r="CC225" s="62">
        <f t="shared" ca="1" si="241"/>
        <v>-5.2770448548812715E-3</v>
      </c>
      <c r="CD225" s="8"/>
      <c r="CE225" s="61">
        <f t="shared" si="242"/>
        <v>3.36</v>
      </c>
      <c r="CF225" s="61">
        <f t="shared" si="243"/>
        <v>6.05</v>
      </c>
      <c r="CG225" s="61">
        <f t="shared" si="244"/>
        <v>4.3056716417910446</v>
      </c>
      <c r="CH225" s="14"/>
      <c r="CI225" s="35">
        <f t="shared" si="227"/>
        <v>3.5389542517857815</v>
      </c>
      <c r="CJ225" s="15">
        <f t="shared" si="245"/>
        <v>3.8449999999999989</v>
      </c>
      <c r="CK225" s="35">
        <f t="shared" si="228"/>
        <v>4.1510457482142158</v>
      </c>
      <c r="CM225" s="14"/>
      <c r="CN225" s="17">
        <f t="shared" si="229"/>
        <v>5.9999999999999165E-2</v>
      </c>
      <c r="CO225" s="17">
        <f t="shared" si="230"/>
        <v>1.7099999999999995</v>
      </c>
      <c r="CP225" s="17">
        <f t="shared" si="231"/>
        <v>2.7499999999999991</v>
      </c>
      <c r="CQ225" s="38">
        <f t="shared" si="246"/>
        <v>4.3999999999999995</v>
      </c>
      <c r="CR225" s="17">
        <f t="shared" si="232"/>
        <v>5.4399999999999995</v>
      </c>
      <c r="CS225" s="17">
        <f t="shared" si="233"/>
        <v>7.09</v>
      </c>
      <c r="CT225" s="17">
        <f t="shared" si="234"/>
        <v>8.129999999999999</v>
      </c>
      <c r="CU225" s="2" cm="1">
        <f t="array" aca="1" ref="CU225" ca="1">MAX(_xlfn._xlws.FILTER(CN225:CT225,CN225:CT225&lt;BP225))</f>
        <v>2.7499999999999991</v>
      </c>
      <c r="CV225" s="2" cm="1">
        <f t="array" aca="1" ref="CV225" ca="1">MIN(_xlfn._xlws.FILTER($CN225:$CT225,$CN225:$CT225&gt;BP225))</f>
        <v>4.3999999999999995</v>
      </c>
      <c r="CW225" s="16">
        <f t="shared" ca="1" si="248"/>
        <v>0.60000000000000031</v>
      </c>
      <c r="CX225" s="20">
        <f t="shared" ca="1" si="249"/>
        <v>-0.30000000000000016</v>
      </c>
      <c r="CY225" s="20">
        <f t="shared" ca="1" si="250"/>
        <v>-0.20000000000000009</v>
      </c>
      <c r="CZ225" s="20">
        <f t="shared" ca="1" si="251"/>
        <v>-0.12000000000000006</v>
      </c>
      <c r="DA225" s="20">
        <f t="shared" ca="1" si="252"/>
        <v>-6.6666666666666707E-2</v>
      </c>
      <c r="DB225" s="20">
        <f t="shared" ca="1" si="253"/>
        <v>-3.5294117647058844E-2</v>
      </c>
      <c r="DC225" s="20">
        <f t="shared" ca="1" si="254"/>
        <v>-1.8181818181818191E-2</v>
      </c>
      <c r="DD225" s="20">
        <f t="shared" ca="1" si="255"/>
        <v>-9.2307692307692351E-3</v>
      </c>
      <c r="DE225" s="21">
        <f t="shared" ca="1" si="256"/>
        <v>9.2307692307692351E-3</v>
      </c>
      <c r="DF225" s="21">
        <f t="shared" ca="1" si="257"/>
        <v>1.8181818181818191E-2</v>
      </c>
      <c r="DG225" s="21">
        <f t="shared" ca="1" si="258"/>
        <v>3.5294117647058844E-2</v>
      </c>
      <c r="DH225" s="21">
        <f t="shared" ca="1" si="259"/>
        <v>6.6666666666666707E-2</v>
      </c>
      <c r="DI225" s="21">
        <f t="shared" ca="1" si="260"/>
        <v>0.12000000000000006</v>
      </c>
      <c r="DJ225" s="21">
        <f t="shared" ca="1" si="261"/>
        <v>0.20000000000000009</v>
      </c>
      <c r="DK225" s="21">
        <f t="shared" ca="1" si="262"/>
        <v>0.30000000000000016</v>
      </c>
      <c r="DM225" s="16" cm="1">
        <f t="array" aca="1" ref="DM225" ca="1">MAX(_xlfn._xlws.FILTER(CX225:DK225,CX225:DK225&lt;BV225))</f>
        <v>1.8181818181818191E-2</v>
      </c>
      <c r="DN225" s="16" cm="1">
        <f t="array" aca="1" ref="DN225" ca="1">MIN(_xlfn._xlws.FILTER(CX225:DK225,CX225:DK225&gt;BV225))</f>
        <v>3.5294117647058844E-2</v>
      </c>
      <c r="DO225" s="2" cm="1">
        <f t="array" aca="1" ref="DO225" ca="1">_FV(ED225,"Fechamento anterior",TRUE)</f>
        <v>3.7</v>
      </c>
      <c r="DP225" s="28">
        <f t="shared" ca="1" si="235"/>
        <v>4.3074324324320117E-2</v>
      </c>
      <c r="DQ225" s="15">
        <f t="shared" ca="1" si="263"/>
        <v>3.7672727272727276</v>
      </c>
      <c r="DR225" s="15">
        <f t="shared" ca="1" si="264"/>
        <v>3.8305882352941181</v>
      </c>
      <c r="DS225" s="9"/>
      <c r="DT225" s="9"/>
      <c r="DU225" s="9"/>
      <c r="DV225" s="89">
        <v>1.7112299465240653E-2</v>
      </c>
      <c r="DW225" s="89">
        <f t="shared" ca="1" si="236"/>
        <v>1.7112299465240653E-2</v>
      </c>
      <c r="DX225" s="72">
        <f t="shared" ca="1" si="237"/>
        <v>-0.24506140156373757</v>
      </c>
      <c r="DY225" s="37"/>
      <c r="DZ225" s="35">
        <f t="shared" si="247"/>
        <v>0.1530228741071086</v>
      </c>
      <c r="EA225" s="56"/>
      <c r="EB225" s="56"/>
      <c r="ED225" s="2" t="e" vm="227">
        <v>#VALUE!</v>
      </c>
      <c r="EF225" s="10" cm="1">
        <f t="array" aca="1" ref="EF225" ca="1">_FV(ED225,"Ações em circulação",TRUE)</f>
        <v>140986900</v>
      </c>
      <c r="EG225" s="18">
        <f>VLOOKUP(BQ225,Fundamentus!A:U,5,FALSE)</f>
        <v>0.22500000000000001</v>
      </c>
      <c r="EH225" s="2">
        <f t="shared" ca="1" si="238"/>
        <v>2362313835.5555553</v>
      </c>
      <c r="EI225" s="17">
        <v>-109480400.80488887</v>
      </c>
      <c r="EJ225" s="17">
        <f t="shared" ca="1" si="239"/>
        <v>-108902667.81911111</v>
      </c>
      <c r="EL225" s="16">
        <f t="shared" ca="1" si="226"/>
        <v>-5.2770448548811189E-3</v>
      </c>
      <c r="EM225" s="32" t="str">
        <f>IF(VLOOKUP(BQ225,Fundamentus!A:U,3,FALSE)&lt;15,"Bom",IF(VLOOKUP(BQ225,Fundamentus!A:U,3,FALSE)&gt;15,"Ruim","n/a"))</f>
        <v>Bom</v>
      </c>
      <c r="EN225" s="28" t="str">
        <f>IF(VLOOKUP(BQ225,Fundamentus!A:U,4,FALSE)&lt;1,"Baixo",IF(VLOOKUP(BQ225,Fundamentus!A:U,4,FALSE)&lt;1.5,"Moderado",IF(VLOOKUP(BQ225,Fundamentus!A:U,4,FALSE)&gt;1.5,"Alto","n/a")))</f>
        <v>Alto</v>
      </c>
      <c r="EO225" s="17" t="str">
        <f>IF(VLOOKUP(BQ225,Fundamentus!A:U,8,FALSE)&lt;0,"Risco elevado",IF(VLOOKUP(BQ225,Fundamentus!A:U,8,FALSE)&lt;1,"Saudável",IF(VLOOKUP(BQ225,Fundamentus!A:U,8,FALSE)&lt;3,"Estável",IF(VLOOKUP(BQ225,Fundamentus!A:U,8,FALSE)&gt;3,"Alerta","n/a"))))</f>
        <v>Risco elevado</v>
      </c>
      <c r="EP225" s="28" t="str">
        <f t="shared" si="240"/>
        <v>Ruim</v>
      </c>
      <c r="EQ225" s="17" t="str">
        <f>IF(VLOOKUP(BQ225,Fundamentus!A:U,12,FALSE)&lt;2,"Subvalorizada",IF(VLOOKUP(BQ225,Fundamentus!A:U,12,FALSE)&lt;6,"Muita barata",IF(VLOOKUP(BQ225,Fundamentus!A:U,12,FALSE)&lt;6,"Barata",IF(VLOOKUP(BQ225,Fundamentus!A:U,12,FALSE)&lt;8,"Atrativa",IF(VLOOKUP(BQ225,Fundamentus!A:U,12,FALSE)&gt;8,"Supervalorizada","n/a")))))</f>
        <v>Muita barata</v>
      </c>
      <c r="ES225" s="17" t="str">
        <f>IF(VLOOKUP(BQ225,Fundamentus!A:U,17,FALSE)&lt;0.1,"Fraco retorno",IF(VLOOKUP(BQ225,Fundamentus!A:U,17,FALSE)&gt;0.1,"Bom retorno","n/a"))</f>
        <v>Fraco retorno</v>
      </c>
      <c r="ET225" s="17" t="str">
        <f>IF(VLOOKUP(BQ225,Fundamentus!A:U,16,FALSE)&lt;0.1,"Ineficiente",IF(VLOOKUP(BQ225,Fundamentus!A:U,16,FALSE)&gt;0.1,"Eficiente","n/a"))</f>
        <v>Ineficiente</v>
      </c>
      <c r="EU225" s="33" t="str">
        <f>IF(VLOOKUP(BQ225,Fundamentus!A:U,16,FALSE)&lt;0.1,"Oper. Ineficiente",IF(VLOOKUP(BQ225,Fundamentus!A:U,16,FALSE)&gt;0.1,"Oper.Eficiente","n/a"))</f>
        <v>Oper. Ineficiente</v>
      </c>
      <c r="EV225" s="34">
        <f>VLOOKUP(BQ225,Fundamentus!A:U,14,FALSE)</f>
        <v>-4.6100000000000002E-2</v>
      </c>
      <c r="EW225" s="17" t="str">
        <f>IF(VLOOKUP(BQ225,Fundamentus!A:U,21,FALSE)&lt;0,"Negativo",IF(VLOOKUP(BQ225,Fundamentus!A:U,21,FALSE)&lt;0.05,"Fraco",IF(VLOOKUP(BQ225,Fundamentus!A:U,21,FALSE)&lt;0.1,"Bom",IF(VLOOKUP(BQ225,Fundamentus!A:U,21,FALSE)&gt;0.1,"Muito bom","n/a"))))</f>
        <v>Muito bom</v>
      </c>
      <c r="EY225" s="29" t="str">
        <f>IF(VLOOKUP(BQ225,Fundamentus!A:U,15,FALSE)&gt;1,"Bom",IF(VLOOKUP(BQ225,Fundamentus!A:U,15,FALSE)&lt;1,"Ruim","n/a"))</f>
        <v>Ruim</v>
      </c>
      <c r="EZ225" s="17" t="str">
        <f>IF(VLOOKUP(BQ225,Fundamentus!A:U,20,FALSE)&lt;0.5,"Baixa",IF(VLOOKUP(BQ225,Fundamentus!A:U,20,FALSE)&lt;1,"Moderada",IF(VLOOKUP(BQ225,Fundamentus!A:U,20,FALSE)&lt;2,"Alerta",IF(VLOOKUP(BQ225,Fundamentus!A:U,20,FALSE)&gt;2,"Alta","n/a"))))</f>
        <v>Alta</v>
      </c>
    </row>
    <row r="226" spans="1:156" s="2" customFormat="1" ht="11.25" hidden="1" x14ac:dyDescent="0.2">
      <c r="A226" s="4">
        <v>5.42</v>
      </c>
      <c r="B226" s="4">
        <v>4.4000000000000004</v>
      </c>
      <c r="C226" s="4">
        <v>3.1</v>
      </c>
      <c r="D226" s="4">
        <v>3.04</v>
      </c>
      <c r="E226" s="4">
        <v>2.85</v>
      </c>
      <c r="F226" s="4">
        <v>2.37</v>
      </c>
      <c r="G226" s="4">
        <v>2.14</v>
      </c>
      <c r="H226" s="4">
        <v>2.0299999999999998</v>
      </c>
      <c r="I226" s="4">
        <v>2.21</v>
      </c>
      <c r="J226" s="4">
        <v>2.85</v>
      </c>
      <c r="K226" s="4">
        <v>2.63</v>
      </c>
      <c r="L226" s="4">
        <v>2.37</v>
      </c>
      <c r="M226" s="4">
        <v>2.2000000000000002</v>
      </c>
      <c r="N226" s="4">
        <v>2.2000000000000002</v>
      </c>
      <c r="O226" s="4">
        <v>2.71</v>
      </c>
      <c r="P226" s="4">
        <v>2.0299999999999998</v>
      </c>
      <c r="Q226" s="4">
        <v>2.04</v>
      </c>
      <c r="R226" s="4">
        <v>1.9</v>
      </c>
      <c r="S226" s="4">
        <v>2.02</v>
      </c>
      <c r="T226" s="4">
        <v>2.2400000000000002</v>
      </c>
      <c r="U226" s="4">
        <v>1.93</v>
      </c>
      <c r="V226" s="4">
        <v>1.87</v>
      </c>
      <c r="W226" s="4">
        <v>1.8</v>
      </c>
      <c r="X226" s="4">
        <v>1.78</v>
      </c>
      <c r="Y226" s="4">
        <v>1.89</v>
      </c>
      <c r="Z226" s="4">
        <v>1.93</v>
      </c>
      <c r="AA226" s="4">
        <v>2.0699999999999998</v>
      </c>
      <c r="AB226" s="4">
        <v>2.37</v>
      </c>
      <c r="AC226" s="4">
        <v>1.93</v>
      </c>
      <c r="AD226" s="4">
        <v>1.95</v>
      </c>
      <c r="AE226" s="4">
        <v>1.98</v>
      </c>
      <c r="AF226" s="4">
        <v>1.85</v>
      </c>
      <c r="AG226" s="4">
        <v>1.89</v>
      </c>
      <c r="AH226" s="4">
        <v>1.98</v>
      </c>
      <c r="AI226" s="4">
        <v>2.12</v>
      </c>
      <c r="AJ226" s="4">
        <v>2.0499999999999998</v>
      </c>
      <c r="AK226" s="4">
        <v>1.93</v>
      </c>
      <c r="AL226" s="4">
        <v>1.9</v>
      </c>
      <c r="AM226" s="4">
        <v>1.76</v>
      </c>
      <c r="AN226" s="4">
        <v>1.66</v>
      </c>
      <c r="AO226" s="4">
        <v>1.38</v>
      </c>
      <c r="AP226" s="4">
        <v>1.6</v>
      </c>
      <c r="AQ226" s="4">
        <v>1.5</v>
      </c>
      <c r="AR226" s="4">
        <v>1.33</v>
      </c>
      <c r="AS226" s="4">
        <v>1.4</v>
      </c>
      <c r="AT226" s="4">
        <v>1.47</v>
      </c>
      <c r="AU226" s="4">
        <v>1.5049999999999999</v>
      </c>
      <c r="AV226" s="4">
        <v>1.38</v>
      </c>
      <c r="AW226" s="4">
        <v>1.29</v>
      </c>
      <c r="AX226" s="4">
        <v>1.27</v>
      </c>
      <c r="AY226" s="12">
        <v>1.25</v>
      </c>
      <c r="AZ226" s="12">
        <v>1.21</v>
      </c>
      <c r="BA226" s="12">
        <v>1.1499999999999999</v>
      </c>
      <c r="BB226" s="15">
        <v>1.1599999999999999</v>
      </c>
      <c r="BC226" s="52">
        <v>1.37</v>
      </c>
      <c r="BD226" s="52">
        <v>1.36</v>
      </c>
      <c r="BE226" s="52">
        <v>1.37</v>
      </c>
      <c r="BF226" s="52">
        <v>1.19</v>
      </c>
      <c r="BG226" s="67">
        <v>1.2</v>
      </c>
      <c r="BH226" s="52">
        <v>1.17</v>
      </c>
      <c r="BI226" s="52">
        <v>1.25</v>
      </c>
      <c r="BJ226" s="52">
        <v>1.18</v>
      </c>
      <c r="BK226" s="52">
        <v>1.19</v>
      </c>
      <c r="BL226" s="52">
        <v>1.1399999999999999</v>
      </c>
      <c r="BM226" s="52">
        <v>1.1000000000000001</v>
      </c>
      <c r="BN226" s="52">
        <v>1.08</v>
      </c>
      <c r="BO226" s="52">
        <v>1.05</v>
      </c>
      <c r="BP226" s="52" cm="1">
        <f t="array" aca="1" ref="BP226" ca="1">_FV(ED226,"Preço")</f>
        <v>0.93</v>
      </c>
      <c r="BQ226" s="69" t="s">
        <v>222</v>
      </c>
      <c r="BR226" s="36" cm="1">
        <f t="array" aca="1" ref="BR226" ca="1">_FV(ED226,"Média de volume",TRUE)</f>
        <v>758820</v>
      </c>
      <c r="BS226" s="36">
        <v>1347900</v>
      </c>
      <c r="BT226" s="36" cm="1">
        <f t="array" aca="1" ref="BT226" ca="1">_FV(ED226,"Volume")</f>
        <v>1121400</v>
      </c>
      <c r="BU226" s="24" cm="1">
        <f t="array" aca="1" ref="BU226" ca="1">_FV(ED226,"Beta")</f>
        <v>0.96079999999999999</v>
      </c>
      <c r="BV226" s="71" cm="1">
        <f t="array" aca="1" ref="BV226" ca="1">_FV(ED226,"Variação (%)",TRUE)</f>
        <v>-5.1020000000000003E-2</v>
      </c>
      <c r="BX226" s="17" cm="1">
        <f t="array" aca="1" ref="BX226" ca="1">_FV(ED226,"Baixo")</f>
        <v>0.93</v>
      </c>
      <c r="BY226" s="17" cm="1">
        <f t="array" aca="1" ref="BY226" ca="1">_FV(ED226,"Alto")</f>
        <v>1</v>
      </c>
      <c r="BZ226" s="24"/>
      <c r="CA226" s="63" t="e">
        <f ca="1">SQRT(22.5*(BP226/VLOOKUP(BQ226,Fundamentus!A:U,3,FALSE))*(BP226/VLOOKUP(BQ226,Fundamentus!A:U,4,FALSE)))</f>
        <v>#NUM!</v>
      </c>
      <c r="CC226" s="62">
        <f t="shared" ca="1" si="241"/>
        <v>-0.11428571428571428</v>
      </c>
      <c r="CD226" s="8"/>
      <c r="CE226" s="61">
        <f t="shared" si="242"/>
        <v>1.05</v>
      </c>
      <c r="CF226" s="61">
        <f t="shared" si="243"/>
        <v>5.42</v>
      </c>
      <c r="CG226" s="61">
        <f t="shared" si="244"/>
        <v>1.8796268656716422</v>
      </c>
      <c r="CH226" s="14"/>
      <c r="CI226" s="35">
        <f t="shared" si="227"/>
        <v>0.92251153914437878</v>
      </c>
      <c r="CJ226" s="15">
        <f t="shared" si="245"/>
        <v>1.0200000000000102</v>
      </c>
      <c r="CK226" s="35">
        <f t="shared" si="228"/>
        <v>1.1174884608556417</v>
      </c>
      <c r="CM226" s="14"/>
      <c r="CN226" s="17">
        <f t="shared" si="229"/>
        <v>-4.7766666666666673</v>
      </c>
      <c r="CO226" s="17">
        <f t="shared" si="230"/>
        <v>-1.8633333333333337</v>
      </c>
      <c r="CP226" s="17">
        <f t="shared" si="231"/>
        <v>-0.40666666666666718</v>
      </c>
      <c r="CQ226" s="38">
        <f t="shared" si="246"/>
        <v>2.5066666666666664</v>
      </c>
      <c r="CR226" s="17">
        <f t="shared" si="232"/>
        <v>3.9633333333333329</v>
      </c>
      <c r="CS226" s="17">
        <f t="shared" si="233"/>
        <v>6.8766666666666669</v>
      </c>
      <c r="CT226" s="17">
        <f t="shared" si="234"/>
        <v>8.3333333333333321</v>
      </c>
      <c r="CU226" s="2" cm="1">
        <f t="array" aca="1" ref="CU226" ca="1">MAX(_xlfn._xlws.FILTER(CN226:CT226,CN226:CT226&lt;BP226))</f>
        <v>-0.40666666666666718</v>
      </c>
      <c r="CV226" s="2" cm="1">
        <f t="array" aca="1" ref="CV226" ca="1">MIN(_xlfn._xlws.FILTER($CN226:$CT226,$CN226:$CT226&gt;BP226))</f>
        <v>2.5066666666666664</v>
      </c>
      <c r="CW226" s="16">
        <f t="shared" ca="1" si="248"/>
        <v>-7.1639344262294999</v>
      </c>
      <c r="CX226" s="20">
        <f t="shared" ca="1" si="249"/>
        <v>3.58196721311475</v>
      </c>
      <c r="CY226" s="20">
        <f t="shared" ca="1" si="250"/>
        <v>2.3879781420764998</v>
      </c>
      <c r="CZ226" s="20">
        <f t="shared" ca="1" si="251"/>
        <v>1.4327868852459</v>
      </c>
      <c r="DA226" s="20">
        <f t="shared" ca="1" si="252"/>
        <v>0.79599271402549998</v>
      </c>
      <c r="DB226" s="20">
        <f t="shared" ca="1" si="253"/>
        <v>0.42140790742526468</v>
      </c>
      <c r="DC226" s="20">
        <f t="shared" ca="1" si="254"/>
        <v>0.21708892200695454</v>
      </c>
      <c r="DD226" s="20">
        <f t="shared" ca="1" si="255"/>
        <v>0.11021437578814615</v>
      </c>
      <c r="DE226" s="21">
        <f t="shared" ca="1" si="256"/>
        <v>-0.11021437578814615</v>
      </c>
      <c r="DF226" s="21">
        <f t="shared" ca="1" si="257"/>
        <v>-0.21708892200695454</v>
      </c>
      <c r="DG226" s="21">
        <f t="shared" ca="1" si="258"/>
        <v>-0.42140790742526468</v>
      </c>
      <c r="DH226" s="21">
        <f t="shared" ca="1" si="259"/>
        <v>-0.79599271402549998</v>
      </c>
      <c r="DI226" s="21">
        <f t="shared" ca="1" si="260"/>
        <v>-1.4327868852459</v>
      </c>
      <c r="DJ226" s="21">
        <f t="shared" ca="1" si="261"/>
        <v>-2.3879781420764998</v>
      </c>
      <c r="DK226" s="21">
        <f t="shared" ca="1" si="262"/>
        <v>-3.58196721311475</v>
      </c>
      <c r="DM226" s="16" cm="1">
        <f t="array" aca="1" ref="DM226" ca="1">MAX(_xlfn._xlws.FILTER(CX226:DK226,CX226:DK226&lt;BV226))</f>
        <v>-0.11021437578814615</v>
      </c>
      <c r="DN226" s="16" cm="1">
        <f t="array" aca="1" ref="DN226" ca="1">MIN(_xlfn._xlws.FILTER(CX226:DK226,CX226:DK226&gt;BV226))</f>
        <v>0.11021437578814615</v>
      </c>
      <c r="DO226" s="2" cm="1">
        <f t="array" aca="1" ref="DO226" ca="1">_FV(ED226,"Fechamento anterior",TRUE)</f>
        <v>0.98</v>
      </c>
      <c r="DP226" s="28">
        <f t="shared" ca="1" si="235"/>
        <v>0.26854013916779546</v>
      </c>
      <c r="DQ226" s="15">
        <f t="shared" ca="1" si="263"/>
        <v>0.87198991172761675</v>
      </c>
      <c r="DR226" s="15">
        <f t="shared" ca="1" si="264"/>
        <v>1.0880100882723831</v>
      </c>
      <c r="DS226" s="9"/>
      <c r="DT226" s="9"/>
      <c r="DU226" s="9"/>
      <c r="DV226" s="89">
        <v>0.2204287515762923</v>
      </c>
      <c r="DW226" s="89">
        <f t="shared" ca="1" si="236"/>
        <v>0.2204287515762923</v>
      </c>
      <c r="DX226" s="72">
        <f t="shared" ca="1" si="237"/>
        <v>-0.92318618234510064</v>
      </c>
      <c r="DY226" s="37"/>
      <c r="DZ226" s="35">
        <f t="shared" si="247"/>
        <v>4.8744230427815713E-2</v>
      </c>
      <c r="EA226" s="56"/>
      <c r="EB226" s="56"/>
      <c r="ED226" s="2" t="e" vm="228">
        <v>#VALUE!</v>
      </c>
      <c r="EF226" s="10" cm="1">
        <f t="array" aca="1" ref="EF226" ca="1">_FV(ED226,"Ações em circulação",TRUE)</f>
        <v>322820600</v>
      </c>
      <c r="EG226" s="18">
        <f>VLOOKUP(BQ226,Fundamentus!A:U,5,FALSE)</f>
        <v>3.1E-2</v>
      </c>
      <c r="EH226" s="2">
        <f t="shared" ca="1" si="238"/>
        <v>9684618000</v>
      </c>
      <c r="EI226" s="17">
        <v>-1415984873.7096777</v>
      </c>
      <c r="EJ226" s="17">
        <f t="shared" ca="1" si="239"/>
        <v>-1254158031</v>
      </c>
      <c r="EL226" s="16">
        <f t="shared" ca="1" si="226"/>
        <v>-0.11428571428571443</v>
      </c>
      <c r="EM226" s="32" t="str">
        <f>IF(VLOOKUP(BQ226,Fundamentus!A:U,3,FALSE)&lt;15,"Bom",IF(VLOOKUP(BQ226,Fundamentus!A:U,3,FALSE)&gt;15,"Ruim","n/a"))</f>
        <v>Bom</v>
      </c>
      <c r="EN226" s="28" t="str">
        <f>IF(VLOOKUP(BQ226,Fundamentus!A:U,4,FALSE)&lt;1,"Baixo",IF(VLOOKUP(BQ226,Fundamentus!A:U,4,FALSE)&lt;1.5,"Moderado",IF(VLOOKUP(BQ226,Fundamentus!A:U,4,FALSE)&gt;1.5,"Alto","n/a")))</f>
        <v>Baixo</v>
      </c>
      <c r="EO226" s="17" t="str">
        <f>IF(VLOOKUP(BQ226,Fundamentus!A:U,8,FALSE)&lt;0,"Risco elevado",IF(VLOOKUP(BQ226,Fundamentus!A:U,8,FALSE)&lt;1,"Saudável",IF(VLOOKUP(BQ226,Fundamentus!A:U,8,FALSE)&lt;3,"Estável",IF(VLOOKUP(BQ226,Fundamentus!A:U,8,FALSE)&gt;3,"Alerta","n/a"))))</f>
        <v>Saudável</v>
      </c>
      <c r="EP226" s="28" t="str">
        <f t="shared" si="240"/>
        <v>Ruim</v>
      </c>
      <c r="EQ226" s="17" t="str">
        <f>IF(VLOOKUP(BQ226,Fundamentus!A:U,12,FALSE)&lt;2,"Subvalorizada",IF(VLOOKUP(BQ226,Fundamentus!A:U,12,FALSE)&lt;6,"Muita barata",IF(VLOOKUP(BQ226,Fundamentus!A:U,12,FALSE)&lt;6,"Barata",IF(VLOOKUP(BQ226,Fundamentus!A:U,12,FALSE)&lt;8,"Atrativa",IF(VLOOKUP(BQ226,Fundamentus!A:U,12,FALSE)&gt;8,"Supervalorizada","n/a")))))</f>
        <v>Supervalorizada</v>
      </c>
      <c r="ES226" s="17" t="str">
        <f>IF(VLOOKUP(BQ226,Fundamentus!A:U,17,FALSE)&lt;0.1,"Fraco retorno",IF(VLOOKUP(BQ226,Fundamentus!A:U,17,FALSE)&gt;0.1,"Bom retorno","n/a"))</f>
        <v>Fraco retorno</v>
      </c>
      <c r="ET226" s="17" t="str">
        <f>IF(VLOOKUP(BQ226,Fundamentus!A:U,16,FALSE)&lt;0.1,"Ineficiente",IF(VLOOKUP(BQ226,Fundamentus!A:U,16,FALSE)&gt;0.1,"Eficiente","n/a"))</f>
        <v>Ineficiente</v>
      </c>
      <c r="EU226" s="33" t="str">
        <f>IF(VLOOKUP(BQ226,Fundamentus!A:U,16,FALSE)&lt;0.1,"Oper. Ineficiente",IF(VLOOKUP(BQ226,Fundamentus!A:U,16,FALSE)&gt;0.1,"Oper.Eficiente","n/a"))</f>
        <v>Oper. Ineficiente</v>
      </c>
      <c r="EV226" s="34">
        <f>VLOOKUP(BQ226,Fundamentus!A:U,14,FALSE)</f>
        <v>-0.1295</v>
      </c>
      <c r="EW226" s="17" t="str">
        <f>IF(VLOOKUP(BQ226,Fundamentus!A:U,21,FALSE)&lt;0,"Negativo",IF(VLOOKUP(BQ226,Fundamentus!A:U,21,FALSE)&lt;0.05,"Fraco",IF(VLOOKUP(BQ226,Fundamentus!A:U,21,FALSE)&lt;0.1,"Bom",IF(VLOOKUP(BQ226,Fundamentus!A:U,21,FALSE)&gt;0.1,"Muito bom","n/a"))))</f>
        <v>Muito bom</v>
      </c>
      <c r="EY226" s="29" t="str">
        <f>IF(VLOOKUP(BQ226,Fundamentus!A:U,15,FALSE)&gt;1,"Bom",IF(VLOOKUP(BQ226,Fundamentus!A:U,15,FALSE)&lt;1,"Ruim","n/a"))</f>
        <v>Bom</v>
      </c>
      <c r="EZ226" s="17" t="str">
        <f>IF(VLOOKUP(BQ226,Fundamentus!A:U,20,FALSE)&lt;0.5,"Baixa",IF(VLOOKUP(BQ226,Fundamentus!A:U,20,FALSE)&lt;1,"Moderada",IF(VLOOKUP(BQ226,Fundamentus!A:U,20,FALSE)&lt;2,"Alerta",IF(VLOOKUP(BQ226,Fundamentus!A:U,20,FALSE)&gt;2,"Alta","n/a"))))</f>
        <v>Alta</v>
      </c>
    </row>
    <row r="227" spans="1:156" s="2" customFormat="1" ht="11.25" hidden="1" x14ac:dyDescent="0.2">
      <c r="A227" s="4">
        <v>5.39</v>
      </c>
      <c r="B227" s="4">
        <v>5.18</v>
      </c>
      <c r="C227" s="4">
        <v>5.03</v>
      </c>
      <c r="D227" s="4">
        <v>4.78</v>
      </c>
      <c r="E227" s="4">
        <v>4.5</v>
      </c>
      <c r="F227" s="4">
        <v>4.4000000000000004</v>
      </c>
      <c r="G227" s="4">
        <v>4.7699999999999996</v>
      </c>
      <c r="H227" s="4">
        <v>5.16</v>
      </c>
      <c r="I227" s="4">
        <v>5.09</v>
      </c>
      <c r="J227" s="4">
        <v>5.58</v>
      </c>
      <c r="K227" s="4">
        <v>6</v>
      </c>
      <c r="L227" s="4">
        <v>5.6</v>
      </c>
      <c r="M227" s="4">
        <v>5.56</v>
      </c>
      <c r="N227" s="4">
        <v>5.35</v>
      </c>
      <c r="O227" s="4">
        <v>5.4</v>
      </c>
      <c r="P227" s="4">
        <v>5.16</v>
      </c>
      <c r="Q227" s="4">
        <v>5.29</v>
      </c>
      <c r="R227" s="4">
        <v>5.37</v>
      </c>
      <c r="S227" s="4">
        <v>5.08</v>
      </c>
      <c r="T227" s="4">
        <v>5.09</v>
      </c>
      <c r="U227" s="4">
        <v>4.6500000000000004</v>
      </c>
      <c r="V227" s="4">
        <v>4.84</v>
      </c>
      <c r="W227" s="4">
        <v>4.6100000000000003</v>
      </c>
      <c r="X227" s="4">
        <v>4.51</v>
      </c>
      <c r="Y227" s="4">
        <v>4.32</v>
      </c>
      <c r="Z227" s="4">
        <v>4.5999999999999996</v>
      </c>
      <c r="AA227" s="4">
        <v>4.38</v>
      </c>
      <c r="AB227" s="4">
        <v>4.41</v>
      </c>
      <c r="AC227" s="4">
        <v>4.26</v>
      </c>
      <c r="AD227" s="4">
        <v>4.25</v>
      </c>
      <c r="AE227" s="4">
        <v>4.07</v>
      </c>
      <c r="AF227" s="4">
        <v>3.81</v>
      </c>
      <c r="AG227" s="4">
        <v>3.45</v>
      </c>
      <c r="AH227" s="4">
        <v>2.94</v>
      </c>
      <c r="AI227" s="4">
        <v>3</v>
      </c>
      <c r="AJ227" s="4">
        <v>2.97</v>
      </c>
      <c r="AK227" s="4">
        <v>2.88</v>
      </c>
      <c r="AL227" s="4">
        <v>3</v>
      </c>
      <c r="AM227" s="4">
        <v>3.02</v>
      </c>
      <c r="AN227" s="4">
        <v>3.22</v>
      </c>
      <c r="AO227" s="4">
        <v>2.96</v>
      </c>
      <c r="AP227" s="4">
        <v>3.09</v>
      </c>
      <c r="AQ227" s="4">
        <v>2.96</v>
      </c>
      <c r="AR227" s="4">
        <v>2.74</v>
      </c>
      <c r="AS227" s="4">
        <v>2.69</v>
      </c>
      <c r="AT227" s="4">
        <v>3</v>
      </c>
      <c r="AU227" s="4">
        <v>3.2149999999999999</v>
      </c>
      <c r="AV227" s="4">
        <v>3.47</v>
      </c>
      <c r="AW227" s="4">
        <v>3.42</v>
      </c>
      <c r="AX227" s="4">
        <v>3.67</v>
      </c>
      <c r="AY227" s="12">
        <v>3.61</v>
      </c>
      <c r="AZ227" s="12">
        <v>3.75</v>
      </c>
      <c r="BA227" s="12">
        <v>3.68</v>
      </c>
      <c r="BB227" s="15">
        <v>3.77</v>
      </c>
      <c r="BC227" s="52">
        <v>3.83</v>
      </c>
      <c r="BD227" s="52">
        <v>3.43</v>
      </c>
      <c r="BE227" s="52">
        <v>3.49</v>
      </c>
      <c r="BF227" s="52">
        <v>3.52</v>
      </c>
      <c r="BG227" s="67">
        <v>3.53</v>
      </c>
      <c r="BH227" s="52">
        <v>3.42</v>
      </c>
      <c r="BI227" s="52">
        <v>3.41</v>
      </c>
      <c r="BJ227" s="52">
        <v>3.38</v>
      </c>
      <c r="BK227" s="52">
        <v>3.06</v>
      </c>
      <c r="BL227" s="52">
        <v>3.01</v>
      </c>
      <c r="BM227" s="52">
        <v>3.31</v>
      </c>
      <c r="BN227" s="52">
        <v>3.34</v>
      </c>
      <c r="BO227" s="52">
        <v>3.61</v>
      </c>
      <c r="BP227" s="52" cm="1">
        <f t="array" aca="1" ref="BP227" ca="1">_FV(ED227,"Preço")</f>
        <v>3.7</v>
      </c>
      <c r="BQ227" s="69" t="s">
        <v>223</v>
      </c>
      <c r="BR227" s="36" cm="1">
        <f t="array" aca="1" ref="BR227" ca="1">_FV(ED227,"Média de volume",TRUE)</f>
        <v>281660</v>
      </c>
      <c r="BS227" s="36">
        <v>256600</v>
      </c>
      <c r="BT227" s="36" cm="1">
        <f t="array" aca="1" ref="BT227" ca="1">_FV(ED227,"Volume")</f>
        <v>87800</v>
      </c>
      <c r="BU227" s="24" cm="1">
        <f t="array" aca="1" ref="BU227" ca="1">_FV(ED227,"Beta")</f>
        <v>1.4379999999999999</v>
      </c>
      <c r="BV227" s="71" cm="1">
        <f t="array" aca="1" ref="BV227" ca="1">_FV(ED227,"Variação (%)",TRUE)</f>
        <v>1.9283999999999999E-2</v>
      </c>
      <c r="BX227" s="17" cm="1">
        <f t="array" aca="1" ref="BX227" ca="1">_FV(ED227,"Baixo")</f>
        <v>3.61</v>
      </c>
      <c r="BY227" s="17" cm="1">
        <f t="array" aca="1" ref="BY227" ca="1">_FV(ED227,"Alto")</f>
        <v>3.7</v>
      </c>
      <c r="BZ227" s="24"/>
      <c r="CA227" s="63">
        <f ca="1">SQRT(22.5*(BP227/VLOOKUP(BQ227,Fundamentus!A:U,3,FALSE))*(BP227/VLOOKUP(BQ227,Fundamentus!A:U,4,FALSE)))</f>
        <v>15.215476011590995</v>
      </c>
      <c r="CC227" s="62">
        <f t="shared" ca="1" si="241"/>
        <v>2.4930747922437758E-2</v>
      </c>
      <c r="CD227" s="8"/>
      <c r="CE227" s="61">
        <f t="shared" si="242"/>
        <v>2.69</v>
      </c>
      <c r="CF227" s="61">
        <f t="shared" si="243"/>
        <v>6</v>
      </c>
      <c r="CG227" s="61">
        <f t="shared" si="244"/>
        <v>4.0497761194029849</v>
      </c>
      <c r="CH227" s="14"/>
      <c r="CI227" s="35">
        <f t="shared" si="227"/>
        <v>3.3425927845191281</v>
      </c>
      <c r="CJ227" s="15">
        <f t="shared" si="245"/>
        <v>3.7750000000000909</v>
      </c>
      <c r="CK227" s="35">
        <f t="shared" si="228"/>
        <v>4.2074072154810542</v>
      </c>
      <c r="CM227" s="14"/>
      <c r="CN227" s="17">
        <f t="shared" si="229"/>
        <v>-1.1100000000000008</v>
      </c>
      <c r="CO227" s="17">
        <f t="shared" si="230"/>
        <v>0.78999999999999959</v>
      </c>
      <c r="CP227" s="17">
        <f t="shared" si="231"/>
        <v>2.1999999999999993</v>
      </c>
      <c r="CQ227" s="38">
        <f t="shared" si="246"/>
        <v>4.0999999999999996</v>
      </c>
      <c r="CR227" s="17">
        <f t="shared" si="232"/>
        <v>5.51</v>
      </c>
      <c r="CS227" s="17">
        <f t="shared" si="233"/>
        <v>7.41</v>
      </c>
      <c r="CT227" s="17">
        <f t="shared" si="234"/>
        <v>8.82</v>
      </c>
      <c r="CU227" s="2" cm="1">
        <f t="array" aca="1" ref="CU227" ca="1">MAX(_xlfn._xlws.FILTER(CN227:CT227,CN227:CT227&lt;BP227))</f>
        <v>2.1999999999999993</v>
      </c>
      <c r="CV227" s="2" cm="1">
        <f t="array" aca="1" ref="CV227" ca="1">MIN(_xlfn._xlws.FILTER($CN227:$CT227,$CN227:$CT227&gt;BP227))</f>
        <v>4.0999999999999996</v>
      </c>
      <c r="CW227" s="16">
        <f t="shared" ca="1" si="248"/>
        <v>0.86363636363636398</v>
      </c>
      <c r="CX227" s="20">
        <f t="shared" ca="1" si="249"/>
        <v>-0.43181818181818199</v>
      </c>
      <c r="CY227" s="20">
        <f t="shared" ca="1" si="250"/>
        <v>-0.28787878787878801</v>
      </c>
      <c r="CZ227" s="20">
        <f t="shared" ca="1" si="251"/>
        <v>-0.17272727272727278</v>
      </c>
      <c r="DA227" s="20">
        <f t="shared" ca="1" si="252"/>
        <v>-9.5959595959595995E-2</v>
      </c>
      <c r="DB227" s="20">
        <f t="shared" ca="1" si="253"/>
        <v>-5.0802139037433178E-2</v>
      </c>
      <c r="DC227" s="20">
        <f t="shared" ca="1" si="254"/>
        <v>-2.6170798898071636E-2</v>
      </c>
      <c r="DD227" s="20">
        <f t="shared" ca="1" si="255"/>
        <v>-1.3286713286713292E-2</v>
      </c>
      <c r="DE227" s="21">
        <f t="shared" ca="1" si="256"/>
        <v>1.3286713286713292E-2</v>
      </c>
      <c r="DF227" s="21">
        <f t="shared" ca="1" si="257"/>
        <v>2.6170798898071636E-2</v>
      </c>
      <c r="DG227" s="21">
        <f t="shared" ca="1" si="258"/>
        <v>5.0802139037433178E-2</v>
      </c>
      <c r="DH227" s="21">
        <f t="shared" ca="1" si="259"/>
        <v>9.5959595959595995E-2</v>
      </c>
      <c r="DI227" s="21">
        <f t="shared" ca="1" si="260"/>
        <v>0.17272727272727278</v>
      </c>
      <c r="DJ227" s="21">
        <f t="shared" ca="1" si="261"/>
        <v>0.28787878787878801</v>
      </c>
      <c r="DK227" s="21">
        <f t="shared" ca="1" si="262"/>
        <v>0.43181818181818199</v>
      </c>
      <c r="DM227" s="16" cm="1">
        <f t="array" aca="1" ref="DM227" ca="1">MAX(_xlfn._xlws.FILTER(CX227:DK227,CX227:DK227&lt;BV227))</f>
        <v>1.3286713286713292E-2</v>
      </c>
      <c r="DN227" s="16" cm="1">
        <f t="array" aca="1" ref="DN227" ca="1">MIN(_xlfn._xlws.FILTER(CX227:DK227,CX227:DK227&gt;BV227))</f>
        <v>2.6170798898071636E-2</v>
      </c>
      <c r="DO227" s="2" cm="1">
        <f t="array" aca="1" ref="DO227" ca="1">_FV(ED227,"Fechamento anterior",TRUE)</f>
        <v>3.63</v>
      </c>
      <c r="DP227" s="28">
        <f t="shared" ca="1" si="235"/>
        <v>0.46546052631579538</v>
      </c>
      <c r="DQ227" s="15">
        <f t="shared" ca="1" si="263"/>
        <v>3.678230769230769</v>
      </c>
      <c r="DR227" s="15">
        <f t="shared" ca="1" si="264"/>
        <v>3.7250000000000001</v>
      </c>
      <c r="DS227" s="9"/>
      <c r="DT227" s="9"/>
      <c r="DU227" s="9"/>
      <c r="DV227" s="89">
        <v>1.2884085611358344E-2</v>
      </c>
      <c r="DW227" s="89">
        <f t="shared" ca="1" si="236"/>
        <v>1.2884085611358344E-2</v>
      </c>
      <c r="DX227" s="72">
        <f t="shared" ca="1" si="237"/>
        <v>-0.17344761445913642</v>
      </c>
      <c r="DY227" s="37"/>
      <c r="DZ227" s="35">
        <f t="shared" si="247"/>
        <v>0.2162036077404815</v>
      </c>
      <c r="EA227" s="56"/>
      <c r="EB227" s="56"/>
      <c r="ED227" s="2" t="e" vm="229">
        <v>#VALUE!</v>
      </c>
      <c r="EF227" s="10" cm="1">
        <f t="array" aca="1" ref="EF227" ca="1">_FV(ED227,"Ações em circulação",TRUE)</f>
        <v>103189000</v>
      </c>
      <c r="EG227" s="18">
        <f>VLOOKUP(BQ227,Fundamentus!A:U,5,FALSE)</f>
        <v>1.8420000000000001</v>
      </c>
      <c r="EH227" s="2">
        <f t="shared" ca="1" si="238"/>
        <v>207274321.38979369</v>
      </c>
      <c r="EI227" s="17">
        <v>143483968.37947881</v>
      </c>
      <c r="EJ227" s="17">
        <f t="shared" ca="1" si="239"/>
        <v>147061131.02605864</v>
      </c>
      <c r="EL227" s="16">
        <f t="shared" ca="1" si="226"/>
        <v>2.4930747922437879E-2</v>
      </c>
      <c r="EM227" s="32" t="str">
        <f>IF(VLOOKUP(BQ227,Fundamentus!A:U,3,FALSE)&lt;15,"Bom",IF(VLOOKUP(BQ227,Fundamentus!A:U,3,FALSE)&gt;15,"Ruim","n/a"))</f>
        <v>Bom</v>
      </c>
      <c r="EN227" s="28" t="str">
        <f>IF(VLOOKUP(BQ227,Fundamentus!A:U,4,FALSE)&lt;1,"Baixo",IF(VLOOKUP(BQ227,Fundamentus!A:U,4,FALSE)&lt;1.5,"Moderado",IF(VLOOKUP(BQ227,Fundamentus!A:U,4,FALSE)&gt;1.5,"Alto","n/a")))</f>
        <v>Baixo</v>
      </c>
      <c r="EO227" s="17" t="str">
        <f>IF(VLOOKUP(BQ227,Fundamentus!A:U,8,FALSE)&lt;0,"Risco elevado",IF(VLOOKUP(BQ227,Fundamentus!A:U,8,FALSE)&lt;1,"Saudável",IF(VLOOKUP(BQ227,Fundamentus!A:U,8,FALSE)&lt;3,"Estável",IF(VLOOKUP(BQ227,Fundamentus!A:U,8,FALSE)&gt;3,"Alerta","n/a"))))</f>
        <v>Estável</v>
      </c>
      <c r="EP227" s="28" t="str">
        <f t="shared" si="240"/>
        <v>Bom</v>
      </c>
      <c r="EQ227" s="17" t="str">
        <f>IF(VLOOKUP(BQ227,Fundamentus!A:U,12,FALSE)&lt;2,"Subvalorizada",IF(VLOOKUP(BQ227,Fundamentus!A:U,12,FALSE)&lt;6,"Muita barata",IF(VLOOKUP(BQ227,Fundamentus!A:U,12,FALSE)&lt;6,"Barata",IF(VLOOKUP(BQ227,Fundamentus!A:U,12,FALSE)&lt;8,"Atrativa",IF(VLOOKUP(BQ227,Fundamentus!A:U,12,FALSE)&gt;8,"Supervalorizada","n/a")))))</f>
        <v>Muita barata</v>
      </c>
      <c r="ES227" s="17" t="str">
        <f>IF(VLOOKUP(BQ227,Fundamentus!A:U,17,FALSE)&lt;0.1,"Fraco retorno",IF(VLOOKUP(BQ227,Fundamentus!A:U,17,FALSE)&gt;0.1,"Bom retorno","n/a"))</f>
        <v>Fraco retorno</v>
      </c>
      <c r="ET227" s="17" t="str">
        <f>IF(VLOOKUP(BQ227,Fundamentus!A:U,16,FALSE)&lt;0.1,"Ineficiente",IF(VLOOKUP(BQ227,Fundamentus!A:U,16,FALSE)&gt;0.1,"Eficiente","n/a"))</f>
        <v>Ineficiente</v>
      </c>
      <c r="EU227" s="33" t="str">
        <f>IF(VLOOKUP(BQ227,Fundamentus!A:U,16,FALSE)&lt;0.1,"Oper. Ineficiente",IF(VLOOKUP(BQ227,Fundamentus!A:U,16,FALSE)&gt;0.1,"Oper.Eficiente","n/a"))</f>
        <v>Oper. Ineficiente</v>
      </c>
      <c r="EV227" s="34">
        <f>VLOOKUP(BQ227,Fundamentus!A:U,14,FALSE)</f>
        <v>0.70950000000000002</v>
      </c>
      <c r="EW227" s="17" t="str">
        <f>IF(VLOOKUP(BQ227,Fundamentus!A:U,21,FALSE)&lt;0,"Negativo",IF(VLOOKUP(BQ227,Fundamentus!A:U,21,FALSE)&lt;0.05,"Fraco",IF(VLOOKUP(BQ227,Fundamentus!A:U,21,FALSE)&lt;0.1,"Bom",IF(VLOOKUP(BQ227,Fundamentus!A:U,21,FALSE)&gt;0.1,"Muito bom","n/a"))))</f>
        <v>Muito bom</v>
      </c>
      <c r="EY227" s="29" t="str">
        <f>IF(VLOOKUP(BQ227,Fundamentus!A:U,15,FALSE)&gt;1,"Bom",IF(VLOOKUP(BQ227,Fundamentus!A:U,15,FALSE)&lt;1,"Ruim","n/a"))</f>
        <v>Bom</v>
      </c>
      <c r="EZ227" s="17" t="str">
        <f>IF(VLOOKUP(BQ227,Fundamentus!A:U,20,FALSE)&lt;0.5,"Baixa",IF(VLOOKUP(BQ227,Fundamentus!A:U,20,FALSE)&lt;1,"Moderada",IF(VLOOKUP(BQ227,Fundamentus!A:U,20,FALSE)&lt;2,"Alerta",IF(VLOOKUP(BQ227,Fundamentus!A:U,20,FALSE)&gt;2,"Alta","n/a"))))</f>
        <v>Moderada</v>
      </c>
    </row>
    <row r="228" spans="1:156" s="2" customFormat="1" ht="11.25" hidden="1" x14ac:dyDescent="0.2">
      <c r="A228" s="4">
        <v>3.62</v>
      </c>
      <c r="B228" s="4">
        <v>3.57</v>
      </c>
      <c r="C228" s="4">
        <v>3.48</v>
      </c>
      <c r="D228" s="4">
        <v>3.41</v>
      </c>
      <c r="E228" s="4">
        <v>3.24</v>
      </c>
      <c r="F228" s="4">
        <v>3.35</v>
      </c>
      <c r="G228" s="4">
        <v>3.25</v>
      </c>
      <c r="H228" s="4">
        <v>3.08</v>
      </c>
      <c r="I228" s="4">
        <v>3.06</v>
      </c>
      <c r="J228" s="4">
        <v>3.08</v>
      </c>
      <c r="K228" s="4">
        <v>3.12</v>
      </c>
      <c r="L228" s="4">
        <v>3.14</v>
      </c>
      <c r="M228" s="4">
        <v>3.1</v>
      </c>
      <c r="N228" s="4">
        <v>3.23</v>
      </c>
      <c r="O228" s="4">
        <v>3.04</v>
      </c>
      <c r="P228" s="4">
        <v>3.14</v>
      </c>
      <c r="Q228" s="4">
        <v>3.27</v>
      </c>
      <c r="R228" s="4">
        <v>3.3</v>
      </c>
      <c r="S228" s="4">
        <v>3.26</v>
      </c>
      <c r="T228" s="4">
        <v>3.12</v>
      </c>
      <c r="U228" s="4">
        <v>3.18</v>
      </c>
      <c r="V228" s="4">
        <v>3.11</v>
      </c>
      <c r="W228" s="4">
        <v>3.1</v>
      </c>
      <c r="X228" s="4">
        <v>3.18</v>
      </c>
      <c r="Y228" s="4">
        <v>3.08</v>
      </c>
      <c r="Z228" s="4">
        <v>3.08</v>
      </c>
      <c r="AA228" s="4">
        <v>3.02</v>
      </c>
      <c r="AB228" s="4">
        <v>2.8</v>
      </c>
      <c r="AC228" s="4">
        <v>2.78</v>
      </c>
      <c r="AD228" s="4">
        <v>2.79</v>
      </c>
      <c r="AE228" s="4">
        <v>2.56</v>
      </c>
      <c r="AF228" s="4">
        <v>2.44</v>
      </c>
      <c r="AG228" s="4">
        <v>2.31</v>
      </c>
      <c r="AH228" s="4">
        <v>2.15</v>
      </c>
      <c r="AI228" s="4">
        <v>2.1</v>
      </c>
      <c r="AJ228" s="4">
        <v>2.12</v>
      </c>
      <c r="AK228" s="4">
        <v>2.27</v>
      </c>
      <c r="AL228" s="4">
        <v>2.33</v>
      </c>
      <c r="AM228" s="4">
        <v>2.29</v>
      </c>
      <c r="AN228" s="4">
        <v>2.25</v>
      </c>
      <c r="AO228" s="4">
        <v>2.56</v>
      </c>
      <c r="AP228" s="4">
        <v>2.46</v>
      </c>
      <c r="AQ228" s="4">
        <v>2.64</v>
      </c>
      <c r="AR228" s="4">
        <v>2.4900000000000002</v>
      </c>
      <c r="AS228" s="4">
        <v>2.63</v>
      </c>
      <c r="AT228" s="4">
        <v>2.7</v>
      </c>
      <c r="AU228" s="4">
        <v>2.56</v>
      </c>
      <c r="AV228" s="4">
        <v>2.67</v>
      </c>
      <c r="AW228" s="4">
        <v>2.48</v>
      </c>
      <c r="AX228" s="4">
        <v>2.61</v>
      </c>
      <c r="AY228" s="12">
        <v>2.58</v>
      </c>
      <c r="AZ228" s="12">
        <v>2.68</v>
      </c>
      <c r="BA228" s="12">
        <v>3</v>
      </c>
      <c r="BB228" s="15">
        <v>2.94</v>
      </c>
      <c r="BC228" s="52">
        <v>2.83</v>
      </c>
      <c r="BD228" s="52">
        <v>2.59</v>
      </c>
      <c r="BE228" s="52">
        <v>2.69</v>
      </c>
      <c r="BF228" s="52">
        <v>2.71</v>
      </c>
      <c r="BG228" s="67">
        <v>2.52</v>
      </c>
      <c r="BH228" s="52">
        <v>2.48</v>
      </c>
      <c r="BI228" s="52">
        <v>2.4700000000000002</v>
      </c>
      <c r="BJ228" s="52">
        <v>2.39</v>
      </c>
      <c r="BK228" s="52">
        <v>2.3199999999999998</v>
      </c>
      <c r="BL228" s="52">
        <v>2.31</v>
      </c>
      <c r="BM228" s="52">
        <v>2.29</v>
      </c>
      <c r="BN228" s="52">
        <v>2.23</v>
      </c>
      <c r="BO228" s="52">
        <v>2.2200000000000002</v>
      </c>
      <c r="BP228" s="52" cm="1">
        <f t="array" aca="1" ref="BP228" ca="1">_FV(ED228,"Preço")</f>
        <v>2.1</v>
      </c>
      <c r="BQ228" s="69" t="s">
        <v>224</v>
      </c>
      <c r="BR228" s="36" cm="1">
        <f t="array" aca="1" ref="BR228" ca="1">_FV(ED228,"Média de volume",TRUE)</f>
        <v>2140</v>
      </c>
      <c r="BS228" s="36">
        <v>1000</v>
      </c>
      <c r="BT228" s="36" cm="1">
        <f t="array" aca="1" ref="BT228" ca="1">_FV(ED228,"Volume")</f>
        <v>3000</v>
      </c>
      <c r="BU228" s="24" cm="1">
        <f t="array" aca="1" ref="BU228" ca="1">_FV(ED228,"Beta")</f>
        <v>0.66579999999999995</v>
      </c>
      <c r="BV228" s="71" cm="1">
        <f t="array" aca="1" ref="BV228" ca="1">_FV(ED228,"Variação (%)",TRUE)</f>
        <v>-4.7390000000000002E-3</v>
      </c>
      <c r="BX228" s="17" cm="1">
        <f t="array" aca="1" ref="BX228" ca="1">_FV(ED228,"Baixo")</f>
        <v>2.1</v>
      </c>
      <c r="BY228" s="17" cm="1">
        <f t="array" aca="1" ref="BY228" ca="1">_FV(ED228,"Alto")</f>
        <v>2.14</v>
      </c>
      <c r="BZ228" s="24"/>
      <c r="CA228" s="63" t="e">
        <f ca="1">SQRT(22.5*(BP228/VLOOKUP(BQ228,Fundamentus!A:U,3,FALSE))*(BP228/VLOOKUP(BQ228,Fundamentus!A:U,4,FALSE)))</f>
        <v>#NUM!</v>
      </c>
      <c r="CC228" s="62">
        <f t="shared" ca="1" si="241"/>
        <v>-5.4054054054054099E-2</v>
      </c>
      <c r="CD228" s="8"/>
      <c r="CE228" s="61">
        <f t="shared" si="242"/>
        <v>2.1</v>
      </c>
      <c r="CF228" s="61">
        <f t="shared" si="243"/>
        <v>3.62</v>
      </c>
      <c r="CG228" s="61">
        <f t="shared" si="244"/>
        <v>2.7888059701492538</v>
      </c>
      <c r="CH228" s="14"/>
      <c r="CI228" s="35">
        <f t="shared" si="227"/>
        <v>2.0974409302378056</v>
      </c>
      <c r="CJ228" s="15">
        <f t="shared" si="245"/>
        <v>2.1800000000000068</v>
      </c>
      <c r="CK228" s="35">
        <f t="shared" si="228"/>
        <v>2.262559069762208</v>
      </c>
      <c r="CM228" s="14"/>
      <c r="CN228" s="17">
        <f t="shared" si="229"/>
        <v>0.15333333333333377</v>
      </c>
      <c r="CO228" s="17">
        <f t="shared" si="230"/>
        <v>1.1266666666666669</v>
      </c>
      <c r="CP228" s="17">
        <f t="shared" si="231"/>
        <v>1.6733333333333338</v>
      </c>
      <c r="CQ228" s="38">
        <f t="shared" si="246"/>
        <v>2.6466666666666669</v>
      </c>
      <c r="CR228" s="17">
        <f t="shared" si="232"/>
        <v>3.1933333333333338</v>
      </c>
      <c r="CS228" s="17">
        <f t="shared" si="233"/>
        <v>4.166666666666667</v>
      </c>
      <c r="CT228" s="17">
        <f t="shared" si="234"/>
        <v>4.7133333333333338</v>
      </c>
      <c r="CU228" s="2" cm="1">
        <f t="array" aca="1" ref="CU228" ca="1">MAX(_xlfn._xlws.FILTER(CN228:CT228,CN228:CT228&lt;BP228))</f>
        <v>1.6733333333333338</v>
      </c>
      <c r="CV228" s="2" cm="1">
        <f t="array" aca="1" ref="CV228" ca="1">MIN(_xlfn._xlws.FILTER($CN228:$CT228,$CN228:$CT228&gt;BP228))</f>
        <v>2.6466666666666669</v>
      </c>
      <c r="CW228" s="16">
        <f t="shared" ca="1" si="248"/>
        <v>0.58167330677290807</v>
      </c>
      <c r="CX228" s="20">
        <f t="shared" ca="1" si="249"/>
        <v>-0.29083665338645404</v>
      </c>
      <c r="CY228" s="20">
        <f t="shared" ca="1" si="250"/>
        <v>-0.19389110225763603</v>
      </c>
      <c r="CZ228" s="20">
        <f t="shared" ca="1" si="251"/>
        <v>-0.11633466135458162</v>
      </c>
      <c r="DA228" s="20">
        <f t="shared" ca="1" si="252"/>
        <v>-6.4630367419212006E-2</v>
      </c>
      <c r="DB228" s="20">
        <f t="shared" ca="1" si="253"/>
        <v>-3.421607686899459E-2</v>
      </c>
      <c r="DC228" s="20">
        <f t="shared" ca="1" si="254"/>
        <v>-1.7626463841603275E-2</v>
      </c>
      <c r="DD228" s="20">
        <f t="shared" ca="1" si="255"/>
        <v>-8.9488201041985852E-3</v>
      </c>
      <c r="DE228" s="21">
        <f t="shared" ca="1" si="256"/>
        <v>8.9488201041985852E-3</v>
      </c>
      <c r="DF228" s="21">
        <f t="shared" ca="1" si="257"/>
        <v>1.7626463841603275E-2</v>
      </c>
      <c r="DG228" s="21">
        <f t="shared" ca="1" si="258"/>
        <v>3.421607686899459E-2</v>
      </c>
      <c r="DH228" s="21">
        <f t="shared" ca="1" si="259"/>
        <v>6.4630367419212006E-2</v>
      </c>
      <c r="DI228" s="21">
        <f t="shared" ca="1" si="260"/>
        <v>0.11633466135458162</v>
      </c>
      <c r="DJ228" s="21">
        <f t="shared" ca="1" si="261"/>
        <v>0.19389110225763603</v>
      </c>
      <c r="DK228" s="21">
        <f t="shared" ca="1" si="262"/>
        <v>0.29083665338645404</v>
      </c>
      <c r="DM228" s="16" cm="1">
        <f t="array" aca="1" ref="DM228" ca="1">MAX(_xlfn._xlws.FILTER(CX228:DK228,CX228:DK228&lt;BV228))</f>
        <v>-8.9488201041985852E-3</v>
      </c>
      <c r="DN228" s="16" cm="1">
        <f t="array" aca="1" ref="DN228" ca="1">MIN(_xlfn._xlws.FILTER(CX228:DK228,CX228:DK228&gt;BV228))</f>
        <v>8.9488201041985852E-3</v>
      </c>
      <c r="DO228" s="2" cm="1">
        <f t="array" aca="1" ref="DO228" ca="1">_FV(ED228,"Fechamento anterior",TRUE)</f>
        <v>2.11</v>
      </c>
      <c r="DP228" s="28">
        <f t="shared" ca="1" si="235"/>
        <v>0.23519768876193226</v>
      </c>
      <c r="DQ228" s="15">
        <f t="shared" ca="1" si="263"/>
        <v>2.0911179895801411</v>
      </c>
      <c r="DR228" s="15">
        <f t="shared" ca="1" si="264"/>
        <v>2.1288820104198587</v>
      </c>
      <c r="DS228" s="9"/>
      <c r="DT228" s="9"/>
      <c r="DU228" s="9"/>
      <c r="DV228" s="89">
        <v>8.6776437374046899E-3</v>
      </c>
      <c r="DW228" s="89">
        <f t="shared" ca="1" si="236"/>
        <v>1.789764020839717E-2</v>
      </c>
      <c r="DX228" s="72">
        <f t="shared" ca="1" si="237"/>
        <v>-0.96900316622310001</v>
      </c>
      <c r="DY228" s="37"/>
      <c r="DZ228" s="35">
        <f t="shared" si="247"/>
        <v>4.1279534881100519E-2</v>
      </c>
      <c r="EA228" s="56"/>
      <c r="EB228" s="56"/>
      <c r="ED228" s="2" t="e" vm="230">
        <v>#VALUE!</v>
      </c>
      <c r="EF228" s="10" cm="1">
        <f t="array" aca="1" ref="EF228" ca="1">_FV(ED228,"Ações em circulação",TRUE)</f>
        <v>43769810</v>
      </c>
      <c r="EG228" s="18">
        <f>VLOOKUP(BQ228,Fundamentus!A:U,5,FALSE)</f>
        <v>0.20799999999999999</v>
      </c>
      <c r="EH228" s="2">
        <f t="shared" ca="1" si="238"/>
        <v>441906735.57692307</v>
      </c>
      <c r="EI228" s="17">
        <v>-129262770.51894231</v>
      </c>
      <c r="EJ228" s="17">
        <f t="shared" ca="1" si="239"/>
        <v>-122275593.73413461</v>
      </c>
      <c r="EL228" s="16">
        <f t="shared" ca="1" si="226"/>
        <v>-5.4054054054054057E-2</v>
      </c>
      <c r="EM228" s="32" t="str">
        <f>IF(VLOOKUP(BQ228,Fundamentus!A:U,3,FALSE)&lt;15,"Bom",IF(VLOOKUP(BQ228,Fundamentus!A:U,3,FALSE)&gt;15,"Ruim","n/a"))</f>
        <v>Bom</v>
      </c>
      <c r="EN228" s="28" t="str">
        <f>IF(VLOOKUP(BQ228,Fundamentus!A:U,4,FALSE)&lt;1,"Baixo",IF(VLOOKUP(BQ228,Fundamentus!A:U,4,FALSE)&lt;1.5,"Moderado",IF(VLOOKUP(BQ228,Fundamentus!A:U,4,FALSE)&gt;1.5,"Alto","n/a")))</f>
        <v>Baixo</v>
      </c>
      <c r="EO228" s="17" t="str">
        <f>IF(VLOOKUP(BQ228,Fundamentus!A:U,8,FALSE)&lt;0,"Risco elevado",IF(VLOOKUP(BQ228,Fundamentus!A:U,8,FALSE)&lt;1,"Saudável",IF(VLOOKUP(BQ228,Fundamentus!A:U,8,FALSE)&lt;3,"Estável",IF(VLOOKUP(BQ228,Fundamentus!A:U,8,FALSE)&gt;3,"Alerta","n/a"))))</f>
        <v>Saudável</v>
      </c>
      <c r="EP228" s="28" t="str">
        <f t="shared" si="240"/>
        <v>Ruim</v>
      </c>
      <c r="EQ228" s="17" t="str">
        <f>IF(VLOOKUP(BQ228,Fundamentus!A:U,12,FALSE)&lt;2,"Subvalorizada",IF(VLOOKUP(BQ228,Fundamentus!A:U,12,FALSE)&lt;6,"Muita barata",IF(VLOOKUP(BQ228,Fundamentus!A:U,12,FALSE)&lt;6,"Barata",IF(VLOOKUP(BQ228,Fundamentus!A:U,12,FALSE)&lt;8,"Atrativa",IF(VLOOKUP(BQ228,Fundamentus!A:U,12,FALSE)&gt;8,"Supervalorizada","n/a")))))</f>
        <v>Subvalorizada</v>
      </c>
      <c r="ES228" s="17" t="str">
        <f>IF(VLOOKUP(BQ228,Fundamentus!A:U,17,FALSE)&lt;0.1,"Fraco retorno",IF(VLOOKUP(BQ228,Fundamentus!A:U,17,FALSE)&gt;0.1,"Bom retorno","n/a"))</f>
        <v>Fraco retorno</v>
      </c>
      <c r="ET228" s="17" t="str">
        <f>IF(VLOOKUP(BQ228,Fundamentus!A:U,16,FALSE)&lt;0.1,"Ineficiente",IF(VLOOKUP(BQ228,Fundamentus!A:U,16,FALSE)&gt;0.1,"Eficiente","n/a"))</f>
        <v>Ineficiente</v>
      </c>
      <c r="EU228" s="33" t="str">
        <f>IF(VLOOKUP(BQ228,Fundamentus!A:U,16,FALSE)&lt;0.1,"Oper. Ineficiente",IF(VLOOKUP(BQ228,Fundamentus!A:U,16,FALSE)&gt;0.1,"Oper.Eficiente","n/a"))</f>
        <v>Oper. Ineficiente</v>
      </c>
      <c r="EV228" s="34">
        <f>VLOOKUP(BQ228,Fundamentus!A:U,14,FALSE)</f>
        <v>-0.2767</v>
      </c>
      <c r="EW228" s="17" t="str">
        <f>IF(VLOOKUP(BQ228,Fundamentus!A:U,21,FALSE)&lt;0,"Negativo",IF(VLOOKUP(BQ228,Fundamentus!A:U,21,FALSE)&lt;0.05,"Fraco",IF(VLOOKUP(BQ228,Fundamentus!A:U,21,FALSE)&lt;0.1,"Bom",IF(VLOOKUP(BQ228,Fundamentus!A:U,21,FALSE)&gt;0.1,"Muito bom","n/a"))))</f>
        <v>Fraco</v>
      </c>
      <c r="EY228" s="29" t="str">
        <f>IF(VLOOKUP(BQ228,Fundamentus!A:U,15,FALSE)&gt;1,"Bom",IF(VLOOKUP(BQ228,Fundamentus!A:U,15,FALSE)&lt;1,"Ruim","n/a"))</f>
        <v>Bom</v>
      </c>
      <c r="EZ228" s="17" t="str">
        <f>IF(VLOOKUP(BQ228,Fundamentus!A:U,20,FALSE)&lt;0.5,"Baixa",IF(VLOOKUP(BQ228,Fundamentus!A:U,20,FALSE)&lt;1,"Moderada",IF(VLOOKUP(BQ228,Fundamentus!A:U,20,FALSE)&lt;2,"Alerta",IF(VLOOKUP(BQ228,Fundamentus!A:U,20,FALSE)&gt;2,"Alta","n/a"))))</f>
        <v>Alta</v>
      </c>
    </row>
    <row r="229" spans="1:156" s="2" customFormat="1" ht="11.25" hidden="1" x14ac:dyDescent="0.2">
      <c r="A229" s="4">
        <v>3.39</v>
      </c>
      <c r="B229" s="4">
        <v>3.13</v>
      </c>
      <c r="C229" s="4">
        <v>3.11</v>
      </c>
      <c r="D229" s="4">
        <v>3.01</v>
      </c>
      <c r="E229" s="4">
        <v>2.87</v>
      </c>
      <c r="F229" s="4">
        <v>2.88</v>
      </c>
      <c r="G229" s="4">
        <v>3.03</v>
      </c>
      <c r="H229" s="4">
        <v>2.92</v>
      </c>
      <c r="I229" s="4">
        <v>2.69</v>
      </c>
      <c r="J229" s="4">
        <v>3.15</v>
      </c>
      <c r="K229" s="4">
        <v>3.36</v>
      </c>
      <c r="L229" s="4">
        <v>2.91</v>
      </c>
      <c r="M229" s="4">
        <v>2.86</v>
      </c>
      <c r="N229" s="4">
        <v>2.67</v>
      </c>
      <c r="O229" s="4">
        <v>3.13</v>
      </c>
      <c r="P229" s="4">
        <v>3.19</v>
      </c>
      <c r="Q229" s="4">
        <v>3.21</v>
      </c>
      <c r="R229" s="4">
        <v>3.13</v>
      </c>
      <c r="S229" s="4">
        <v>3.05</v>
      </c>
      <c r="T229" s="4">
        <v>3.04</v>
      </c>
      <c r="U229" s="4">
        <v>2.88</v>
      </c>
      <c r="V229" s="4">
        <v>2.85</v>
      </c>
      <c r="W229" s="4">
        <v>2.83</v>
      </c>
      <c r="X229" s="4">
        <v>3.27</v>
      </c>
      <c r="Y229" s="4">
        <v>3.15</v>
      </c>
      <c r="Z229" s="4">
        <v>3.17</v>
      </c>
      <c r="AA229" s="4">
        <v>2.93</v>
      </c>
      <c r="AB229" s="4">
        <v>2.93</v>
      </c>
      <c r="AC229" s="4">
        <v>2.8</v>
      </c>
      <c r="AD229" s="4">
        <v>2.71</v>
      </c>
      <c r="AE229" s="4">
        <v>2.64</v>
      </c>
      <c r="AF229" s="4">
        <v>2.37</v>
      </c>
      <c r="AG229" s="4">
        <v>2.37</v>
      </c>
      <c r="AH229" s="4">
        <v>2.4300000000000002</v>
      </c>
      <c r="AI229" s="4">
        <v>2.59</v>
      </c>
      <c r="AJ229" s="4">
        <v>2.65</v>
      </c>
      <c r="AK229" s="4">
        <v>2.76</v>
      </c>
      <c r="AL229" s="4">
        <v>2.7</v>
      </c>
      <c r="AM229" s="4">
        <v>2.67</v>
      </c>
      <c r="AN229" s="4">
        <v>2.7</v>
      </c>
      <c r="AO229" s="4">
        <v>2.66</v>
      </c>
      <c r="AP229" s="4">
        <v>3.13</v>
      </c>
      <c r="AQ229" s="4">
        <v>2.71</v>
      </c>
      <c r="AR229" s="4">
        <v>2.5299999999999998</v>
      </c>
      <c r="AS229" s="4">
        <v>2.4900000000000002</v>
      </c>
      <c r="AT229" s="4">
        <v>2.4</v>
      </c>
      <c r="AU229" s="4">
        <v>2.5350000000000001</v>
      </c>
      <c r="AV229" s="4">
        <v>2.72</v>
      </c>
      <c r="AW229" s="4">
        <v>3.23</v>
      </c>
      <c r="AX229" s="4">
        <v>3.81</v>
      </c>
      <c r="AY229" s="12">
        <v>3.75</v>
      </c>
      <c r="AZ229" s="12">
        <v>4.4000000000000004</v>
      </c>
      <c r="BA229" s="12">
        <v>4.2300000000000004</v>
      </c>
      <c r="BB229" s="15">
        <v>3.11</v>
      </c>
      <c r="BC229" s="52">
        <v>3.37</v>
      </c>
      <c r="BD229" s="52">
        <v>3.09</v>
      </c>
      <c r="BE229" s="52">
        <v>3.01</v>
      </c>
      <c r="BF229" s="52">
        <v>3.06</v>
      </c>
      <c r="BG229" s="67">
        <v>3.05</v>
      </c>
      <c r="BH229" s="52">
        <v>3.05</v>
      </c>
      <c r="BI229" s="52">
        <v>3.05</v>
      </c>
      <c r="BJ229" s="52">
        <v>3.22</v>
      </c>
      <c r="BK229" s="52">
        <v>3.21</v>
      </c>
      <c r="BL229" s="52">
        <v>3.62</v>
      </c>
      <c r="BM229" s="52">
        <v>3.5</v>
      </c>
      <c r="BN229" s="52">
        <v>3.49</v>
      </c>
      <c r="BO229" s="52">
        <v>3.1</v>
      </c>
      <c r="BP229" s="52" cm="1">
        <f t="array" aca="1" ref="BP229" ca="1">_FV(ED229,"Preço")</f>
        <v>2.85</v>
      </c>
      <c r="BQ229" s="69" t="s">
        <v>225</v>
      </c>
      <c r="BR229" s="36" cm="1">
        <f t="array" aca="1" ref="BR229" ca="1">_FV(ED229,"Média de volume",TRUE)</f>
        <v>13009160</v>
      </c>
      <c r="BS229" s="36">
        <v>8435500</v>
      </c>
      <c r="BT229" s="36" cm="1">
        <f t="array" aca="1" ref="BT229" ca="1">_FV(ED229,"Volume")</f>
        <v>20299200</v>
      </c>
      <c r="BU229" s="24" cm="1">
        <f t="array" aca="1" ref="BU229" ca="1">_FV(ED229,"Beta")</f>
        <v>1.9482999999999999</v>
      </c>
      <c r="BV229" s="71" cm="1">
        <f t="array" aca="1" ref="BV229" ca="1">_FV(ED229,"Variação (%)",TRUE)</f>
        <v>6.7416000000000004E-2</v>
      </c>
      <c r="BX229" s="17" cm="1">
        <f t="array" aca="1" ref="BX229" ca="1">_FV(ED229,"Baixo")</f>
        <v>2.61</v>
      </c>
      <c r="BY229" s="17" cm="1">
        <f t="array" aca="1" ref="BY229" ca="1">_FV(ED229,"Alto")</f>
        <v>2.87</v>
      </c>
      <c r="BZ229" s="24"/>
      <c r="CA229" s="63" t="e">
        <f ca="1">SQRT(22.5*(BP229/VLOOKUP(BQ229,Fundamentus!A:U,3,FALSE))*(BP229/VLOOKUP(BQ229,Fundamentus!A:U,4,FALSE)))</f>
        <v>#NUM!</v>
      </c>
      <c r="CC229" s="62">
        <f t="shared" ca="1" si="241"/>
        <v>-8.0645161290322578E-2</v>
      </c>
      <c r="CD229" s="8"/>
      <c r="CE229" s="61">
        <f t="shared" si="242"/>
        <v>2.37</v>
      </c>
      <c r="CF229" s="61">
        <f t="shared" si="243"/>
        <v>4.4000000000000004</v>
      </c>
      <c r="CG229" s="61">
        <f t="shared" si="244"/>
        <v>3.0097761194029862</v>
      </c>
      <c r="CH229" s="14"/>
      <c r="CI229" s="35">
        <f t="shared" si="227"/>
        <v>2.6437762788378802</v>
      </c>
      <c r="CJ229" s="15">
        <f t="shared" si="245"/>
        <v>3.0350000000000819</v>
      </c>
      <c r="CK229" s="35">
        <f t="shared" si="228"/>
        <v>3.4262237211622835</v>
      </c>
      <c r="CM229" s="14"/>
      <c r="CN229" s="17">
        <f t="shared" si="229"/>
        <v>0.15000000000000036</v>
      </c>
      <c r="CO229" s="17">
        <f t="shared" si="230"/>
        <v>1.2600000000000002</v>
      </c>
      <c r="CP229" s="17">
        <f t="shared" si="231"/>
        <v>2.1800000000000006</v>
      </c>
      <c r="CQ229" s="38">
        <f t="shared" si="246"/>
        <v>3.2900000000000005</v>
      </c>
      <c r="CR229" s="17">
        <f t="shared" si="232"/>
        <v>4.2100000000000009</v>
      </c>
      <c r="CS229" s="17">
        <f t="shared" si="233"/>
        <v>5.32</v>
      </c>
      <c r="CT229" s="17">
        <f t="shared" si="234"/>
        <v>6.2400000000000011</v>
      </c>
      <c r="CU229" s="2" cm="1">
        <f t="array" aca="1" ref="CU229" ca="1">MAX(_xlfn._xlws.FILTER(CN229:CT229,CN229:CT229&lt;BP229))</f>
        <v>2.1800000000000006</v>
      </c>
      <c r="CV229" s="2" cm="1">
        <f t="array" aca="1" ref="CV229" ca="1">MIN(_xlfn._xlws.FILTER($CN229:$CT229,$CN229:$CT229&gt;BP229))</f>
        <v>3.2900000000000005</v>
      </c>
      <c r="CW229" s="16">
        <f t="shared" ca="1" si="248"/>
        <v>0.50917431192660523</v>
      </c>
      <c r="CX229" s="20">
        <f t="shared" ca="1" si="249"/>
        <v>-0.25458715596330261</v>
      </c>
      <c r="CY229" s="20">
        <f t="shared" ca="1" si="250"/>
        <v>-0.16972477064220173</v>
      </c>
      <c r="CZ229" s="20">
        <f t="shared" ca="1" si="251"/>
        <v>-0.10183486238532105</v>
      </c>
      <c r="DA229" s="20">
        <f t="shared" ca="1" si="252"/>
        <v>-5.6574923547400582E-2</v>
      </c>
      <c r="DB229" s="20">
        <f t="shared" ca="1" si="253"/>
        <v>-2.9951430113329718E-2</v>
      </c>
      <c r="DC229" s="20">
        <f t="shared" ca="1" si="254"/>
        <v>-1.5429524603836522E-2</v>
      </c>
      <c r="DD229" s="20">
        <f t="shared" ca="1" si="255"/>
        <v>-7.833450952717003E-3</v>
      </c>
      <c r="DE229" s="21">
        <f t="shared" ca="1" si="256"/>
        <v>7.833450952717003E-3</v>
      </c>
      <c r="DF229" s="21">
        <f t="shared" ca="1" si="257"/>
        <v>1.5429524603836522E-2</v>
      </c>
      <c r="DG229" s="21">
        <f t="shared" ca="1" si="258"/>
        <v>2.9951430113329718E-2</v>
      </c>
      <c r="DH229" s="21">
        <f t="shared" ca="1" si="259"/>
        <v>5.6574923547400582E-2</v>
      </c>
      <c r="DI229" s="21">
        <f t="shared" ca="1" si="260"/>
        <v>0.10183486238532105</v>
      </c>
      <c r="DJ229" s="21">
        <f t="shared" ca="1" si="261"/>
        <v>0.16972477064220173</v>
      </c>
      <c r="DK229" s="21">
        <f t="shared" ca="1" si="262"/>
        <v>0.25458715596330261</v>
      </c>
      <c r="DM229" s="16" cm="1">
        <f t="array" aca="1" ref="DM229" ca="1">MAX(_xlfn._xlws.FILTER(CX229:DK229,CX229:DK229&lt;BV229))</f>
        <v>5.6574923547400582E-2</v>
      </c>
      <c r="DN229" s="16" cm="1">
        <f t="array" aca="1" ref="DN229" ca="1">MIN(_xlfn._xlws.FILTER(CX229:DK229,CX229:DK229&gt;BV229))</f>
        <v>0.10183486238532105</v>
      </c>
      <c r="DO229" s="2" cm="1">
        <f t="array" aca="1" ref="DO229" ca="1">_FV(ED229,"Fechamento anterior",TRUE)</f>
        <v>2.67</v>
      </c>
      <c r="DP229" s="28">
        <f t="shared" ca="1" si="235"/>
        <v>0.23952323109626791</v>
      </c>
      <c r="DQ229" s="15">
        <f t="shared" ca="1" si="263"/>
        <v>2.8210550458715593</v>
      </c>
      <c r="DR229" s="15">
        <f t="shared" ca="1" si="264"/>
        <v>2.9418990825688072</v>
      </c>
      <c r="DS229" s="9"/>
      <c r="DT229" s="9"/>
      <c r="DU229" s="9"/>
      <c r="DV229" s="89">
        <v>1.4521905509493196E-2</v>
      </c>
      <c r="DW229" s="89">
        <f t="shared" ca="1" si="236"/>
        <v>4.5259938837920469E-2</v>
      </c>
      <c r="DX229" s="72">
        <f t="shared" ca="1" si="237"/>
        <v>-0.47287521178548536</v>
      </c>
      <c r="DY229" s="37"/>
      <c r="DZ229" s="35">
        <f t="shared" si="247"/>
        <v>0.19561186058110078</v>
      </c>
      <c r="EA229" s="56"/>
      <c r="EB229" s="56"/>
      <c r="ED229" s="2" t="e" vm="231">
        <v>#VALUE!</v>
      </c>
      <c r="EF229" s="10" cm="1">
        <f t="array" aca="1" ref="EF229" ca="1">_FV(ED229,"Ações em circulação",TRUE)</f>
        <v>490392000</v>
      </c>
      <c r="EG229" s="18">
        <f>VLOOKUP(BQ229,Fundamentus!A:U,5,FALSE)</f>
        <v>8.8999999999999996E-2</v>
      </c>
      <c r="EH229" s="2">
        <f t="shared" ca="1" si="238"/>
        <v>15703564044.943821</v>
      </c>
      <c r="EI229" s="17">
        <v>-1721771822.0224719</v>
      </c>
      <c r="EJ229" s="17">
        <f t="shared" ca="1" si="239"/>
        <v>-1582919255.7303371</v>
      </c>
      <c r="EL229" s="16">
        <f t="shared" ca="1" si="226"/>
        <v>-8.0645161290322509E-2</v>
      </c>
      <c r="EM229" s="32" t="str">
        <f>IF(VLOOKUP(BQ229,Fundamentus!A:U,3,FALSE)&lt;15,"Bom",IF(VLOOKUP(BQ229,Fundamentus!A:U,3,FALSE)&gt;15,"Ruim","n/a"))</f>
        <v>Bom</v>
      </c>
      <c r="EN229" s="28" t="str">
        <f>IF(VLOOKUP(BQ229,Fundamentus!A:U,4,FALSE)&lt;1,"Baixo",IF(VLOOKUP(BQ229,Fundamentus!A:U,4,FALSE)&lt;1.5,"Moderado",IF(VLOOKUP(BQ229,Fundamentus!A:U,4,FALSE)&gt;1.5,"Alto","n/a")))</f>
        <v>Baixo</v>
      </c>
      <c r="EO229" s="17" t="str">
        <f>IF(VLOOKUP(BQ229,Fundamentus!A:U,8,FALSE)&lt;0,"Risco elevado",IF(VLOOKUP(BQ229,Fundamentus!A:U,8,FALSE)&lt;1,"Saudável",IF(VLOOKUP(BQ229,Fundamentus!A:U,8,FALSE)&lt;3,"Estável",IF(VLOOKUP(BQ229,Fundamentus!A:U,8,FALSE)&gt;3,"Alerta","n/a"))))</f>
        <v>Risco elevado</v>
      </c>
      <c r="EP229" s="28" t="str">
        <f t="shared" si="240"/>
        <v>Ruim</v>
      </c>
      <c r="EQ229" s="17" t="str">
        <f>IF(VLOOKUP(BQ229,Fundamentus!A:U,12,FALSE)&lt;2,"Subvalorizada",IF(VLOOKUP(BQ229,Fundamentus!A:U,12,FALSE)&lt;6,"Muita barata",IF(VLOOKUP(BQ229,Fundamentus!A:U,12,FALSE)&lt;6,"Barata",IF(VLOOKUP(BQ229,Fundamentus!A:U,12,FALSE)&lt;8,"Atrativa",IF(VLOOKUP(BQ229,Fundamentus!A:U,12,FALSE)&gt;8,"Supervalorizada","n/a")))))</f>
        <v>Subvalorizada</v>
      </c>
      <c r="ES229" s="17" t="str">
        <f>IF(VLOOKUP(BQ229,Fundamentus!A:U,17,FALSE)&lt;0.1,"Fraco retorno",IF(VLOOKUP(BQ229,Fundamentus!A:U,17,FALSE)&gt;0.1,"Bom retorno","n/a"))</f>
        <v>Fraco retorno</v>
      </c>
      <c r="ET229" s="17" t="str">
        <f>IF(VLOOKUP(BQ229,Fundamentus!A:U,16,FALSE)&lt;0.1,"Ineficiente",IF(VLOOKUP(BQ229,Fundamentus!A:U,16,FALSE)&gt;0.1,"Eficiente","n/a"))</f>
        <v>Eficiente</v>
      </c>
      <c r="EU229" s="33" t="str">
        <f>IF(VLOOKUP(BQ229,Fundamentus!A:U,16,FALSE)&lt;0.1,"Oper. Ineficiente",IF(VLOOKUP(BQ229,Fundamentus!A:U,16,FALSE)&gt;0.1,"Oper.Eficiente","n/a"))</f>
        <v>Oper.Eficiente</v>
      </c>
      <c r="EV229" s="34">
        <f>VLOOKUP(BQ229,Fundamentus!A:U,14,FALSE)</f>
        <v>-0.1008</v>
      </c>
      <c r="EW229" s="17" t="str">
        <f>IF(VLOOKUP(BQ229,Fundamentus!A:U,21,FALSE)&lt;0,"Negativo",IF(VLOOKUP(BQ229,Fundamentus!A:U,21,FALSE)&lt;0.05,"Fraco",IF(VLOOKUP(BQ229,Fundamentus!A:U,21,FALSE)&lt;0.1,"Bom",IF(VLOOKUP(BQ229,Fundamentus!A:U,21,FALSE)&gt;0.1,"Muito bom","n/a"))))</f>
        <v>Negativo</v>
      </c>
      <c r="EY229" s="29" t="str">
        <f>IF(VLOOKUP(BQ229,Fundamentus!A:U,15,FALSE)&gt;1,"Bom",IF(VLOOKUP(BQ229,Fundamentus!A:U,15,FALSE)&lt;1,"Ruim","n/a"))</f>
        <v>Ruim</v>
      </c>
      <c r="EZ229" s="17" t="str">
        <f>IF(VLOOKUP(BQ229,Fundamentus!A:U,20,FALSE)&lt;0.5,"Baixa",IF(VLOOKUP(BQ229,Fundamentus!A:U,20,FALSE)&lt;1,"Moderada",IF(VLOOKUP(BQ229,Fundamentus!A:U,20,FALSE)&lt;2,"Alerta",IF(VLOOKUP(BQ229,Fundamentus!A:U,20,FALSE)&gt;2,"Alta","n/a"))))</f>
        <v>Alerta</v>
      </c>
    </row>
    <row r="230" spans="1:156" s="2" customFormat="1" ht="11.25" hidden="1" x14ac:dyDescent="0.2">
      <c r="A230" s="4">
        <v>4.6500000000000004</v>
      </c>
      <c r="B230" s="4">
        <v>4.7</v>
      </c>
      <c r="C230" s="4">
        <v>5.88</v>
      </c>
      <c r="D230" s="4">
        <v>5.34</v>
      </c>
      <c r="E230" s="4">
        <v>5.3</v>
      </c>
      <c r="F230" s="4">
        <v>5.38</v>
      </c>
      <c r="G230" s="4">
        <v>5.86</v>
      </c>
      <c r="H230" s="4">
        <v>5.38</v>
      </c>
      <c r="I230" s="4">
        <v>5.88</v>
      </c>
      <c r="J230" s="4">
        <v>6.19</v>
      </c>
      <c r="K230" s="4">
        <v>6.09</v>
      </c>
      <c r="L230" s="4">
        <v>5.79</v>
      </c>
      <c r="M230" s="4">
        <v>5.84</v>
      </c>
      <c r="N230" s="4">
        <v>5.63</v>
      </c>
      <c r="O230" s="4">
        <v>6.37</v>
      </c>
      <c r="P230" s="4">
        <v>6.22</v>
      </c>
      <c r="Q230" s="4">
        <v>6.35</v>
      </c>
      <c r="R230" s="4">
        <v>6.9</v>
      </c>
      <c r="S230" s="4">
        <v>4.1900000000000004</v>
      </c>
      <c r="T230" s="4">
        <v>4.37</v>
      </c>
      <c r="U230" s="4">
        <v>4.17</v>
      </c>
      <c r="V230" s="4">
        <v>4.12</v>
      </c>
      <c r="W230" s="4">
        <v>3.76</v>
      </c>
      <c r="X230" s="4">
        <v>3.5</v>
      </c>
      <c r="Y230" s="4">
        <v>3.51</v>
      </c>
      <c r="Z230" s="4">
        <v>3.51</v>
      </c>
      <c r="AA230" s="4">
        <v>3.4</v>
      </c>
      <c r="AB230" s="4">
        <v>3.44</v>
      </c>
      <c r="AC230" s="4">
        <v>3.34</v>
      </c>
      <c r="AD230" s="4">
        <v>3.2</v>
      </c>
      <c r="AE230" s="4">
        <v>3.2</v>
      </c>
      <c r="AF230" s="4">
        <v>3.17</v>
      </c>
      <c r="AG230" s="4">
        <v>2.95</v>
      </c>
      <c r="AH230" s="4">
        <v>2.65</v>
      </c>
      <c r="AI230" s="4">
        <v>2.82</v>
      </c>
      <c r="AJ230" s="4">
        <v>2.61</v>
      </c>
      <c r="AK230" s="4">
        <v>2.74</v>
      </c>
      <c r="AL230" s="4">
        <v>3.06</v>
      </c>
      <c r="AM230" s="4">
        <v>3.07</v>
      </c>
      <c r="AN230" s="4">
        <v>3.21</v>
      </c>
      <c r="AO230" s="4">
        <v>3.83</v>
      </c>
      <c r="AP230" s="4">
        <v>3.93</v>
      </c>
      <c r="AQ230" s="4">
        <v>3.42</v>
      </c>
      <c r="AR230" s="4">
        <v>3.22</v>
      </c>
      <c r="AS230" s="4">
        <v>3.51</v>
      </c>
      <c r="AT230" s="4">
        <v>3.57</v>
      </c>
      <c r="AU230" s="4">
        <v>3.76</v>
      </c>
      <c r="AV230" s="4">
        <v>3.47</v>
      </c>
      <c r="AW230" s="4">
        <v>3.13</v>
      </c>
      <c r="AX230" s="4">
        <v>3.29</v>
      </c>
      <c r="AY230" s="12">
        <v>3.88</v>
      </c>
      <c r="AZ230" s="12">
        <v>6.1</v>
      </c>
      <c r="BA230" s="12">
        <v>6.42</v>
      </c>
      <c r="BB230" s="15">
        <v>7.45</v>
      </c>
      <c r="BC230" s="52">
        <v>8.35</v>
      </c>
      <c r="BD230" s="52">
        <v>7.28</v>
      </c>
      <c r="BE230" s="52">
        <v>8.02</v>
      </c>
      <c r="BF230" s="52">
        <v>7.44</v>
      </c>
      <c r="BG230" s="67">
        <v>7.06</v>
      </c>
      <c r="BH230" s="52">
        <v>6.99</v>
      </c>
      <c r="BI230" s="52">
        <v>7.06</v>
      </c>
      <c r="BJ230" s="52">
        <v>6.95</v>
      </c>
      <c r="BK230" s="52">
        <v>7.33</v>
      </c>
      <c r="BL230" s="52">
        <v>6.76</v>
      </c>
      <c r="BM230" s="52">
        <v>5.9</v>
      </c>
      <c r="BN230" s="52">
        <v>5.48</v>
      </c>
      <c r="BO230" s="52">
        <v>5.42</v>
      </c>
      <c r="BP230" s="52" cm="1">
        <f t="array" aca="1" ref="BP230" ca="1">_FV(ED230,"Preço")</f>
        <v>5.42</v>
      </c>
      <c r="BQ230" s="69" t="s">
        <v>226</v>
      </c>
      <c r="BR230" s="36" cm="1">
        <f t="array" aca="1" ref="BR230" ca="1">_FV(ED230,"Média de volume",TRUE)</f>
        <v>2722580</v>
      </c>
      <c r="BS230" s="36">
        <v>5195200</v>
      </c>
      <c r="BT230" s="36" cm="1">
        <f t="array" aca="1" ref="BT230" ca="1">_FV(ED230,"Volume")</f>
        <v>2507200</v>
      </c>
      <c r="BU230" s="24" cm="1">
        <f t="array" aca="1" ref="BU230" ca="1">_FV(ED230,"Beta")</f>
        <v>1.9231</v>
      </c>
      <c r="BV230" s="71" cm="1">
        <f t="array" aca="1" ref="BV230" ca="1">_FV(ED230,"Variação (%)",TRUE)</f>
        <v>-3.2143000000000005E-2</v>
      </c>
      <c r="BX230" s="17" cm="1">
        <f t="array" aca="1" ref="BX230" ca="1">_FV(ED230,"Baixo")</f>
        <v>5.38</v>
      </c>
      <c r="BY230" s="17" cm="1">
        <f t="array" aca="1" ref="BY230" ca="1">_FV(ED230,"Alto")</f>
        <v>5.75</v>
      </c>
      <c r="BZ230" s="24"/>
      <c r="CA230" s="63" t="e">
        <f ca="1">SQRT(22.5*(BP230/VLOOKUP(BQ230,Fundamentus!A:U,3,FALSE))*(BP230/VLOOKUP(BQ230,Fundamentus!A:U,4,FALSE)))</f>
        <v>#NUM!</v>
      </c>
      <c r="CC230" s="62">
        <f t="shared" ca="1" si="241"/>
        <v>0</v>
      </c>
      <c r="CD230" s="8"/>
      <c r="CE230" s="61">
        <f t="shared" si="242"/>
        <v>2.61</v>
      </c>
      <c r="CF230" s="61">
        <f t="shared" si="243"/>
        <v>8.35</v>
      </c>
      <c r="CG230" s="61">
        <f t="shared" si="244"/>
        <v>4.8770149253731336</v>
      </c>
      <c r="CH230" s="14"/>
      <c r="CI230" s="35">
        <f t="shared" si="227"/>
        <v>3.2820333782091797</v>
      </c>
      <c r="CJ230" s="15">
        <f t="shared" si="245"/>
        <v>4.7800000000002001</v>
      </c>
      <c r="CK230" s="35">
        <f t="shared" si="228"/>
        <v>6.2779666217912204</v>
      </c>
      <c r="CM230" s="14"/>
      <c r="CN230" s="17">
        <f t="shared" si="229"/>
        <v>-3.1699999999999995</v>
      </c>
      <c r="CO230" s="17">
        <f t="shared" si="230"/>
        <v>-0.28000000000000025</v>
      </c>
      <c r="CP230" s="17">
        <f t="shared" si="231"/>
        <v>2.5700000000000003</v>
      </c>
      <c r="CQ230" s="38">
        <f t="shared" si="246"/>
        <v>5.46</v>
      </c>
      <c r="CR230" s="17">
        <f t="shared" si="232"/>
        <v>8.31</v>
      </c>
      <c r="CS230" s="17">
        <f t="shared" si="233"/>
        <v>11.2</v>
      </c>
      <c r="CT230" s="17">
        <f t="shared" si="234"/>
        <v>14.05</v>
      </c>
      <c r="CU230" s="2" cm="1">
        <f t="array" aca="1" ref="CU230" ca="1">MAX(_xlfn._xlws.FILTER(CN230:CT230,CN230:CT230&lt;BP230))</f>
        <v>2.5700000000000003</v>
      </c>
      <c r="CV230" s="2" cm="1">
        <f t="array" aca="1" ref="CV230" ca="1">MIN(_xlfn._xlws.FILTER($CN230:$CT230,$CN230:$CT230&gt;BP230))</f>
        <v>5.46</v>
      </c>
      <c r="CW230" s="16">
        <f t="shared" ca="1" si="248"/>
        <v>1.1245136186770424</v>
      </c>
      <c r="CX230" s="20">
        <f t="shared" ca="1" si="249"/>
        <v>-0.56225680933852118</v>
      </c>
      <c r="CY230" s="20">
        <f t="shared" ca="1" si="250"/>
        <v>-0.37483787289234743</v>
      </c>
      <c r="CZ230" s="20">
        <f t="shared" ca="1" si="251"/>
        <v>-0.22490272373540848</v>
      </c>
      <c r="DA230" s="20">
        <f t="shared" ca="1" si="252"/>
        <v>-0.12494595763078248</v>
      </c>
      <c r="DB230" s="20">
        <f t="shared" ca="1" si="253"/>
        <v>-6.6147859922178961E-2</v>
      </c>
      <c r="DC230" s="20">
        <f t="shared" ca="1" si="254"/>
        <v>-3.4076170262940679E-2</v>
      </c>
      <c r="DD230" s="20">
        <f t="shared" ca="1" si="255"/>
        <v>-1.7300209518108345E-2</v>
      </c>
      <c r="DE230" s="21">
        <f t="shared" ca="1" si="256"/>
        <v>1.7300209518108345E-2</v>
      </c>
      <c r="DF230" s="21">
        <f t="shared" ca="1" si="257"/>
        <v>3.4076170262940679E-2</v>
      </c>
      <c r="DG230" s="21">
        <f t="shared" ca="1" si="258"/>
        <v>6.6147859922178961E-2</v>
      </c>
      <c r="DH230" s="21">
        <f t="shared" ca="1" si="259"/>
        <v>0.12494595763078248</v>
      </c>
      <c r="DI230" s="21">
        <f t="shared" ca="1" si="260"/>
        <v>0.22490272373540848</v>
      </c>
      <c r="DJ230" s="21">
        <f t="shared" ca="1" si="261"/>
        <v>0.37483787289234743</v>
      </c>
      <c r="DK230" s="21">
        <f t="shared" ca="1" si="262"/>
        <v>0.56225680933852118</v>
      </c>
      <c r="DM230" s="16" cm="1">
        <f t="array" aca="1" ref="DM230" ca="1">MAX(_xlfn._xlws.FILTER(CX230:DK230,CX230:DK230&lt;BV230))</f>
        <v>-3.4076170262940679E-2</v>
      </c>
      <c r="DN230" s="16" cm="1">
        <f t="array" aca="1" ref="DN230" ca="1">MIN(_xlfn._xlws.FILTER(CX230:DK230,CX230:DK230&gt;BV230))</f>
        <v>-1.7300209518108345E-2</v>
      </c>
      <c r="DO230" s="2" cm="1">
        <f t="array" aca="1" ref="DO230" ca="1">_FV(ED230,"Fechamento anterior",TRUE)</f>
        <v>5.6</v>
      </c>
      <c r="DP230" s="28">
        <f t="shared" ca="1" si="235"/>
        <v>0.11524306413741785</v>
      </c>
      <c r="DQ230" s="15">
        <f t="shared" ca="1" si="263"/>
        <v>5.4091734465275323</v>
      </c>
      <c r="DR230" s="15">
        <f t="shared" ca="1" si="264"/>
        <v>5.5031188266985929</v>
      </c>
      <c r="DS230" s="9"/>
      <c r="DT230" s="9"/>
      <c r="DU230" s="9"/>
      <c r="DV230" s="89">
        <v>5.8798097708603517E-2</v>
      </c>
      <c r="DW230" s="89">
        <f t="shared" ca="1" si="236"/>
        <v>1.6775960744832334E-2</v>
      </c>
      <c r="DX230" s="72">
        <f t="shared" ca="1" si="237"/>
        <v>0.42724583491359364</v>
      </c>
      <c r="DY230" s="37"/>
      <c r="DZ230" s="35">
        <f t="shared" si="247"/>
        <v>0.74898331089551029</v>
      </c>
      <c r="EA230" s="56"/>
      <c r="EB230" s="56"/>
      <c r="ED230" s="2" t="e" vm="232">
        <v>#VALUE!</v>
      </c>
      <c r="EF230" s="10" cm="1">
        <f t="array" aca="1" ref="EF230" ca="1">_FV(ED230,"Ações em circulação",TRUE)</f>
        <v>112784600</v>
      </c>
      <c r="EG230" s="18">
        <f>VLOOKUP(BQ230,Fundamentus!A:U,5,FALSE)</f>
        <v>1.7569999999999999</v>
      </c>
      <c r="EH230" s="2">
        <f t="shared" ca="1" si="238"/>
        <v>347918344.90608996</v>
      </c>
      <c r="EI230" s="17">
        <v>-18544047.783494595</v>
      </c>
      <c r="EJ230" s="17">
        <f t="shared" ca="1" si="239"/>
        <v>-18544047.783494595</v>
      </c>
      <c r="EL230" s="16">
        <f t="shared" ca="1" si="226"/>
        <v>0</v>
      </c>
      <c r="EM230" s="32" t="str">
        <f>IF(VLOOKUP(BQ230,Fundamentus!A:U,3,FALSE)&lt;15,"Bom",IF(VLOOKUP(BQ230,Fundamentus!A:U,3,FALSE)&gt;15,"Ruim","n/a"))</f>
        <v>Bom</v>
      </c>
      <c r="EN230" s="28" t="str">
        <f>IF(VLOOKUP(BQ230,Fundamentus!A:U,4,FALSE)&lt;1,"Baixo",IF(VLOOKUP(BQ230,Fundamentus!A:U,4,FALSE)&lt;1.5,"Moderado",IF(VLOOKUP(BQ230,Fundamentus!A:U,4,FALSE)&gt;1.5,"Alto","n/a")))</f>
        <v>Alto</v>
      </c>
      <c r="EO230" s="17" t="str">
        <f>IF(VLOOKUP(BQ230,Fundamentus!A:U,8,FALSE)&lt;0,"Risco elevado",IF(VLOOKUP(BQ230,Fundamentus!A:U,8,FALSE)&lt;1,"Saudável",IF(VLOOKUP(BQ230,Fundamentus!A:U,8,FALSE)&lt;3,"Estável",IF(VLOOKUP(BQ230,Fundamentus!A:U,8,FALSE)&gt;3,"Alerta","n/a"))))</f>
        <v>Alerta</v>
      </c>
      <c r="EP230" s="28" t="str">
        <f t="shared" si="240"/>
        <v>Bom</v>
      </c>
      <c r="EQ230" s="17" t="str">
        <f>IF(VLOOKUP(BQ230,Fundamentus!A:U,12,FALSE)&lt;2,"Subvalorizada",IF(VLOOKUP(BQ230,Fundamentus!A:U,12,FALSE)&lt;6,"Muita barata",IF(VLOOKUP(BQ230,Fundamentus!A:U,12,FALSE)&lt;6,"Barata",IF(VLOOKUP(BQ230,Fundamentus!A:U,12,FALSE)&lt;8,"Atrativa",IF(VLOOKUP(BQ230,Fundamentus!A:U,12,FALSE)&gt;8,"Supervalorizada","n/a")))))</f>
        <v>Subvalorizada</v>
      </c>
      <c r="ES230" s="17" t="str">
        <f>IF(VLOOKUP(BQ230,Fundamentus!A:U,17,FALSE)&lt;0.1,"Fraco retorno",IF(VLOOKUP(BQ230,Fundamentus!A:U,17,FALSE)&gt;0.1,"Bom retorno","n/a"))</f>
        <v>Fraco retorno</v>
      </c>
      <c r="ET230" s="17" t="str">
        <f>IF(VLOOKUP(BQ230,Fundamentus!A:U,16,FALSE)&lt;0.1,"Ineficiente",IF(VLOOKUP(BQ230,Fundamentus!A:U,16,FALSE)&gt;0.1,"Eficiente","n/a"))</f>
        <v>Ineficiente</v>
      </c>
      <c r="EU230" s="33" t="str">
        <f>IF(VLOOKUP(BQ230,Fundamentus!A:U,16,FALSE)&lt;0.1,"Oper. Ineficiente",IF(VLOOKUP(BQ230,Fundamentus!A:U,16,FALSE)&gt;0.1,"Oper.Eficiente","n/a"))</f>
        <v>Oper. Ineficiente</v>
      </c>
      <c r="EV230" s="34">
        <f>VLOOKUP(BQ230,Fundamentus!A:U,14,FALSE)</f>
        <v>-5.33E-2</v>
      </c>
      <c r="EW230" s="17" t="str">
        <f>IF(VLOOKUP(BQ230,Fundamentus!A:U,21,FALSE)&lt;0,"Negativo",IF(VLOOKUP(BQ230,Fundamentus!A:U,21,FALSE)&lt;0.05,"Fraco",IF(VLOOKUP(BQ230,Fundamentus!A:U,21,FALSE)&lt;0.1,"Bom",IF(VLOOKUP(BQ230,Fundamentus!A:U,21,FALSE)&gt;0.1,"Muito bom","n/a"))))</f>
        <v>Muito bom</v>
      </c>
      <c r="EY230" s="29" t="str">
        <f>IF(VLOOKUP(BQ230,Fundamentus!A:U,15,FALSE)&gt;1,"Bom",IF(VLOOKUP(BQ230,Fundamentus!A:U,15,FALSE)&lt;1,"Ruim","n/a"))</f>
        <v>Bom</v>
      </c>
      <c r="EZ230" s="17" t="str">
        <f>IF(VLOOKUP(BQ230,Fundamentus!A:U,20,FALSE)&lt;0.5,"Baixa",IF(VLOOKUP(BQ230,Fundamentus!A:U,20,FALSE)&lt;1,"Moderada",IF(VLOOKUP(BQ230,Fundamentus!A:U,20,FALSE)&lt;2,"Alerta",IF(VLOOKUP(BQ230,Fundamentus!A:U,20,FALSE)&gt;2,"Alta","n/a"))))</f>
        <v>Baixa</v>
      </c>
    </row>
    <row r="231" spans="1:156" s="2" customFormat="1" ht="11.25" hidden="1" x14ac:dyDescent="0.2">
      <c r="A231" s="4">
        <v>4.9800000000000004</v>
      </c>
      <c r="B231" s="4">
        <v>4.92</v>
      </c>
      <c r="C231" s="4">
        <v>4.83</v>
      </c>
      <c r="D231" s="4">
        <v>4.62</v>
      </c>
      <c r="E231" s="4">
        <v>4.4000000000000004</v>
      </c>
      <c r="F231" s="4">
        <v>3.77</v>
      </c>
      <c r="G231" s="4">
        <v>3.75</v>
      </c>
      <c r="H231" s="4">
        <v>3.77</v>
      </c>
      <c r="I231" s="4">
        <v>3.79</v>
      </c>
      <c r="J231" s="4">
        <v>3.93</v>
      </c>
      <c r="K231" s="4">
        <v>4.05</v>
      </c>
      <c r="L231" s="4">
        <v>4.1500000000000004</v>
      </c>
      <c r="M231" s="4">
        <v>4.08</v>
      </c>
      <c r="N231" s="4">
        <v>4.5999999999999996</v>
      </c>
      <c r="O231" s="4">
        <v>4.28</v>
      </c>
      <c r="P231" s="4">
        <v>4.22</v>
      </c>
      <c r="Q231" s="4">
        <v>4.12</v>
      </c>
      <c r="R231" s="4">
        <v>4.1500000000000004</v>
      </c>
      <c r="S231" s="4">
        <v>4.05</v>
      </c>
      <c r="T231" s="4">
        <v>4.01</v>
      </c>
      <c r="U231" s="4">
        <v>3.91</v>
      </c>
      <c r="V231" s="4">
        <v>4.01</v>
      </c>
      <c r="W231" s="4">
        <v>3.92</v>
      </c>
      <c r="X231" s="4">
        <v>3.8</v>
      </c>
      <c r="Y231" s="4">
        <v>3.71</v>
      </c>
      <c r="Z231" s="4">
        <v>3.7</v>
      </c>
      <c r="AA231" s="4">
        <v>3.79</v>
      </c>
      <c r="AB231" s="4">
        <v>3.64</v>
      </c>
      <c r="AC231" s="4">
        <v>3.56</v>
      </c>
      <c r="AD231" s="4">
        <v>3.48</v>
      </c>
      <c r="AE231" s="4">
        <v>3.2</v>
      </c>
      <c r="AF231" s="4">
        <v>7.31</v>
      </c>
      <c r="AG231" s="4">
        <v>6.84</v>
      </c>
      <c r="AH231" s="4">
        <v>6.61</v>
      </c>
      <c r="AI231" s="4">
        <v>6.57</v>
      </c>
      <c r="AJ231" s="4">
        <v>5.8</v>
      </c>
      <c r="AK231" s="4">
        <v>5.61</v>
      </c>
      <c r="AL231" s="4">
        <v>5.6</v>
      </c>
      <c r="AM231" s="4">
        <v>5.37</v>
      </c>
      <c r="AN231" s="4">
        <v>5.47</v>
      </c>
      <c r="AO231" s="4">
        <v>5.25</v>
      </c>
      <c r="AP231" s="4">
        <v>5.19</v>
      </c>
      <c r="AQ231" s="4">
        <v>5.64</v>
      </c>
      <c r="AR231" s="4">
        <v>5.25</v>
      </c>
      <c r="AS231" s="4">
        <v>4.97</v>
      </c>
      <c r="AT231" s="4">
        <v>3.7</v>
      </c>
      <c r="AU231" s="4">
        <v>3.835</v>
      </c>
      <c r="AV231" s="4">
        <v>3.72</v>
      </c>
      <c r="AW231" s="4">
        <v>3.95</v>
      </c>
      <c r="AX231" s="4">
        <v>3.78</v>
      </c>
      <c r="AY231" s="12">
        <v>3.71</v>
      </c>
      <c r="AZ231" s="12">
        <v>3.65</v>
      </c>
      <c r="BA231" s="12">
        <v>3.65</v>
      </c>
      <c r="BB231" s="15">
        <v>3.78</v>
      </c>
      <c r="BC231" s="52">
        <v>3.91</v>
      </c>
      <c r="BD231" s="52">
        <v>4.03</v>
      </c>
      <c r="BE231" s="52">
        <v>5.18</v>
      </c>
      <c r="BF231" s="52">
        <v>4.54</v>
      </c>
      <c r="BG231" s="67">
        <v>3.93</v>
      </c>
      <c r="BH231" s="52">
        <v>4.1100000000000003</v>
      </c>
      <c r="BI231" s="52">
        <v>3.83</v>
      </c>
      <c r="BJ231" s="52">
        <v>3.95</v>
      </c>
      <c r="BK231" s="52">
        <v>4.17</v>
      </c>
      <c r="BL231" s="52">
        <v>4.0599999999999996</v>
      </c>
      <c r="BM231" s="52">
        <v>4.0599999999999996</v>
      </c>
      <c r="BN231" s="52">
        <v>4.08</v>
      </c>
      <c r="BO231" s="52">
        <v>4.1500000000000004</v>
      </c>
      <c r="BP231" s="52" cm="1">
        <f t="array" aca="1" ref="BP231" ca="1">_FV(ED231,"Preço")</f>
        <v>4.0599999999999996</v>
      </c>
      <c r="BQ231" s="69" t="s">
        <v>227</v>
      </c>
      <c r="BR231" s="36" cm="1">
        <f t="array" aca="1" ref="BR231" ca="1">_FV(ED231,"Média de volume",TRUE)</f>
        <v>9400</v>
      </c>
      <c r="BS231" s="36">
        <v>4100</v>
      </c>
      <c r="BT231" s="36" cm="1">
        <f t="array" aca="1" ref="BT231" ca="1">_FV(ED231,"Volume")</f>
        <v>2100</v>
      </c>
      <c r="BU231" s="24" cm="1">
        <f t="array" aca="1" ref="BU231" ca="1">_FV(ED231,"Beta")</f>
        <v>0.4909</v>
      </c>
      <c r="BV231" s="71" cm="1">
        <f t="array" aca="1" ref="BV231" ca="1">_FV(ED231,"Variação (%)",TRUE)</f>
        <v>-9.7560000000000008E-3</v>
      </c>
      <c r="BX231" s="17" cm="1">
        <f t="array" aca="1" ref="BX231" ca="1">_FV(ED231,"Baixo")</f>
        <v>3.98</v>
      </c>
      <c r="BY231" s="17" cm="1">
        <f t="array" aca="1" ref="BY231" ca="1">_FV(ED231,"Alto")</f>
        <v>4.0599999999999996</v>
      </c>
      <c r="BZ231" s="24"/>
      <c r="CA231" s="63">
        <f ca="1">SQRT(22.5*(BP231/VLOOKUP(BQ231,Fundamentus!A:U,3,FALSE))*(BP231/VLOOKUP(BQ231,Fundamentus!A:U,4,FALSE)))</f>
        <v>89.792151298332342</v>
      </c>
      <c r="CC231" s="62">
        <f t="shared" ca="1" si="241"/>
        <v>-2.1686746987951984E-2</v>
      </c>
      <c r="CD231" s="8"/>
      <c r="CE231" s="61">
        <f t="shared" si="242"/>
        <v>3.2</v>
      </c>
      <c r="CF231" s="61">
        <f t="shared" si="243"/>
        <v>7.31</v>
      </c>
      <c r="CG231" s="61">
        <f t="shared" si="244"/>
        <v>4.3947014925373145</v>
      </c>
      <c r="CH231" s="14"/>
      <c r="CI231" s="35">
        <f t="shared" si="227"/>
        <v>4.0665334284356129</v>
      </c>
      <c r="CJ231" s="15">
        <f t="shared" si="245"/>
        <v>4.1599999999999966</v>
      </c>
      <c r="CK231" s="35">
        <f t="shared" si="228"/>
        <v>4.2534665715643802</v>
      </c>
      <c r="CM231" s="14"/>
      <c r="CN231" s="17">
        <f t="shared" si="229"/>
        <v>-1.6466666666666656</v>
      </c>
      <c r="CO231" s="17">
        <f t="shared" si="230"/>
        <v>0.77666666666666728</v>
      </c>
      <c r="CP231" s="17">
        <f t="shared" si="231"/>
        <v>2.4633333333333338</v>
      </c>
      <c r="CQ231" s="38">
        <f t="shared" si="246"/>
        <v>4.8866666666666667</v>
      </c>
      <c r="CR231" s="17">
        <f t="shared" si="232"/>
        <v>6.5733333333333333</v>
      </c>
      <c r="CS231" s="17">
        <f t="shared" si="233"/>
        <v>8.9966666666666661</v>
      </c>
      <c r="CT231" s="17">
        <f t="shared" si="234"/>
        <v>10.683333333333334</v>
      </c>
      <c r="CU231" s="2" cm="1">
        <f t="array" aca="1" ref="CU231" ca="1">MAX(_xlfn._xlws.FILTER(CN231:CT231,CN231:CT231&lt;BP231))</f>
        <v>2.4633333333333338</v>
      </c>
      <c r="CV231" s="2" cm="1">
        <f t="array" aca="1" ref="CV231" ca="1">MIN(_xlfn._xlws.FILTER($CN231:$CT231,$CN231:$CT231&gt;BP231))</f>
        <v>4.8866666666666667</v>
      </c>
      <c r="CW231" s="16">
        <f t="shared" ca="1" si="248"/>
        <v>0.98376184032476277</v>
      </c>
      <c r="CX231" s="20">
        <f t="shared" ca="1" si="249"/>
        <v>-0.49188092016238139</v>
      </c>
      <c r="CY231" s="20">
        <f t="shared" ca="1" si="250"/>
        <v>-0.32792061344158757</v>
      </c>
      <c r="CZ231" s="20">
        <f t="shared" ca="1" si="251"/>
        <v>-0.19675236806495255</v>
      </c>
      <c r="DA231" s="20">
        <f t="shared" ca="1" si="252"/>
        <v>-0.10930687114719587</v>
      </c>
      <c r="DB231" s="20">
        <f t="shared" ca="1" si="253"/>
        <v>-5.7868343548515458E-2</v>
      </c>
      <c r="DC231" s="20">
        <f t="shared" ca="1" si="254"/>
        <v>-2.9810964858326145E-2</v>
      </c>
      <c r="DD231" s="20">
        <f t="shared" ca="1" si="255"/>
        <v>-1.5134797543457888E-2</v>
      </c>
      <c r="DE231" s="21">
        <f t="shared" ca="1" si="256"/>
        <v>1.5134797543457888E-2</v>
      </c>
      <c r="DF231" s="21">
        <f t="shared" ca="1" si="257"/>
        <v>2.9810964858326145E-2</v>
      </c>
      <c r="DG231" s="21">
        <f t="shared" ca="1" si="258"/>
        <v>5.7868343548515458E-2</v>
      </c>
      <c r="DH231" s="21">
        <f t="shared" ca="1" si="259"/>
        <v>0.10930687114719587</v>
      </c>
      <c r="DI231" s="21">
        <f t="shared" ca="1" si="260"/>
        <v>0.19675236806495255</v>
      </c>
      <c r="DJ231" s="21">
        <f t="shared" ca="1" si="261"/>
        <v>0.32792061344158757</v>
      </c>
      <c r="DK231" s="21">
        <f t="shared" ca="1" si="262"/>
        <v>0.49188092016238139</v>
      </c>
      <c r="DM231" s="16" cm="1">
        <f t="array" aca="1" ref="DM231" ca="1">MAX(_xlfn._xlws.FILTER(CX231:DK231,CX231:DK231&lt;BV231))</f>
        <v>-1.5134797543457888E-2</v>
      </c>
      <c r="DN231" s="16" cm="1">
        <f t="array" aca="1" ref="DN231" ca="1">MIN(_xlfn._xlws.FILTER(CX231:DK231,CX231:DK231&gt;BV231))</f>
        <v>1.5134797543457888E-2</v>
      </c>
      <c r="DO231" s="2" cm="1">
        <f t="array" aca="1" ref="DO231" ca="1">_FV(ED231,"Fechamento anterior",TRUE)</f>
        <v>4.0999999999999996</v>
      </c>
      <c r="DP231" s="28">
        <f t="shared" ca="1" si="235"/>
        <v>0.1776931593249905</v>
      </c>
      <c r="DQ231" s="15">
        <f t="shared" ca="1" si="263"/>
        <v>4.0379473300718223</v>
      </c>
      <c r="DR231" s="15">
        <f t="shared" ca="1" si="264"/>
        <v>4.162052669928177</v>
      </c>
      <c r="DS231" s="9"/>
      <c r="DT231" s="9"/>
      <c r="DU231" s="9"/>
      <c r="DV231" s="89">
        <v>3.0269595086915776E-2</v>
      </c>
      <c r="DW231" s="89">
        <f t="shared" ca="1" si="236"/>
        <v>3.0269595086915776E-2</v>
      </c>
      <c r="DX231" s="72">
        <f t="shared" ca="1" si="237"/>
        <v>-1.0699012312772469</v>
      </c>
      <c r="DY231" s="37"/>
      <c r="DZ231" s="35">
        <f t="shared" si="247"/>
        <v>4.673328578219188E-2</v>
      </c>
      <c r="EA231" s="56"/>
      <c r="EB231" s="56"/>
      <c r="ED231" s="2" t="e" vm="233">
        <v>#VALUE!</v>
      </c>
      <c r="EF231" s="10" cm="1">
        <f t="array" aca="1" ref="EF231" ca="1">_FV(ED231,"Ações em circulação",TRUE)</f>
        <v>53857280</v>
      </c>
      <c r="EG231" s="18">
        <f>VLOOKUP(BQ231,Fundamentus!A:U,5,FALSE)</f>
        <v>4.8000000000000001E-2</v>
      </c>
      <c r="EH231" s="2">
        <f t="shared" ca="1" si="238"/>
        <v>4555428266.666666</v>
      </c>
      <c r="EI231" s="17">
        <v>-974586752.53333342</v>
      </c>
      <c r="EJ231" s="17">
        <f t="shared" ca="1" si="239"/>
        <v>-953451136.21333325</v>
      </c>
      <c r="EL231" s="16">
        <f t="shared" ca="1" si="226"/>
        <v>-2.1686746987952032E-2</v>
      </c>
      <c r="EM231" s="32" t="str">
        <f>IF(VLOOKUP(BQ231,Fundamentus!A:U,3,FALSE)&lt;15,"Bom",IF(VLOOKUP(BQ231,Fundamentus!A:U,3,FALSE)&gt;15,"Ruim","n/a"))</f>
        <v>Bom</v>
      </c>
      <c r="EN231" s="28" t="str">
        <f>IF(VLOOKUP(BQ231,Fundamentus!A:U,4,FALSE)&lt;1,"Baixo",IF(VLOOKUP(BQ231,Fundamentus!A:U,4,FALSE)&lt;1.5,"Moderado",IF(VLOOKUP(BQ231,Fundamentus!A:U,4,FALSE)&gt;1.5,"Alto","n/a")))</f>
        <v>Baixo</v>
      </c>
      <c r="EO231" s="17" t="str">
        <f>IF(VLOOKUP(BQ231,Fundamentus!A:U,8,FALSE)&lt;0,"Risco elevado",IF(VLOOKUP(BQ231,Fundamentus!A:U,8,FALSE)&lt;1,"Saudável",IF(VLOOKUP(BQ231,Fundamentus!A:U,8,FALSE)&lt;3,"Estável",IF(VLOOKUP(BQ231,Fundamentus!A:U,8,FALSE)&gt;3,"Alerta","n/a"))))</f>
        <v>Risco elevado</v>
      </c>
      <c r="EP231" s="28" t="str">
        <f t="shared" si="240"/>
        <v>Ruim</v>
      </c>
      <c r="EQ231" s="17" t="str">
        <f>IF(VLOOKUP(BQ231,Fundamentus!A:U,12,FALSE)&lt;2,"Subvalorizada",IF(VLOOKUP(BQ231,Fundamentus!A:U,12,FALSE)&lt;6,"Muita barata",IF(VLOOKUP(BQ231,Fundamentus!A:U,12,FALSE)&lt;6,"Barata",IF(VLOOKUP(BQ231,Fundamentus!A:U,12,FALSE)&lt;8,"Atrativa",IF(VLOOKUP(BQ231,Fundamentus!A:U,12,FALSE)&gt;8,"Supervalorizada","n/a")))))</f>
        <v>Subvalorizada</v>
      </c>
      <c r="ES231" s="17" t="str">
        <f>IF(VLOOKUP(BQ231,Fundamentus!A:U,17,FALSE)&lt;0.1,"Fraco retorno",IF(VLOOKUP(BQ231,Fundamentus!A:U,17,FALSE)&gt;0.1,"Bom retorno","n/a"))</f>
        <v>Bom retorno</v>
      </c>
      <c r="ET231" s="17" t="str">
        <f>IF(VLOOKUP(BQ231,Fundamentus!A:U,16,FALSE)&lt;0.1,"Ineficiente",IF(VLOOKUP(BQ231,Fundamentus!A:U,16,FALSE)&gt;0.1,"Eficiente","n/a"))</f>
        <v>Ineficiente</v>
      </c>
      <c r="EU231" s="33" t="str">
        <f>IF(VLOOKUP(BQ231,Fundamentus!A:U,16,FALSE)&lt;0.1,"Oper. Ineficiente",IF(VLOOKUP(BQ231,Fundamentus!A:U,16,FALSE)&gt;0.1,"Oper.Eficiente","n/a"))</f>
        <v>Oper. Ineficiente</v>
      </c>
      <c r="EV231" s="34">
        <f>VLOOKUP(BQ231,Fundamentus!A:U,14,FALSE)</f>
        <v>-0.20930000000000001</v>
      </c>
      <c r="EW231" s="17" t="str">
        <f>IF(VLOOKUP(BQ231,Fundamentus!A:U,21,FALSE)&lt;0,"Negativo",IF(VLOOKUP(BQ231,Fundamentus!A:U,21,FALSE)&lt;0.05,"Fraco",IF(VLOOKUP(BQ231,Fundamentus!A:U,21,FALSE)&lt;0.1,"Bom",IF(VLOOKUP(BQ231,Fundamentus!A:U,21,FALSE)&gt;0.1,"Muito bom","n/a"))))</f>
        <v>Muito bom</v>
      </c>
      <c r="EY231" s="29" t="str">
        <f>IF(VLOOKUP(BQ231,Fundamentus!A:U,15,FALSE)&gt;1,"Bom",IF(VLOOKUP(BQ231,Fundamentus!A:U,15,FALSE)&lt;1,"Ruim","n/a"))</f>
        <v>Ruim</v>
      </c>
      <c r="EZ231" s="17" t="str">
        <f>IF(VLOOKUP(BQ231,Fundamentus!A:U,20,FALSE)&lt;0.5,"Baixa",IF(VLOOKUP(BQ231,Fundamentus!A:U,20,FALSE)&lt;1,"Moderada",IF(VLOOKUP(BQ231,Fundamentus!A:U,20,FALSE)&lt;2,"Alerta",IF(VLOOKUP(BQ231,Fundamentus!A:U,20,FALSE)&gt;2,"Alta","n/a"))))</f>
        <v>Baixa</v>
      </c>
    </row>
    <row r="232" spans="1:156" s="2" customFormat="1" ht="11.25" hidden="1" x14ac:dyDescent="0.2">
      <c r="A232" s="4">
        <v>5.31</v>
      </c>
      <c r="B232" s="4">
        <v>5.01</v>
      </c>
      <c r="C232" s="4">
        <v>5.4</v>
      </c>
      <c r="D232" s="4">
        <v>4.79</v>
      </c>
      <c r="E232" s="4">
        <v>4.1500000000000004</v>
      </c>
      <c r="F232" s="4">
        <v>3.73</v>
      </c>
      <c r="G232" s="4">
        <v>3.6</v>
      </c>
      <c r="H232" s="4">
        <v>3.79</v>
      </c>
      <c r="I232" s="4">
        <v>3.34</v>
      </c>
      <c r="J232" s="4">
        <v>3.56</v>
      </c>
      <c r="K232" s="4">
        <v>3.73</v>
      </c>
      <c r="L232" s="4">
        <v>3.47</v>
      </c>
      <c r="M232" s="4">
        <v>3.37</v>
      </c>
      <c r="N232" s="4">
        <v>2.93</v>
      </c>
      <c r="O232" s="4">
        <v>3.1</v>
      </c>
      <c r="P232" s="4">
        <v>2.63</v>
      </c>
      <c r="Q232" s="4">
        <v>2.91</v>
      </c>
      <c r="R232" s="4">
        <v>2.63</v>
      </c>
      <c r="S232" s="4">
        <v>2.58</v>
      </c>
      <c r="T232" s="4">
        <v>2.58</v>
      </c>
      <c r="U232" s="4">
        <v>2.2799999999999998</v>
      </c>
      <c r="V232" s="4">
        <v>2.31</v>
      </c>
      <c r="W232" s="4">
        <v>2.11</v>
      </c>
      <c r="X232" s="4">
        <v>1.9</v>
      </c>
      <c r="Y232" s="4">
        <v>1.72</v>
      </c>
      <c r="Z232" s="4">
        <v>1.66</v>
      </c>
      <c r="AA232" s="4">
        <v>1.46</v>
      </c>
      <c r="AB232" s="4">
        <v>1.49</v>
      </c>
      <c r="AC232" s="4">
        <v>1.4</v>
      </c>
      <c r="AD232" s="4">
        <v>1.59</v>
      </c>
      <c r="AE232" s="4">
        <v>1.48</v>
      </c>
      <c r="AF232" s="4">
        <v>1.3</v>
      </c>
      <c r="AG232" s="4">
        <v>1.29</v>
      </c>
      <c r="AH232" s="4">
        <v>1.1399999999999999</v>
      </c>
      <c r="AI232" s="4">
        <v>1.1499999999999999</v>
      </c>
      <c r="AJ232" s="4">
        <v>1.18</v>
      </c>
      <c r="AK232" s="4">
        <v>1.1599999999999999</v>
      </c>
      <c r="AL232" s="4">
        <v>1.27</v>
      </c>
      <c r="AM232" s="4">
        <v>1.33</v>
      </c>
      <c r="AN232" s="4">
        <v>1.37</v>
      </c>
      <c r="AO232" s="4">
        <v>1.27</v>
      </c>
      <c r="AP232" s="4">
        <v>1.1200000000000001</v>
      </c>
      <c r="AQ232" s="4">
        <v>1.1000000000000001</v>
      </c>
      <c r="AR232" s="4">
        <v>1.1000000000000001</v>
      </c>
      <c r="AS232" s="4">
        <v>1.19</v>
      </c>
      <c r="AT232" s="4">
        <v>1.19</v>
      </c>
      <c r="AU232" s="4">
        <v>1.28</v>
      </c>
      <c r="AV232" s="4">
        <v>2.11</v>
      </c>
      <c r="AW232" s="4">
        <v>2</v>
      </c>
      <c r="AX232" s="4">
        <v>1.74</v>
      </c>
      <c r="AY232" s="12">
        <v>1.57</v>
      </c>
      <c r="AZ232" s="12">
        <v>1.56</v>
      </c>
      <c r="BA232" s="12">
        <v>1.4</v>
      </c>
      <c r="BB232" s="15">
        <v>1.24</v>
      </c>
      <c r="BC232" s="52">
        <v>1.29</v>
      </c>
      <c r="BD232" s="52">
        <v>1.23</v>
      </c>
      <c r="BE232" s="52">
        <v>1.22</v>
      </c>
      <c r="BF232" s="52">
        <v>1.23</v>
      </c>
      <c r="BG232" s="67">
        <v>1.24</v>
      </c>
      <c r="BH232" s="52">
        <v>23.79</v>
      </c>
      <c r="BI232" s="52">
        <v>20.46</v>
      </c>
      <c r="BJ232" s="52">
        <v>19.05</v>
      </c>
      <c r="BK232" s="52">
        <v>19.989999999999998</v>
      </c>
      <c r="BL232" s="52">
        <v>17.84</v>
      </c>
      <c r="BM232" s="52">
        <v>16.25</v>
      </c>
      <c r="BN232" s="52">
        <v>15.15</v>
      </c>
      <c r="BO232" s="52">
        <v>15.77</v>
      </c>
      <c r="BP232" s="52" cm="1">
        <f t="array" aca="1" ref="BP232" ca="1">_FV(ED232,"Preço")</f>
        <v>13.8</v>
      </c>
      <c r="BQ232" s="69" t="s">
        <v>228</v>
      </c>
      <c r="BR232" s="36" cm="1">
        <f t="array" aca="1" ref="BR232" ca="1">_FV(ED232,"Média de volume",TRUE)</f>
        <v>327010</v>
      </c>
      <c r="BS232" s="36">
        <v>349900</v>
      </c>
      <c r="BT232" s="36" cm="1">
        <f t="array" aca="1" ref="BT232" ca="1">_FV(ED232,"Volume")</f>
        <v>266400</v>
      </c>
      <c r="BU232" s="24" cm="1">
        <f t="array" aca="1" ref="BU232" ca="1">_FV(ED232,"Beta")</f>
        <v>1.9341999999999999</v>
      </c>
      <c r="BV232" s="71" cm="1">
        <f t="array" aca="1" ref="BV232" ca="1">_FV(ED232,"Variação (%)",TRUE)</f>
        <v>-4.2332000000000002E-2</v>
      </c>
      <c r="BX232" s="17" cm="1">
        <f t="array" aca="1" ref="BX232" ca="1">_FV(ED232,"Baixo")</f>
        <v>13.8</v>
      </c>
      <c r="BY232" s="17" cm="1">
        <f t="array" aca="1" ref="BY232" ca="1">_FV(ED232,"Alto")</f>
        <v>14.69</v>
      </c>
      <c r="BZ232" s="24"/>
      <c r="CA232" s="63" t="e">
        <f ca="1">SQRT(22.5*(BP232/VLOOKUP(BQ232,Fundamentus!A:U,3,FALSE))*(BP232/VLOOKUP(BQ232,Fundamentus!A:U,4,FALSE)))</f>
        <v>#NUM!</v>
      </c>
      <c r="CC232" s="62">
        <f t="shared" ca="1" si="241"/>
        <v>-0.12492073557387437</v>
      </c>
      <c r="CD232" s="8"/>
      <c r="CE232" s="61">
        <f t="shared" si="242"/>
        <v>1.1000000000000001</v>
      </c>
      <c r="CF232" s="61">
        <f t="shared" si="243"/>
        <v>23.79</v>
      </c>
      <c r="CG232" s="61">
        <f t="shared" si="244"/>
        <v>4.142985074626865</v>
      </c>
      <c r="CH232" s="14"/>
      <c r="CI232" s="35">
        <f t="shared" si="227"/>
        <v>10.94435638135633</v>
      </c>
      <c r="CJ232" s="15">
        <f t="shared" si="245"/>
        <v>14.424999999999272</v>
      </c>
      <c r="CK232" s="35">
        <f t="shared" si="228"/>
        <v>17.905643618642213</v>
      </c>
      <c r="CM232" s="14"/>
      <c r="CN232" s="17">
        <f t="shared" si="229"/>
        <v>-19.373333333333331</v>
      </c>
      <c r="CO232" s="17">
        <f t="shared" si="230"/>
        <v>-9.1366666666666649</v>
      </c>
      <c r="CP232" s="17">
        <f t="shared" si="231"/>
        <v>3.3166666666666664</v>
      </c>
      <c r="CQ232" s="38">
        <f t="shared" si="246"/>
        <v>13.553333333333333</v>
      </c>
      <c r="CR232" s="17">
        <f t="shared" si="232"/>
        <v>26.006666666666664</v>
      </c>
      <c r="CS232" s="17">
        <f t="shared" si="233"/>
        <v>36.243333333333332</v>
      </c>
      <c r="CT232" s="17">
        <f t="shared" si="234"/>
        <v>48.696666666666665</v>
      </c>
      <c r="CU232" s="2" cm="1">
        <f t="array" aca="1" ref="CU232" ca="1">MAX(_xlfn._xlws.FILTER(CN232:CT232,CN232:CT232&lt;BP232))</f>
        <v>13.553333333333333</v>
      </c>
      <c r="CV232" s="2" cm="1">
        <f t="array" aca="1" ref="CV232" ca="1">MIN(_xlfn._xlws.FILTER($CN232:$CT232,$CN232:$CT232&gt;BP232))</f>
        <v>26.006666666666664</v>
      </c>
      <c r="CW232" s="16">
        <f t="shared" ca="1" si="248"/>
        <v>0.91883915395966542</v>
      </c>
      <c r="CX232" s="20">
        <f t="shared" ca="1" si="249"/>
        <v>-0.45941957697983271</v>
      </c>
      <c r="CY232" s="20">
        <f t="shared" ca="1" si="250"/>
        <v>-0.30627971798655512</v>
      </c>
      <c r="CZ232" s="20">
        <f t="shared" ca="1" si="251"/>
        <v>-0.1837678307919331</v>
      </c>
      <c r="DA232" s="20">
        <f t="shared" ca="1" si="252"/>
        <v>-0.10209323932885171</v>
      </c>
      <c r="DB232" s="20">
        <f t="shared" ca="1" si="253"/>
        <v>-5.4049361997627381E-2</v>
      </c>
      <c r="DC232" s="20">
        <f t="shared" ca="1" si="254"/>
        <v>-2.7843610726050468E-2</v>
      </c>
      <c r="DD232" s="20">
        <f t="shared" ca="1" si="255"/>
        <v>-1.4135986983994852E-2</v>
      </c>
      <c r="DE232" s="21">
        <f t="shared" ca="1" si="256"/>
        <v>1.4135986983994852E-2</v>
      </c>
      <c r="DF232" s="21">
        <f t="shared" ca="1" si="257"/>
        <v>2.7843610726050468E-2</v>
      </c>
      <c r="DG232" s="21">
        <f t="shared" ca="1" si="258"/>
        <v>5.4049361997627381E-2</v>
      </c>
      <c r="DH232" s="21">
        <f t="shared" ca="1" si="259"/>
        <v>0.10209323932885171</v>
      </c>
      <c r="DI232" s="21">
        <f t="shared" ca="1" si="260"/>
        <v>0.1837678307919331</v>
      </c>
      <c r="DJ232" s="21">
        <f t="shared" ca="1" si="261"/>
        <v>0.30627971798655512</v>
      </c>
      <c r="DK232" s="21">
        <f t="shared" ca="1" si="262"/>
        <v>0.45941957697983271</v>
      </c>
      <c r="DM232" s="16" cm="1">
        <f t="array" aca="1" ref="DM232" ca="1">MAX(_xlfn._xlws.FILTER(CX232:DK232,CX232:DK232&lt;BV232))</f>
        <v>-5.4049361997627381E-2</v>
      </c>
      <c r="DN232" s="16" cm="1">
        <f t="array" aca="1" ref="DN232" ca="1">MIN(_xlfn._xlws.FILTER(CX232:DK232,CX232:DK232&gt;BV232))</f>
        <v>-2.7843610726050468E-2</v>
      </c>
      <c r="DO232" s="2" cm="1">
        <f t="array" aca="1" ref="DO232" ca="1">_FV(ED232,"Fechamento anterior",TRUE)</f>
        <v>14.41</v>
      </c>
      <c r="DP232" s="28">
        <f t="shared" ca="1" si="235"/>
        <v>0.44714031621361061</v>
      </c>
      <c r="DQ232" s="15">
        <f t="shared" ca="1" si="263"/>
        <v>13.63114869361419</v>
      </c>
      <c r="DR232" s="15">
        <f t="shared" ca="1" si="264"/>
        <v>14.008773569437613</v>
      </c>
      <c r="DS232" s="9"/>
      <c r="DT232" s="9"/>
      <c r="DU232" s="9"/>
      <c r="DV232" s="89">
        <v>4.8043877331224331E-2</v>
      </c>
      <c r="DW232" s="89">
        <f t="shared" ca="1" si="236"/>
        <v>2.6205751271576913E-2</v>
      </c>
      <c r="DX232" s="72">
        <f t="shared" ca="1" si="237"/>
        <v>-0.17956449107620823</v>
      </c>
      <c r="DY232" s="37"/>
      <c r="DZ232" s="35">
        <f t="shared" si="247"/>
        <v>1.7403218093214707</v>
      </c>
      <c r="EA232" s="56"/>
      <c r="EB232" s="56"/>
      <c r="ED232" s="2" t="e" vm="234">
        <v>#VALUE!</v>
      </c>
      <c r="EF232" s="10" cm="1">
        <f t="array" aca="1" ref="EF232" ca="1">_FV(ED232,"Ações em circulação",TRUE)</f>
        <v>11160570</v>
      </c>
      <c r="EG232" s="18">
        <f>VLOOKUP(BQ232,Fundamentus!A:U,5,FALSE)</f>
        <v>0.115</v>
      </c>
      <c r="EH232" s="2">
        <f t="shared" ca="1" si="238"/>
        <v>1339268400</v>
      </c>
      <c r="EI232" s="17">
        <v>-61218152.660869561</v>
      </c>
      <c r="EJ232" s="17">
        <f t="shared" ca="1" si="239"/>
        <v>-53570736</v>
      </c>
      <c r="EL232" s="16">
        <f t="shared" ca="1" si="226"/>
        <v>-0.1249207355738744</v>
      </c>
      <c r="EM232" s="32" t="str">
        <f>IF(VLOOKUP(BQ232,Fundamentus!A:U,3,FALSE)&lt;15,"Bom",IF(VLOOKUP(BQ232,Fundamentus!A:U,3,FALSE)&gt;15,"Ruim","n/a"))</f>
        <v>Bom</v>
      </c>
      <c r="EN232" s="28" t="str">
        <f>IF(VLOOKUP(BQ232,Fundamentus!A:U,4,FALSE)&lt;1,"Baixo",IF(VLOOKUP(BQ232,Fundamentus!A:U,4,FALSE)&lt;1.5,"Moderado",IF(VLOOKUP(BQ232,Fundamentus!A:U,4,FALSE)&gt;1.5,"Alto","n/a")))</f>
        <v>Baixo</v>
      </c>
      <c r="EO232" s="17" t="str">
        <f>IF(VLOOKUP(BQ232,Fundamentus!A:U,8,FALSE)&lt;0,"Risco elevado",IF(VLOOKUP(BQ232,Fundamentus!A:U,8,FALSE)&lt;1,"Saudável",IF(VLOOKUP(BQ232,Fundamentus!A:U,8,FALSE)&lt;3,"Estável",IF(VLOOKUP(BQ232,Fundamentus!A:U,8,FALSE)&gt;3,"Alerta","n/a"))))</f>
        <v>Saudável</v>
      </c>
      <c r="EP232" s="28" t="str">
        <f t="shared" si="240"/>
        <v>Ruim</v>
      </c>
      <c r="EQ232" s="17" t="str">
        <f>IF(VLOOKUP(BQ232,Fundamentus!A:U,12,FALSE)&lt;2,"Subvalorizada",IF(VLOOKUP(BQ232,Fundamentus!A:U,12,FALSE)&lt;6,"Muita barata",IF(VLOOKUP(BQ232,Fundamentus!A:U,12,FALSE)&lt;6,"Barata",IF(VLOOKUP(BQ232,Fundamentus!A:U,12,FALSE)&lt;8,"Atrativa",IF(VLOOKUP(BQ232,Fundamentus!A:U,12,FALSE)&gt;8,"Supervalorizada","n/a")))))</f>
        <v>Subvalorizada</v>
      </c>
      <c r="ES232" s="17" t="str">
        <f>IF(VLOOKUP(BQ232,Fundamentus!A:U,17,FALSE)&lt;0.1,"Fraco retorno",IF(VLOOKUP(BQ232,Fundamentus!A:U,17,FALSE)&gt;0.1,"Bom retorno","n/a"))</f>
        <v>Fraco retorno</v>
      </c>
      <c r="ET232" s="17" t="str">
        <f>IF(VLOOKUP(BQ232,Fundamentus!A:U,16,FALSE)&lt;0.1,"Ineficiente",IF(VLOOKUP(BQ232,Fundamentus!A:U,16,FALSE)&gt;0.1,"Eficiente","n/a"))</f>
        <v>Ineficiente</v>
      </c>
      <c r="EU232" s="33" t="str">
        <f>IF(VLOOKUP(BQ232,Fundamentus!A:U,16,FALSE)&lt;0.1,"Oper. Ineficiente",IF(VLOOKUP(BQ232,Fundamentus!A:U,16,FALSE)&gt;0.1,"Oper.Eficiente","n/a"))</f>
        <v>Oper. Ineficiente</v>
      </c>
      <c r="EV232" s="34">
        <f>VLOOKUP(BQ232,Fundamentus!A:U,14,FALSE)</f>
        <v>-0.04</v>
      </c>
      <c r="EW232" s="17" t="str">
        <f>IF(VLOOKUP(BQ232,Fundamentus!A:U,21,FALSE)&lt;0,"Negativo",IF(VLOOKUP(BQ232,Fundamentus!A:U,21,FALSE)&lt;0.05,"Fraco",IF(VLOOKUP(BQ232,Fundamentus!A:U,21,FALSE)&lt;0.1,"Bom",IF(VLOOKUP(BQ232,Fundamentus!A:U,21,FALSE)&gt;0.1,"Muito bom","n/a"))))</f>
        <v>Fraco</v>
      </c>
      <c r="EY232" s="29" t="str">
        <f>IF(VLOOKUP(BQ232,Fundamentus!A:U,15,FALSE)&gt;1,"Bom",IF(VLOOKUP(BQ232,Fundamentus!A:U,15,FALSE)&lt;1,"Ruim","n/a"))</f>
        <v>Bom</v>
      </c>
      <c r="EZ232" s="17" t="str">
        <f>IF(VLOOKUP(BQ232,Fundamentus!A:U,20,FALSE)&lt;0.5,"Baixa",IF(VLOOKUP(BQ232,Fundamentus!A:U,20,FALSE)&lt;1,"Moderada",IF(VLOOKUP(BQ232,Fundamentus!A:U,20,FALSE)&lt;2,"Alerta",IF(VLOOKUP(BQ232,Fundamentus!A:U,20,FALSE)&gt;2,"Alta","n/a"))))</f>
        <v>Moderada</v>
      </c>
    </row>
    <row r="233" spans="1:156" s="2" customFormat="1" ht="11.25" hidden="1" x14ac:dyDescent="0.2">
      <c r="A233" s="4">
        <v>30.26</v>
      </c>
      <c r="B233" s="4">
        <v>30.39</v>
      </c>
      <c r="C233" s="4">
        <v>30.33</v>
      </c>
      <c r="D233" s="4">
        <v>29.67</v>
      </c>
      <c r="E233" s="4">
        <v>27.25</v>
      </c>
      <c r="F233" s="4">
        <v>28.71</v>
      </c>
      <c r="G233" s="4">
        <v>28.74</v>
      </c>
      <c r="H233" s="4">
        <v>29.05</v>
      </c>
      <c r="I233" s="4">
        <v>28.7</v>
      </c>
      <c r="J233" s="4">
        <v>28.95</v>
      </c>
      <c r="K233" s="4">
        <v>29.47</v>
      </c>
      <c r="L233" s="4">
        <v>28.37</v>
      </c>
      <c r="M233" s="4">
        <v>29.51</v>
      </c>
      <c r="N233" s="4">
        <v>28.25</v>
      </c>
      <c r="O233" s="4">
        <v>29.41</v>
      </c>
      <c r="P233" s="4">
        <v>31.2</v>
      </c>
      <c r="Q233" s="4">
        <v>31.03</v>
      </c>
      <c r="R233" s="4">
        <v>28.54</v>
      </c>
      <c r="S233" s="4">
        <v>28.32</v>
      </c>
      <c r="T233" s="4">
        <v>29.08</v>
      </c>
      <c r="U233" s="4">
        <v>27.31</v>
      </c>
      <c r="V233" s="4">
        <v>26.7</v>
      </c>
      <c r="W233" s="4">
        <v>26.8</v>
      </c>
      <c r="X233" s="4">
        <v>26.62</v>
      </c>
      <c r="Y233" s="4">
        <v>26.91</v>
      </c>
      <c r="Z233" s="4">
        <v>26.2</v>
      </c>
      <c r="AA233" s="4">
        <v>22.72</v>
      </c>
      <c r="AB233" s="4">
        <v>20.96</v>
      </c>
      <c r="AC233" s="4">
        <v>20.6</v>
      </c>
      <c r="AD233" s="4">
        <v>20.18</v>
      </c>
      <c r="AE233" s="4">
        <v>19.52</v>
      </c>
      <c r="AF233" s="4">
        <v>18.989999999999998</v>
      </c>
      <c r="AG233" s="4">
        <v>18.420000000000002</v>
      </c>
      <c r="AH233" s="4">
        <v>18.649999999999999</v>
      </c>
      <c r="AI233" s="4">
        <v>18.03</v>
      </c>
      <c r="AJ233" s="4">
        <v>17.920000000000002</v>
      </c>
      <c r="AK233" s="4">
        <v>17.82</v>
      </c>
      <c r="AL233" s="4">
        <v>18.29</v>
      </c>
      <c r="AM233" s="4">
        <v>18.399999999999999</v>
      </c>
      <c r="AN233" s="4">
        <v>18.28</v>
      </c>
      <c r="AO233" s="4">
        <v>18.55</v>
      </c>
      <c r="AP233" s="4">
        <v>19.72</v>
      </c>
      <c r="AQ233" s="4">
        <v>19.52</v>
      </c>
      <c r="AR233" s="4">
        <v>19.05</v>
      </c>
      <c r="AS233" s="4">
        <v>19.54</v>
      </c>
      <c r="AT233" s="4">
        <v>20.34</v>
      </c>
      <c r="AU233" s="4">
        <v>19.875</v>
      </c>
      <c r="AV233" s="4">
        <v>19.760000000000002</v>
      </c>
      <c r="AW233" s="4">
        <v>20.329999999999998</v>
      </c>
      <c r="AX233" s="4">
        <v>19.37</v>
      </c>
      <c r="AY233" s="12">
        <v>19.97</v>
      </c>
      <c r="AZ233" s="12">
        <v>24.03</v>
      </c>
      <c r="BA233" s="12">
        <v>24.12</v>
      </c>
      <c r="BB233" s="15">
        <v>22.8</v>
      </c>
      <c r="BC233" s="52">
        <v>24.69</v>
      </c>
      <c r="BD233" s="52">
        <v>24.45</v>
      </c>
      <c r="BE233" s="52">
        <v>25.4</v>
      </c>
      <c r="BF233" s="52">
        <v>25.99</v>
      </c>
      <c r="BG233" s="67">
        <v>27.8</v>
      </c>
      <c r="BH233" s="52">
        <v>27.47</v>
      </c>
      <c r="BI233" s="52">
        <v>26.85</v>
      </c>
      <c r="BJ233" s="52">
        <v>27.7</v>
      </c>
      <c r="BK233" s="52">
        <v>27.01</v>
      </c>
      <c r="BL233" s="52">
        <v>26.42</v>
      </c>
      <c r="BM233" s="52">
        <v>26.26</v>
      </c>
      <c r="BN233" s="52">
        <v>25.88</v>
      </c>
      <c r="BO233" s="52">
        <v>23.11</v>
      </c>
      <c r="BP233" s="52" cm="1">
        <f t="array" aca="1" ref="BP233" ca="1">_FV(ED233,"Preço")</f>
        <v>22.82</v>
      </c>
      <c r="BQ233" s="69" t="s">
        <v>229</v>
      </c>
      <c r="BR233" s="36" cm="1">
        <f t="array" aca="1" ref="BR233" ca="1">_FV(ED233,"Média de volume",TRUE)</f>
        <v>4142220</v>
      </c>
      <c r="BS233" s="36">
        <v>6054000</v>
      </c>
      <c r="BT233" s="36" cm="1">
        <f t="array" aca="1" ref="BT233" ca="1">_FV(ED233,"Volume")</f>
        <v>1293100</v>
      </c>
      <c r="BU233" s="24" cm="1">
        <f t="array" aca="1" ref="BU233" ca="1">_FV(ED233,"Beta")</f>
        <v>1.0911</v>
      </c>
      <c r="BV233" s="71" cm="1">
        <f t="array" aca="1" ref="BV233" ca="1">_FV(ED233,"Variação (%)",TRUE)</f>
        <v>-7.8259999999999996E-3</v>
      </c>
      <c r="BX233" s="17" cm="1">
        <f t="array" aca="1" ref="BX233" ca="1">_FV(ED233,"Baixo")</f>
        <v>22.56</v>
      </c>
      <c r="BY233" s="17" cm="1">
        <f t="array" aca="1" ref="BY233" ca="1">_FV(ED233,"Alto")</f>
        <v>23.1</v>
      </c>
      <c r="BZ233" s="24"/>
      <c r="CA233" s="63">
        <f ca="1">SQRT(22.5*(BP233/VLOOKUP(BQ233,Fundamentus!A:U,3,FALSE))*(BP233/VLOOKUP(BQ233,Fundamentus!A:U,4,FALSE)))</f>
        <v>19.876252461833694</v>
      </c>
      <c r="CC233" s="62">
        <f t="shared" ca="1" si="241"/>
        <v>-1.254868022501078E-2</v>
      </c>
      <c r="CD233" s="8"/>
      <c r="CE233" s="61">
        <f t="shared" si="242"/>
        <v>17.82</v>
      </c>
      <c r="CF233" s="61">
        <f t="shared" si="243"/>
        <v>31.2</v>
      </c>
      <c r="CG233" s="61">
        <f t="shared" si="244"/>
        <v>24.485895522388052</v>
      </c>
      <c r="CH233" s="14"/>
      <c r="CI233" s="35">
        <f t="shared" si="227"/>
        <v>20.114986972508348</v>
      </c>
      <c r="CJ233" s="15">
        <f t="shared" si="245"/>
        <v>22.840000000000146</v>
      </c>
      <c r="CK233" s="35">
        <f t="shared" si="228"/>
        <v>25.565013027491943</v>
      </c>
      <c r="CM233" s="14"/>
      <c r="CN233" s="17">
        <f t="shared" si="229"/>
        <v>3.5066666666666677</v>
      </c>
      <c r="CO233" s="17">
        <f t="shared" si="230"/>
        <v>10.663333333333334</v>
      </c>
      <c r="CP233" s="17">
        <f t="shared" si="231"/>
        <v>16.886666666666667</v>
      </c>
      <c r="CQ233" s="38">
        <f t="shared" si="246"/>
        <v>24.043333333333333</v>
      </c>
      <c r="CR233" s="17">
        <f t="shared" si="232"/>
        <v>30.266666666666666</v>
      </c>
      <c r="CS233" s="17">
        <f t="shared" si="233"/>
        <v>37.423333333333332</v>
      </c>
      <c r="CT233" s="17">
        <f t="shared" si="234"/>
        <v>43.646666666666661</v>
      </c>
      <c r="CU233" s="2" cm="1">
        <f t="array" aca="1" ref="CU233" ca="1">MAX(_xlfn._xlws.FILTER(CN233:CT233,CN233:CT233&lt;BP233))</f>
        <v>16.886666666666667</v>
      </c>
      <c r="CV233" s="2" cm="1">
        <f t="array" aca="1" ref="CV233" ca="1">MIN(_xlfn._xlws.FILTER($CN233:$CT233,$CN233:$CT233&gt;BP233))</f>
        <v>24.043333333333333</v>
      </c>
      <c r="CW233" s="16">
        <f t="shared" ca="1" si="248"/>
        <v>0.42380576391630465</v>
      </c>
      <c r="CX233" s="20">
        <f t="shared" ca="1" si="249"/>
        <v>-0.21190288195815232</v>
      </c>
      <c r="CY233" s="20">
        <f t="shared" ca="1" si="250"/>
        <v>-0.14126858797210154</v>
      </c>
      <c r="CZ233" s="20">
        <f t="shared" ca="1" si="251"/>
        <v>-8.4761152783260935E-2</v>
      </c>
      <c r="DA233" s="20">
        <f t="shared" ca="1" si="252"/>
        <v>-4.7089529324033846E-2</v>
      </c>
      <c r="DB233" s="20">
        <f t="shared" ca="1" si="253"/>
        <v>-2.4929750818606156E-2</v>
      </c>
      <c r="DC233" s="20">
        <f t="shared" ca="1" si="254"/>
        <v>-1.2842598906554686E-2</v>
      </c>
      <c r="DD233" s="20">
        <f t="shared" ca="1" si="255"/>
        <v>-6.5200886756354558E-3</v>
      </c>
      <c r="DE233" s="21">
        <f t="shared" ca="1" si="256"/>
        <v>6.5200886756354558E-3</v>
      </c>
      <c r="DF233" s="21">
        <f t="shared" ca="1" si="257"/>
        <v>1.2842598906554686E-2</v>
      </c>
      <c r="DG233" s="21">
        <f t="shared" ca="1" si="258"/>
        <v>2.4929750818606156E-2</v>
      </c>
      <c r="DH233" s="21">
        <f t="shared" ca="1" si="259"/>
        <v>4.7089529324033846E-2</v>
      </c>
      <c r="DI233" s="21">
        <f t="shared" ca="1" si="260"/>
        <v>8.4761152783260935E-2</v>
      </c>
      <c r="DJ233" s="21">
        <f t="shared" ca="1" si="261"/>
        <v>0.14126858797210154</v>
      </c>
      <c r="DK233" s="21">
        <f t="shared" ca="1" si="262"/>
        <v>0.21190288195815232</v>
      </c>
      <c r="DM233" s="16" cm="1">
        <f t="array" aca="1" ref="DM233" ca="1">MAX(_xlfn._xlws.FILTER(CX233:DK233,CX233:DK233&lt;BV233))</f>
        <v>-1.2842598906554686E-2</v>
      </c>
      <c r="DN233" s="16" cm="1">
        <f t="array" aca="1" ref="DN233" ca="1">MIN(_xlfn._xlws.FILTER(CX233:DK233,CX233:DK233&gt;BV233))</f>
        <v>-6.5200886756354558E-3</v>
      </c>
      <c r="DO233" s="2" cm="1">
        <f t="array" aca="1" ref="DO233" ca="1">_FV(ED233,"Fechamento anterior",TRUE)</f>
        <v>23</v>
      </c>
      <c r="DP233" s="28">
        <f t="shared" ca="1" si="235"/>
        <v>0.79343674692696298</v>
      </c>
      <c r="DQ233" s="15">
        <f t="shared" ca="1" si="263"/>
        <v>22.704620225149242</v>
      </c>
      <c r="DR233" s="15">
        <f t="shared" ca="1" si="264"/>
        <v>22.850037960460384</v>
      </c>
      <c r="DS233" s="9"/>
      <c r="DT233" s="9"/>
      <c r="DU233" s="9"/>
      <c r="DV233" s="89">
        <v>2.2159778505427691E-2</v>
      </c>
      <c r="DW233" s="89">
        <f t="shared" ca="1" si="236"/>
        <v>6.3225102309192299E-3</v>
      </c>
      <c r="DX233" s="72">
        <f t="shared" ca="1" si="237"/>
        <v>-7.3394144535719776E-3</v>
      </c>
      <c r="DY233" s="37"/>
      <c r="DZ233" s="35">
        <f t="shared" si="247"/>
        <v>1.3625065137458985</v>
      </c>
      <c r="EA233" s="56"/>
      <c r="EB233" s="56"/>
      <c r="ED233" s="2" t="e" vm="235">
        <v>#VALUE!</v>
      </c>
      <c r="EF233" s="10" cm="1">
        <f t="array" aca="1" ref="EF233" ca="1">_FV(ED233,"Ações em circulação",TRUE)</f>
        <v>633420800</v>
      </c>
      <c r="EG233" s="18">
        <f>VLOOKUP(BQ233,Fundamentus!A:U,5,FALSE)</f>
        <v>2.5049999999999999</v>
      </c>
      <c r="EH233" s="2">
        <f t="shared" ca="1" si="238"/>
        <v>5770324413.572855</v>
      </c>
      <c r="EI233" s="17">
        <v>698901086.10171652</v>
      </c>
      <c r="EJ233" s="17">
        <f t="shared" ca="1" si="239"/>
        <v>690130799.86331344</v>
      </c>
      <c r="EL233" s="16">
        <f t="shared" ca="1" si="226"/>
        <v>-1.2548680225010655E-2</v>
      </c>
      <c r="EM233" s="32" t="str">
        <f>IF(VLOOKUP(BQ233,Fundamentus!A:U,3,FALSE)&lt;15,"Bom",IF(VLOOKUP(BQ233,Fundamentus!A:U,3,FALSE)&gt;15,"Ruim","n/a"))</f>
        <v>Ruim</v>
      </c>
      <c r="EN233" s="28" t="str">
        <f>IF(VLOOKUP(BQ233,Fundamentus!A:U,4,FALSE)&lt;1,"Baixo",IF(VLOOKUP(BQ233,Fundamentus!A:U,4,FALSE)&lt;1.5,"Moderado",IF(VLOOKUP(BQ233,Fundamentus!A:U,4,FALSE)&gt;1.5,"Alto","n/a")))</f>
        <v>Moderado</v>
      </c>
      <c r="EO233" s="17" t="str">
        <f>IF(VLOOKUP(BQ233,Fundamentus!A:U,8,FALSE)&lt;0,"Risco elevado",IF(VLOOKUP(BQ233,Fundamentus!A:U,8,FALSE)&lt;1,"Saudável",IF(VLOOKUP(BQ233,Fundamentus!A:U,8,FALSE)&lt;3,"Estável",IF(VLOOKUP(BQ233,Fundamentus!A:U,8,FALSE)&gt;3,"Alerta","n/a"))))</f>
        <v>Alerta</v>
      </c>
      <c r="EP233" s="28" t="str">
        <f t="shared" si="240"/>
        <v>Bom</v>
      </c>
      <c r="EQ233" s="17" t="str">
        <f>IF(VLOOKUP(BQ233,Fundamentus!A:U,12,FALSE)&lt;2,"Subvalorizada",IF(VLOOKUP(BQ233,Fundamentus!A:U,12,FALSE)&lt;6,"Muita barata",IF(VLOOKUP(BQ233,Fundamentus!A:U,12,FALSE)&lt;6,"Barata",IF(VLOOKUP(BQ233,Fundamentus!A:U,12,FALSE)&lt;8,"Atrativa",IF(VLOOKUP(BQ233,Fundamentus!A:U,12,FALSE)&gt;8,"Supervalorizada","n/a")))))</f>
        <v>Supervalorizada</v>
      </c>
      <c r="ES233" s="17" t="str">
        <f>IF(VLOOKUP(BQ233,Fundamentus!A:U,17,FALSE)&lt;0.1,"Fraco retorno",IF(VLOOKUP(BQ233,Fundamentus!A:U,17,FALSE)&gt;0.1,"Bom retorno","n/a"))</f>
        <v>Fraco retorno</v>
      </c>
      <c r="ET233" s="17" t="str">
        <f>IF(VLOOKUP(BQ233,Fundamentus!A:U,16,FALSE)&lt;0.1,"Ineficiente",IF(VLOOKUP(BQ233,Fundamentus!A:U,16,FALSE)&gt;0.1,"Eficiente","n/a"))</f>
        <v>Ineficiente</v>
      </c>
      <c r="EU233" s="33" t="str">
        <f>IF(VLOOKUP(BQ233,Fundamentus!A:U,16,FALSE)&lt;0.1,"Oper. Ineficiente",IF(VLOOKUP(BQ233,Fundamentus!A:U,16,FALSE)&gt;0.1,"Oper.Eficiente","n/a"))</f>
        <v>Oper. Ineficiente</v>
      </c>
      <c r="EV233" s="34">
        <f>VLOOKUP(BQ233,Fundamentus!A:U,14,FALSE)</f>
        <v>0.1196</v>
      </c>
      <c r="EW233" s="17" t="str">
        <f>IF(VLOOKUP(BQ233,Fundamentus!A:U,21,FALSE)&lt;0,"Negativo",IF(VLOOKUP(BQ233,Fundamentus!A:U,21,FALSE)&lt;0.05,"Fraco",IF(VLOOKUP(BQ233,Fundamentus!A:U,21,FALSE)&lt;0.1,"Bom",IF(VLOOKUP(BQ233,Fundamentus!A:U,21,FALSE)&gt;0.1,"Muito bom","n/a"))))</f>
        <v>Muito bom</v>
      </c>
      <c r="EY233" s="29" t="str">
        <f>IF(VLOOKUP(BQ233,Fundamentus!A:U,15,FALSE)&gt;1,"Bom",IF(VLOOKUP(BQ233,Fundamentus!A:U,15,FALSE)&lt;1,"Ruim","n/a"))</f>
        <v>Bom</v>
      </c>
      <c r="EZ233" s="17" t="str">
        <f>IF(VLOOKUP(BQ233,Fundamentus!A:U,20,FALSE)&lt;0.5,"Baixa",IF(VLOOKUP(BQ233,Fundamentus!A:U,20,FALSE)&lt;1,"Moderada",IF(VLOOKUP(BQ233,Fundamentus!A:U,20,FALSE)&lt;2,"Alerta",IF(VLOOKUP(BQ233,Fundamentus!A:U,20,FALSE)&gt;2,"Alta","n/a"))))</f>
        <v>Moderada</v>
      </c>
    </row>
    <row r="234" spans="1:156" s="2" customFormat="1" ht="11.25" hidden="1" x14ac:dyDescent="0.2">
      <c r="A234" s="4">
        <v>2.48</v>
      </c>
      <c r="B234" s="4">
        <v>2.46</v>
      </c>
      <c r="C234" s="4">
        <v>2.75</v>
      </c>
      <c r="D234" s="4">
        <v>2.67</v>
      </c>
      <c r="E234" s="4">
        <v>2.66</v>
      </c>
      <c r="F234" s="4">
        <v>2.1800000000000002</v>
      </c>
      <c r="G234" s="4">
        <v>2.16</v>
      </c>
      <c r="H234" s="4">
        <v>2.06</v>
      </c>
      <c r="I234" s="4">
        <v>1.98</v>
      </c>
      <c r="J234" s="4">
        <v>2.0299999999999998</v>
      </c>
      <c r="K234" s="4">
        <v>2.2400000000000002</v>
      </c>
      <c r="L234" s="4">
        <v>1.89</v>
      </c>
      <c r="M234" s="4">
        <v>1.83</v>
      </c>
      <c r="N234" s="4">
        <v>1.88</v>
      </c>
      <c r="O234" s="4">
        <v>1.87</v>
      </c>
      <c r="P234" s="4">
        <v>1.71</v>
      </c>
      <c r="Q234" s="4">
        <v>1.79</v>
      </c>
      <c r="R234" s="4">
        <v>1.69</v>
      </c>
      <c r="S234" s="4">
        <v>1.47</v>
      </c>
      <c r="T234" s="4">
        <v>1.39</v>
      </c>
      <c r="U234" s="4">
        <v>1.36</v>
      </c>
      <c r="V234" s="4">
        <v>1.38</v>
      </c>
      <c r="W234" s="4">
        <v>1.3</v>
      </c>
      <c r="X234" s="4">
        <v>1.26</v>
      </c>
      <c r="Y234" s="4">
        <v>1.22</v>
      </c>
      <c r="Z234" s="4">
        <v>1.25</v>
      </c>
      <c r="AA234" s="4">
        <v>1.22</v>
      </c>
      <c r="AB234" s="4">
        <v>1.31</v>
      </c>
      <c r="AC234" s="4">
        <v>1.1599999999999999</v>
      </c>
      <c r="AD234" s="4">
        <v>1.1399999999999999</v>
      </c>
      <c r="AE234" s="4">
        <v>1.23</v>
      </c>
      <c r="AF234" s="4">
        <v>1.22</v>
      </c>
      <c r="AG234" s="4">
        <v>1.18</v>
      </c>
      <c r="AH234" s="4">
        <v>1.1000000000000001</v>
      </c>
      <c r="AI234" s="4">
        <v>1.06</v>
      </c>
      <c r="AJ234" s="4">
        <v>1.04</v>
      </c>
      <c r="AK234" s="4">
        <v>1.02</v>
      </c>
      <c r="AL234" s="4">
        <v>1.1100000000000001</v>
      </c>
      <c r="AM234" s="4">
        <v>1.22</v>
      </c>
      <c r="AN234" s="4">
        <v>1.38</v>
      </c>
      <c r="AO234" s="4">
        <v>1.23</v>
      </c>
      <c r="AP234" s="4">
        <v>1.39</v>
      </c>
      <c r="AQ234" s="4">
        <v>1.29</v>
      </c>
      <c r="AR234" s="4">
        <v>1.25</v>
      </c>
      <c r="AS234" s="4">
        <v>1.23</v>
      </c>
      <c r="AT234" s="4">
        <v>1.32</v>
      </c>
      <c r="AU234" s="4">
        <v>1.1200000000000001</v>
      </c>
      <c r="AV234" s="4">
        <v>1.04</v>
      </c>
      <c r="AW234" s="4">
        <v>1.04</v>
      </c>
      <c r="AX234" s="4">
        <v>1.1000000000000001</v>
      </c>
      <c r="AY234" s="12">
        <v>1.1399999999999999</v>
      </c>
      <c r="AZ234" s="12">
        <v>1.24</v>
      </c>
      <c r="BA234" s="12">
        <v>1.22</v>
      </c>
      <c r="BB234" s="15">
        <v>1.21</v>
      </c>
      <c r="BC234" s="52">
        <v>1.08</v>
      </c>
      <c r="BD234" s="52">
        <v>1.18</v>
      </c>
      <c r="BE234" s="52">
        <v>1.19</v>
      </c>
      <c r="BF234" s="52">
        <v>1.25</v>
      </c>
      <c r="BG234" s="67">
        <v>1.2</v>
      </c>
      <c r="BH234" s="52">
        <v>1.1499999999999999</v>
      </c>
      <c r="BI234" s="52">
        <v>1.17</v>
      </c>
      <c r="BJ234" s="52">
        <v>1.1299999999999999</v>
      </c>
      <c r="BK234" s="52">
        <v>1.0900000000000001</v>
      </c>
      <c r="BL234" s="52">
        <v>1.02</v>
      </c>
      <c r="BM234" s="52">
        <v>1.03</v>
      </c>
      <c r="BN234" s="52">
        <v>1.01</v>
      </c>
      <c r="BO234" s="52">
        <v>1</v>
      </c>
      <c r="BP234" s="52" cm="1">
        <f t="array" aca="1" ref="BP234" ca="1">_FV(ED234,"Preço")</f>
        <v>0.99</v>
      </c>
      <c r="BQ234" s="69" t="s">
        <v>230</v>
      </c>
      <c r="BR234" s="36" cm="1">
        <f t="array" aca="1" ref="BR234" ca="1">_FV(ED234,"Média de volume",TRUE)</f>
        <v>933230</v>
      </c>
      <c r="BS234" s="36">
        <v>520600</v>
      </c>
      <c r="BT234" s="36" cm="1">
        <f t="array" aca="1" ref="BT234" ca="1">_FV(ED234,"Volume")</f>
        <v>534700</v>
      </c>
      <c r="BU234" s="24" cm="1">
        <f t="array" aca="1" ref="BU234" ca="1">_FV(ED234,"Beta")</f>
        <v>1.7871999999999999</v>
      </c>
      <c r="BV234" s="71" cm="1">
        <f t="array" aca="1" ref="BV234" ca="1">_FV(ED234,"Variação (%)",TRUE)</f>
        <v>1.0204E-2</v>
      </c>
      <c r="BX234" s="17" cm="1">
        <f t="array" aca="1" ref="BX234" ca="1">_FV(ED234,"Baixo")</f>
        <v>0.98</v>
      </c>
      <c r="BY234" s="17" cm="1">
        <f t="array" aca="1" ref="BY234" ca="1">_FV(ED234,"Alto")</f>
        <v>1</v>
      </c>
      <c r="BZ234" s="24"/>
      <c r="CA234" s="63" t="e">
        <f ca="1">SQRT(22.5*(BP234/VLOOKUP(BQ234,Fundamentus!A:U,3,FALSE))*(BP234/VLOOKUP(BQ234,Fundamentus!A:U,4,FALSE)))</f>
        <v>#NUM!</v>
      </c>
      <c r="CC234" s="62">
        <f t="shared" ca="1" si="241"/>
        <v>-1.0000000000000009E-2</v>
      </c>
      <c r="CD234" s="8"/>
      <c r="CE234" s="61">
        <f t="shared" si="242"/>
        <v>1</v>
      </c>
      <c r="CF234" s="61">
        <f t="shared" si="243"/>
        <v>2.75</v>
      </c>
      <c r="CG234" s="61">
        <f t="shared" si="244"/>
        <v>1.4428358208955225</v>
      </c>
      <c r="CH234" s="14"/>
      <c r="CI234" s="35">
        <f t="shared" si="227"/>
        <v>0.93175444679662978</v>
      </c>
      <c r="CJ234" s="15">
        <f t="shared" si="245"/>
        <v>0.99499999999999744</v>
      </c>
      <c r="CK234" s="35">
        <f t="shared" si="228"/>
        <v>1.058245553203365</v>
      </c>
      <c r="CM234" s="14"/>
      <c r="CN234" s="17">
        <f t="shared" si="229"/>
        <v>-1.3333333333333335</v>
      </c>
      <c r="CO234" s="17">
        <f t="shared" si="230"/>
        <v>-0.16666666666666674</v>
      </c>
      <c r="CP234" s="17">
        <f t="shared" si="231"/>
        <v>0.41666666666666652</v>
      </c>
      <c r="CQ234" s="38">
        <f t="shared" si="246"/>
        <v>1.5833333333333333</v>
      </c>
      <c r="CR234" s="17">
        <f t="shared" si="232"/>
        <v>2.1666666666666665</v>
      </c>
      <c r="CS234" s="17">
        <f t="shared" si="233"/>
        <v>3.333333333333333</v>
      </c>
      <c r="CT234" s="17">
        <f t="shared" si="234"/>
        <v>3.9166666666666665</v>
      </c>
      <c r="CU234" s="2" cm="1">
        <f t="array" aca="1" ref="CU234" ca="1">MAX(_xlfn._xlws.FILTER(CN234:CT234,CN234:CT234&lt;BP234))</f>
        <v>0.41666666666666652</v>
      </c>
      <c r="CV234" s="2" cm="1">
        <f t="array" aca="1" ref="CV234" ca="1">MIN(_xlfn._xlws.FILTER($CN234:$CT234,$CN234:$CT234&gt;BP234))</f>
        <v>1.5833333333333333</v>
      </c>
      <c r="CW234" s="16">
        <f t="shared" ca="1" si="248"/>
        <v>2.8000000000000012</v>
      </c>
      <c r="CX234" s="20">
        <f t="shared" ca="1" si="249"/>
        <v>-1.4000000000000006</v>
      </c>
      <c r="CY234" s="20">
        <f t="shared" ca="1" si="250"/>
        <v>-0.93333333333333368</v>
      </c>
      <c r="CZ234" s="20">
        <f t="shared" ca="1" si="251"/>
        <v>-0.56000000000000028</v>
      </c>
      <c r="DA234" s="20">
        <f t="shared" ca="1" si="252"/>
        <v>-0.31111111111111123</v>
      </c>
      <c r="DB234" s="20">
        <f t="shared" ca="1" si="253"/>
        <v>-0.16470588235294126</v>
      </c>
      <c r="DC234" s="20">
        <f t="shared" ca="1" si="254"/>
        <v>-8.4848484848484881E-2</v>
      </c>
      <c r="DD234" s="20">
        <f t="shared" ca="1" si="255"/>
        <v>-4.3076923076923096E-2</v>
      </c>
      <c r="DE234" s="21">
        <f t="shared" ca="1" si="256"/>
        <v>4.3076923076923096E-2</v>
      </c>
      <c r="DF234" s="21">
        <f t="shared" ca="1" si="257"/>
        <v>8.4848484848484881E-2</v>
      </c>
      <c r="DG234" s="21">
        <f t="shared" ca="1" si="258"/>
        <v>0.16470588235294126</v>
      </c>
      <c r="DH234" s="21">
        <f t="shared" ca="1" si="259"/>
        <v>0.31111111111111123</v>
      </c>
      <c r="DI234" s="21">
        <f t="shared" ca="1" si="260"/>
        <v>0.56000000000000028</v>
      </c>
      <c r="DJ234" s="21">
        <f t="shared" ca="1" si="261"/>
        <v>0.93333333333333368</v>
      </c>
      <c r="DK234" s="21">
        <f t="shared" ca="1" si="262"/>
        <v>1.4000000000000006</v>
      </c>
      <c r="DM234" s="16" cm="1">
        <f t="array" aca="1" ref="DM234" ca="1">MAX(_xlfn._xlws.FILTER(CX234:DK234,CX234:DK234&lt;BV234))</f>
        <v>-4.3076923076923096E-2</v>
      </c>
      <c r="DN234" s="16" cm="1">
        <f t="array" aca="1" ref="DN234" ca="1">MIN(_xlfn._xlws.FILTER(CX234:DK234,CX234:DK234&gt;BV234))</f>
        <v>4.3076923076923096E-2</v>
      </c>
      <c r="DO234" s="2" cm="1">
        <f t="array" aca="1" ref="DO234" ca="1">_FV(ED234,"Fechamento anterior",TRUE)</f>
        <v>0.98</v>
      </c>
      <c r="DP234" s="28">
        <f t="shared" ca="1" si="235"/>
        <v>0.61844023323615238</v>
      </c>
      <c r="DQ234" s="15">
        <f t="shared" ca="1" si="263"/>
        <v>0.93778461538461533</v>
      </c>
      <c r="DR234" s="15">
        <f t="shared" ca="1" si="264"/>
        <v>1.0222153846153845</v>
      </c>
      <c r="DS234" s="9"/>
      <c r="DT234" s="9"/>
      <c r="DU234" s="9"/>
      <c r="DV234" s="89">
        <v>8.6153846153846192E-2</v>
      </c>
      <c r="DW234" s="89">
        <f t="shared" ca="1" si="236"/>
        <v>8.6153846153846192E-2</v>
      </c>
      <c r="DX234" s="72">
        <f t="shared" ca="1" si="237"/>
        <v>-7.9056941504169073E-2</v>
      </c>
      <c r="DY234" s="37"/>
      <c r="DZ234" s="35">
        <f t="shared" si="247"/>
        <v>3.1622776601683819E-2</v>
      </c>
      <c r="EA234" s="56"/>
      <c r="EB234" s="56"/>
      <c r="ED234" s="2" t="e" vm="236">
        <v>#VALUE!</v>
      </c>
      <c r="EF234" s="10" cm="1">
        <f t="array" aca="1" ref="EF234" ca="1">_FV(ED234,"Ações em circulação",TRUE)</f>
        <v>205018000</v>
      </c>
      <c r="EG234" s="18">
        <f>VLOOKUP(BQ234,Fundamentus!A:U,5,FALSE)</f>
        <v>0.79900000000000004</v>
      </c>
      <c r="EH234" s="2">
        <f t="shared" ca="1" si="238"/>
        <v>254027309.13642052</v>
      </c>
      <c r="EI234" s="17">
        <v>-20219547.434292864</v>
      </c>
      <c r="EJ234" s="17">
        <f t="shared" ca="1" si="239"/>
        <v>-20017351.959949937</v>
      </c>
      <c r="EL234" s="16">
        <f t="shared" ca="1" si="226"/>
        <v>-9.9999999999998979E-3</v>
      </c>
      <c r="EM234" s="32" t="str">
        <f>IF(VLOOKUP(BQ234,Fundamentus!A:U,3,FALSE)&lt;15,"Bom",IF(VLOOKUP(BQ234,Fundamentus!A:U,3,FALSE)&gt;15,"Ruim","n/a"))</f>
        <v>Bom</v>
      </c>
      <c r="EN234" s="28" t="str">
        <f>IF(VLOOKUP(BQ234,Fundamentus!A:U,4,FALSE)&lt;1,"Baixo",IF(VLOOKUP(BQ234,Fundamentus!A:U,4,FALSE)&lt;1.5,"Moderado",IF(VLOOKUP(BQ234,Fundamentus!A:U,4,FALSE)&gt;1.5,"Alto","n/a")))</f>
        <v>Baixo</v>
      </c>
      <c r="EO234" s="17" t="str">
        <f>IF(VLOOKUP(BQ234,Fundamentus!A:U,8,FALSE)&lt;0,"Risco elevado",IF(VLOOKUP(BQ234,Fundamentus!A:U,8,FALSE)&lt;1,"Saudável",IF(VLOOKUP(BQ234,Fundamentus!A:U,8,FALSE)&lt;3,"Estável",IF(VLOOKUP(BQ234,Fundamentus!A:U,8,FALSE)&gt;3,"Alerta","n/a"))))</f>
        <v>Estável</v>
      </c>
      <c r="EP234" s="28" t="str">
        <f t="shared" si="240"/>
        <v>Ruim</v>
      </c>
      <c r="EQ234" s="17" t="str">
        <f>IF(VLOOKUP(BQ234,Fundamentus!A:U,12,FALSE)&lt;2,"Subvalorizada",IF(VLOOKUP(BQ234,Fundamentus!A:U,12,FALSE)&lt;6,"Muita barata",IF(VLOOKUP(BQ234,Fundamentus!A:U,12,FALSE)&lt;6,"Barata",IF(VLOOKUP(BQ234,Fundamentus!A:U,12,FALSE)&lt;8,"Atrativa",IF(VLOOKUP(BQ234,Fundamentus!A:U,12,FALSE)&gt;8,"Supervalorizada","n/a")))))</f>
        <v>Muita barata</v>
      </c>
      <c r="ES234" s="17" t="str">
        <f>IF(VLOOKUP(BQ234,Fundamentus!A:U,17,FALSE)&lt;0.1,"Fraco retorno",IF(VLOOKUP(BQ234,Fundamentus!A:U,17,FALSE)&gt;0.1,"Bom retorno","n/a"))</f>
        <v>Fraco retorno</v>
      </c>
      <c r="ET234" s="17" t="str">
        <f>IF(VLOOKUP(BQ234,Fundamentus!A:U,16,FALSE)&lt;0.1,"Ineficiente",IF(VLOOKUP(BQ234,Fundamentus!A:U,16,FALSE)&gt;0.1,"Eficiente","n/a"))</f>
        <v>Ineficiente</v>
      </c>
      <c r="EU234" s="33" t="str">
        <f>IF(VLOOKUP(BQ234,Fundamentus!A:U,16,FALSE)&lt;0.1,"Oper. Ineficiente",IF(VLOOKUP(BQ234,Fundamentus!A:U,16,FALSE)&gt;0.1,"Oper.Eficiente","n/a"))</f>
        <v>Oper. Ineficiente</v>
      </c>
      <c r="EV234" s="34">
        <f>VLOOKUP(BQ234,Fundamentus!A:U,14,FALSE)</f>
        <v>-7.8799999999999995E-2</v>
      </c>
      <c r="EW234" s="17" t="str">
        <f>IF(VLOOKUP(BQ234,Fundamentus!A:U,21,FALSE)&lt;0,"Negativo",IF(VLOOKUP(BQ234,Fundamentus!A:U,21,FALSE)&lt;0.05,"Fraco",IF(VLOOKUP(BQ234,Fundamentus!A:U,21,FALSE)&lt;0.1,"Bom",IF(VLOOKUP(BQ234,Fundamentus!A:U,21,FALSE)&gt;0.1,"Muito bom","n/a"))))</f>
        <v>Muito bom</v>
      </c>
      <c r="EY234" s="29" t="str">
        <f>IF(VLOOKUP(BQ234,Fundamentus!A:U,15,FALSE)&gt;1,"Bom",IF(VLOOKUP(BQ234,Fundamentus!A:U,15,FALSE)&lt;1,"Ruim","n/a"))</f>
        <v>Bom</v>
      </c>
      <c r="EZ234" s="17" t="str">
        <f>IF(VLOOKUP(BQ234,Fundamentus!A:U,20,FALSE)&lt;0.5,"Baixa",IF(VLOOKUP(BQ234,Fundamentus!A:U,20,FALSE)&lt;1,"Moderada",IF(VLOOKUP(BQ234,Fundamentus!A:U,20,FALSE)&lt;2,"Alerta",IF(VLOOKUP(BQ234,Fundamentus!A:U,20,FALSE)&gt;2,"Alta","n/a"))))</f>
        <v>Baixa</v>
      </c>
    </row>
    <row r="235" spans="1:156" s="2" customFormat="1" ht="11.25" hidden="1" x14ac:dyDescent="0.2">
      <c r="A235" s="4">
        <v>3.23</v>
      </c>
      <c r="B235" s="4">
        <v>3.07</v>
      </c>
      <c r="C235" s="4">
        <v>2.97</v>
      </c>
      <c r="D235" s="4">
        <v>2.84</v>
      </c>
      <c r="E235" s="4">
        <v>2.85</v>
      </c>
      <c r="F235" s="4">
        <v>2.7</v>
      </c>
      <c r="G235" s="4">
        <v>2.8</v>
      </c>
      <c r="H235" s="4">
        <v>2.89</v>
      </c>
      <c r="I235" s="4">
        <v>2.94</v>
      </c>
      <c r="J235" s="4">
        <v>3.08</v>
      </c>
      <c r="K235" s="4">
        <v>3.08</v>
      </c>
      <c r="L235" s="4">
        <v>3.06</v>
      </c>
      <c r="M235" s="4">
        <v>3.06</v>
      </c>
      <c r="N235" s="4">
        <v>2.95</v>
      </c>
      <c r="O235" s="4">
        <v>3.29</v>
      </c>
      <c r="P235" s="4">
        <v>3.3</v>
      </c>
      <c r="Q235" s="4">
        <v>3.27</v>
      </c>
      <c r="R235" s="4">
        <v>3.21</v>
      </c>
      <c r="S235" s="4">
        <v>3.04</v>
      </c>
      <c r="T235" s="4">
        <v>3.09</v>
      </c>
      <c r="U235" s="4">
        <v>3.14</v>
      </c>
      <c r="V235" s="4">
        <v>3.16</v>
      </c>
      <c r="W235" s="4">
        <v>3.05</v>
      </c>
      <c r="X235" s="4">
        <v>2.95</v>
      </c>
      <c r="Y235" s="4">
        <v>2.86</v>
      </c>
      <c r="Z235" s="4">
        <v>2.83</v>
      </c>
      <c r="AA235" s="4">
        <v>2.85</v>
      </c>
      <c r="AB235" s="4">
        <v>2.71</v>
      </c>
      <c r="AC235" s="4">
        <v>2.42</v>
      </c>
      <c r="AD235" s="4">
        <v>2.6</v>
      </c>
      <c r="AE235" s="4">
        <v>2.64</v>
      </c>
      <c r="AF235" s="4">
        <v>2.46</v>
      </c>
      <c r="AG235" s="4">
        <v>2.4500000000000002</v>
      </c>
      <c r="AH235" s="4">
        <v>2.1800000000000002</v>
      </c>
      <c r="AI235" s="4">
        <v>2.12</v>
      </c>
      <c r="AJ235" s="4">
        <v>2.13</v>
      </c>
      <c r="AK235" s="4">
        <v>2.02</v>
      </c>
      <c r="AL235" s="4">
        <v>2.04</v>
      </c>
      <c r="AM235" s="4">
        <v>1.89</v>
      </c>
      <c r="AN235" s="4">
        <v>1.9</v>
      </c>
      <c r="AO235" s="4">
        <v>1.76</v>
      </c>
      <c r="AP235" s="4">
        <v>1.77</v>
      </c>
      <c r="AQ235" s="4">
        <v>1.73</v>
      </c>
      <c r="AR235" s="4">
        <v>1.65</v>
      </c>
      <c r="AS235" s="4">
        <v>1.74</v>
      </c>
      <c r="AT235" s="4">
        <v>1.78</v>
      </c>
      <c r="AU235" s="4">
        <v>1.845</v>
      </c>
      <c r="AV235" s="4">
        <v>1.86</v>
      </c>
      <c r="AW235" s="4">
        <v>1.74</v>
      </c>
      <c r="AX235" s="4">
        <v>1.76</v>
      </c>
      <c r="AY235" s="12">
        <v>1.76</v>
      </c>
      <c r="AZ235" s="12">
        <v>1.8</v>
      </c>
      <c r="BA235" s="12">
        <v>1.81</v>
      </c>
      <c r="BB235" s="15">
        <v>1.82</v>
      </c>
      <c r="BC235" s="52">
        <v>1.7</v>
      </c>
      <c r="BD235" s="52">
        <v>2.14</v>
      </c>
      <c r="BE235" s="52">
        <v>1.94</v>
      </c>
      <c r="BF235" s="52">
        <v>1.98</v>
      </c>
      <c r="BG235" s="67">
        <v>1.83</v>
      </c>
      <c r="BH235" s="52">
        <v>1.72</v>
      </c>
      <c r="BI235" s="52">
        <v>1.63</v>
      </c>
      <c r="BJ235" s="52">
        <v>1.71</v>
      </c>
      <c r="BK235" s="52">
        <v>1.54</v>
      </c>
      <c r="BL235" s="52">
        <v>1.52</v>
      </c>
      <c r="BM235" s="52">
        <v>1.48</v>
      </c>
      <c r="BN235" s="52">
        <v>1.4</v>
      </c>
      <c r="BO235" s="52">
        <v>1.24</v>
      </c>
      <c r="BP235" s="52" cm="1">
        <f t="array" aca="1" ref="BP235" ca="1">_FV(ED235,"Preço")</f>
        <v>1.04</v>
      </c>
      <c r="BQ235" s="69" t="s">
        <v>231</v>
      </c>
      <c r="BR235" s="36" cm="1">
        <f t="array" aca="1" ref="BR235" ca="1">_FV(ED235,"Média de volume",TRUE)</f>
        <v>30797760</v>
      </c>
      <c r="BS235" s="36">
        <v>20781000</v>
      </c>
      <c r="BT235" s="36" cm="1">
        <f t="array" aca="1" ref="BT235" ca="1">_FV(ED235,"Volume")</f>
        <v>36509100</v>
      </c>
      <c r="BU235" s="24" cm="1">
        <f t="array" aca="1" ref="BU235" ca="1">_FV(ED235,"Beta")</f>
        <v>1.1349</v>
      </c>
      <c r="BV235" s="71" cm="1">
        <f t="array" aca="1" ref="BV235" ca="1">_FV(ED235,"Variação (%)",TRUE)</f>
        <v>-9.5239999999999995E-3</v>
      </c>
      <c r="BX235" s="17" cm="1">
        <f t="array" aca="1" ref="BX235" ca="1">_FV(ED235,"Baixo")</f>
        <v>1.02</v>
      </c>
      <c r="BY235" s="17" cm="1">
        <f t="array" aca="1" ref="BY235" ca="1">_FV(ED235,"Alto")</f>
        <v>1.08</v>
      </c>
      <c r="BZ235" s="24"/>
      <c r="CA235" s="63" t="e">
        <f ca="1">SQRT(22.5*(BP235/VLOOKUP(BQ235,Fundamentus!A:U,3,FALSE))*(BP235/VLOOKUP(BQ235,Fundamentus!A:U,4,FALSE)))</f>
        <v>#NUM!</v>
      </c>
      <c r="CC235" s="62">
        <f t="shared" ca="1" si="241"/>
        <v>-0.16129032258064513</v>
      </c>
      <c r="CD235" s="8"/>
      <c r="CE235" s="61">
        <f t="shared" si="242"/>
        <v>1.24</v>
      </c>
      <c r="CF235" s="61">
        <f t="shared" si="243"/>
        <v>3.3</v>
      </c>
      <c r="CG235" s="61">
        <f t="shared" si="244"/>
        <v>2.3548507462686565</v>
      </c>
      <c r="CH235" s="14"/>
      <c r="CI235" s="35">
        <f t="shared" si="227"/>
        <v>0.96178909284817626</v>
      </c>
      <c r="CJ235" s="15">
        <f t="shared" si="245"/>
        <v>1.17999999999995</v>
      </c>
      <c r="CK235" s="35">
        <f t="shared" si="228"/>
        <v>1.3982109071517237</v>
      </c>
      <c r="CM235" s="14"/>
      <c r="CN235" s="17">
        <f t="shared" si="229"/>
        <v>-1.5066666666666662</v>
      </c>
      <c r="CO235" s="17">
        <f t="shared" si="230"/>
        <v>-0.13333333333333286</v>
      </c>
      <c r="CP235" s="17">
        <f t="shared" si="231"/>
        <v>0.55333333333333368</v>
      </c>
      <c r="CQ235" s="38">
        <f t="shared" si="246"/>
        <v>1.9266666666666667</v>
      </c>
      <c r="CR235" s="17">
        <f t="shared" si="232"/>
        <v>2.6133333333333333</v>
      </c>
      <c r="CS235" s="17">
        <f t="shared" si="233"/>
        <v>3.9866666666666664</v>
      </c>
      <c r="CT235" s="17">
        <f t="shared" si="234"/>
        <v>4.6733333333333338</v>
      </c>
      <c r="CU235" s="2" cm="1">
        <f t="array" aca="1" ref="CU235" ca="1">MAX(_xlfn._xlws.FILTER(CN235:CT235,CN235:CT235&lt;BP235))</f>
        <v>0.55333333333333368</v>
      </c>
      <c r="CV235" s="2" cm="1">
        <f t="array" aca="1" ref="CV235" ca="1">MIN(_xlfn._xlws.FILTER($CN235:$CT235,$CN235:$CT235&gt;BP235))</f>
        <v>1.9266666666666667</v>
      </c>
      <c r="CW235" s="16">
        <f t="shared" ca="1" si="248"/>
        <v>2.4819277108433715</v>
      </c>
      <c r="CX235" s="20">
        <f t="shared" ca="1" si="249"/>
        <v>-1.2409638554216857</v>
      </c>
      <c r="CY235" s="20">
        <f t="shared" ca="1" si="250"/>
        <v>-0.82730923694779046</v>
      </c>
      <c r="CZ235" s="20">
        <f t="shared" ca="1" si="251"/>
        <v>-0.49638554216867431</v>
      </c>
      <c r="DA235" s="20">
        <f t="shared" ca="1" si="252"/>
        <v>-0.27576974564926349</v>
      </c>
      <c r="DB235" s="20">
        <f t="shared" ca="1" si="253"/>
        <v>-0.1459957476966689</v>
      </c>
      <c r="DC235" s="20">
        <f t="shared" ca="1" si="254"/>
        <v>-7.5209930631617322E-2</v>
      </c>
      <c r="DD235" s="20">
        <f t="shared" ca="1" si="255"/>
        <v>-3.8183503243744178E-2</v>
      </c>
      <c r="DE235" s="21">
        <f t="shared" ca="1" si="256"/>
        <v>3.8183503243744178E-2</v>
      </c>
      <c r="DF235" s="21">
        <f t="shared" ca="1" si="257"/>
        <v>7.5209930631617322E-2</v>
      </c>
      <c r="DG235" s="21">
        <f t="shared" ca="1" si="258"/>
        <v>0.1459957476966689</v>
      </c>
      <c r="DH235" s="21">
        <f t="shared" ca="1" si="259"/>
        <v>0.27576974564926349</v>
      </c>
      <c r="DI235" s="21">
        <f t="shared" ca="1" si="260"/>
        <v>0.49638554216867431</v>
      </c>
      <c r="DJ235" s="21">
        <f t="shared" ca="1" si="261"/>
        <v>0.82730923694779046</v>
      </c>
      <c r="DK235" s="21">
        <f t="shared" ca="1" si="262"/>
        <v>1.2409638554216857</v>
      </c>
      <c r="DM235" s="16" cm="1">
        <f t="array" aca="1" ref="DM235" ca="1">MAX(_xlfn._xlws.FILTER(CX235:DK235,CX235:DK235&lt;BV235))</f>
        <v>-3.8183503243744178E-2</v>
      </c>
      <c r="DN235" s="16" cm="1">
        <f t="array" aca="1" ref="DN235" ca="1">MIN(_xlfn._xlws.FILTER(CX235:DK235,CX235:DK235&gt;BV235))</f>
        <v>3.8183503243744178E-2</v>
      </c>
      <c r="DO235" s="2" cm="1">
        <f t="array" aca="1" ref="DO235" ca="1">_FV(ED235,"Fechamento anterior",TRUE)</f>
        <v>1.05</v>
      </c>
      <c r="DP235" s="28">
        <f t="shared" ca="1" si="235"/>
        <v>0.37528895053166894</v>
      </c>
      <c r="DQ235" s="15">
        <f t="shared" ca="1" si="263"/>
        <v>1.0099073215940686</v>
      </c>
      <c r="DR235" s="15">
        <f t="shared" ca="1" si="264"/>
        <v>1.0900926784059315</v>
      </c>
      <c r="DS235" s="9"/>
      <c r="DT235" s="9"/>
      <c r="DU235" s="9"/>
      <c r="DV235" s="89">
        <v>3.7026427387873144E-2</v>
      </c>
      <c r="DW235" s="89">
        <f t="shared" ca="1" si="236"/>
        <v>7.6367006487488356E-2</v>
      </c>
      <c r="DX235" s="72">
        <f t="shared" ca="1" si="237"/>
        <v>-0.64158112821819113</v>
      </c>
      <c r="DY235" s="37"/>
      <c r="DZ235" s="35">
        <f t="shared" si="247"/>
        <v>0.10910545357588686</v>
      </c>
      <c r="EA235" s="56"/>
      <c r="EB235" s="56"/>
      <c r="ED235" s="2" t="e" vm="237">
        <v>#VALUE!</v>
      </c>
      <c r="EF235" s="10" cm="1">
        <f t="array" aca="1" ref="EF235" ca="1">_FV(ED235,"Ações em circulação",TRUE)</f>
        <v>1358937000</v>
      </c>
      <c r="EG235" s="18">
        <f>VLOOKUP(BQ235,Fundamentus!A:U,5,FALSE)</f>
        <v>6.2E-2</v>
      </c>
      <c r="EH235" s="2">
        <f t="shared" ca="1" si="238"/>
        <v>22795072258.064518</v>
      </c>
      <c r="EI235" s="17">
        <v>-445731336.00000006</v>
      </c>
      <c r="EJ235" s="17">
        <f t="shared" ca="1" si="239"/>
        <v>-373839185.03225815</v>
      </c>
      <c r="EL235" s="16">
        <f t="shared" ca="1" si="226"/>
        <v>-0.16129032258064513</v>
      </c>
      <c r="EM235" s="32" t="str">
        <f>IF(VLOOKUP(BQ235,Fundamentus!A:U,3,FALSE)&lt;15,"Bom",IF(VLOOKUP(BQ235,Fundamentus!A:U,3,FALSE)&gt;15,"Ruim","n/a"))</f>
        <v>Bom</v>
      </c>
      <c r="EN235" s="28" t="str">
        <f>IF(VLOOKUP(BQ235,Fundamentus!A:U,4,FALSE)&lt;1,"Baixo",IF(VLOOKUP(BQ235,Fundamentus!A:U,4,FALSE)&lt;1.5,"Moderado",IF(VLOOKUP(BQ235,Fundamentus!A:U,4,FALSE)&gt;1.5,"Alto","n/a")))</f>
        <v>Baixo</v>
      </c>
      <c r="EO235" s="17" t="str">
        <f>IF(VLOOKUP(BQ235,Fundamentus!A:U,8,FALSE)&lt;0,"Risco elevado",IF(VLOOKUP(BQ235,Fundamentus!A:U,8,FALSE)&lt;1,"Saudável",IF(VLOOKUP(BQ235,Fundamentus!A:U,8,FALSE)&lt;3,"Estável",IF(VLOOKUP(BQ235,Fundamentus!A:U,8,FALSE)&gt;3,"Alerta","n/a"))))</f>
        <v>Estável</v>
      </c>
      <c r="EP235" s="28" t="str">
        <f t="shared" si="240"/>
        <v>Ruim</v>
      </c>
      <c r="EQ235" s="17" t="str">
        <f>IF(VLOOKUP(BQ235,Fundamentus!A:U,12,FALSE)&lt;2,"Subvalorizada",IF(VLOOKUP(BQ235,Fundamentus!A:U,12,FALSE)&lt;6,"Muita barata",IF(VLOOKUP(BQ235,Fundamentus!A:U,12,FALSE)&lt;6,"Barata",IF(VLOOKUP(BQ235,Fundamentus!A:U,12,FALSE)&lt;8,"Atrativa",IF(VLOOKUP(BQ235,Fundamentus!A:U,12,FALSE)&gt;8,"Supervalorizada","n/a")))))</f>
        <v>Muita barata</v>
      </c>
      <c r="ES235" s="17" t="str">
        <f>IF(VLOOKUP(BQ235,Fundamentus!A:U,17,FALSE)&lt;0.1,"Fraco retorno",IF(VLOOKUP(BQ235,Fundamentus!A:U,17,FALSE)&gt;0.1,"Bom retorno","n/a"))</f>
        <v>Fraco retorno</v>
      </c>
      <c r="ET235" s="17" t="str">
        <f>IF(VLOOKUP(BQ235,Fundamentus!A:U,16,FALSE)&lt;0.1,"Ineficiente",IF(VLOOKUP(BQ235,Fundamentus!A:U,16,FALSE)&gt;0.1,"Eficiente","n/a"))</f>
        <v>Ineficiente</v>
      </c>
      <c r="EU235" s="33" t="str">
        <f>IF(VLOOKUP(BQ235,Fundamentus!A:U,16,FALSE)&lt;0.1,"Oper. Ineficiente",IF(VLOOKUP(BQ235,Fundamentus!A:U,16,FALSE)&gt;0.1,"Oper.Eficiente","n/a"))</f>
        <v>Oper. Ineficiente</v>
      </c>
      <c r="EV235" s="34">
        <f>VLOOKUP(BQ235,Fundamentus!A:U,14,FALSE)</f>
        <v>-1.6400000000000001E-2</v>
      </c>
      <c r="EW235" s="17" t="str">
        <f>IF(VLOOKUP(BQ235,Fundamentus!A:U,21,FALSE)&lt;0,"Negativo",IF(VLOOKUP(BQ235,Fundamentus!A:U,21,FALSE)&lt;0.05,"Fraco",IF(VLOOKUP(BQ235,Fundamentus!A:U,21,FALSE)&lt;0.1,"Bom",IF(VLOOKUP(BQ235,Fundamentus!A:U,21,FALSE)&gt;0.1,"Muito bom","n/a"))))</f>
        <v>Muito bom</v>
      </c>
      <c r="EY235" s="29" t="str">
        <f>IF(VLOOKUP(BQ235,Fundamentus!A:U,15,FALSE)&gt;1,"Bom",IF(VLOOKUP(BQ235,Fundamentus!A:U,15,FALSE)&lt;1,"Ruim","n/a"))</f>
        <v>Bom</v>
      </c>
      <c r="EZ235" s="17" t="str">
        <f>IF(VLOOKUP(BQ235,Fundamentus!A:U,20,FALSE)&lt;0.5,"Baixa",IF(VLOOKUP(BQ235,Fundamentus!A:U,20,FALSE)&lt;1,"Moderada",IF(VLOOKUP(BQ235,Fundamentus!A:U,20,FALSE)&lt;2,"Alerta",IF(VLOOKUP(BQ235,Fundamentus!A:U,20,FALSE)&gt;2,"Alta","n/a"))))</f>
        <v>Alta</v>
      </c>
    </row>
    <row r="236" spans="1:156" s="2" customFormat="1" ht="11.25" hidden="1" x14ac:dyDescent="0.2">
      <c r="A236" s="4">
        <v>28.22</v>
      </c>
      <c r="B236" s="4">
        <v>27.14</v>
      </c>
      <c r="C236" s="4">
        <v>27.69</v>
      </c>
      <c r="D236" s="4">
        <v>27</v>
      </c>
      <c r="E236" s="4">
        <v>27.18</v>
      </c>
      <c r="F236" s="4">
        <v>27.18</v>
      </c>
      <c r="G236" s="4">
        <v>26.45</v>
      </c>
      <c r="H236" s="4">
        <v>26.61</v>
      </c>
      <c r="I236" s="4">
        <v>26.59</v>
      </c>
      <c r="J236" s="4">
        <v>26.73</v>
      </c>
      <c r="K236" s="4">
        <v>26.83</v>
      </c>
      <c r="L236" s="4">
        <v>27.11</v>
      </c>
      <c r="M236" s="4">
        <v>27.12</v>
      </c>
      <c r="N236" s="4">
        <v>26.16</v>
      </c>
      <c r="O236" s="4">
        <v>26.55</v>
      </c>
      <c r="P236" s="4">
        <v>28.27</v>
      </c>
      <c r="Q236" s="4">
        <v>28.22</v>
      </c>
      <c r="R236" s="4">
        <v>28.12</v>
      </c>
      <c r="S236" s="4">
        <v>28.77</v>
      </c>
      <c r="T236" s="4">
        <v>28.42</v>
      </c>
      <c r="U236" s="4">
        <v>27.5</v>
      </c>
      <c r="V236" s="4">
        <v>27.25</v>
      </c>
      <c r="W236" s="4">
        <v>26.86</v>
      </c>
      <c r="X236" s="4">
        <v>26.33</v>
      </c>
      <c r="Y236" s="4">
        <v>26.62</v>
      </c>
      <c r="Z236" s="4">
        <v>26.37</v>
      </c>
      <c r="AA236" s="4">
        <v>26.09</v>
      </c>
      <c r="AB236" s="4">
        <v>26.03</v>
      </c>
      <c r="AC236" s="4">
        <v>25.37</v>
      </c>
      <c r="AD236" s="4">
        <v>25.6</v>
      </c>
      <c r="AE236" s="4">
        <v>24.71</v>
      </c>
      <c r="AF236" s="4">
        <v>24.73</v>
      </c>
      <c r="AG236" s="4">
        <v>24.51</v>
      </c>
      <c r="AH236" s="4">
        <v>23.92</v>
      </c>
      <c r="AI236" s="4">
        <v>24.11</v>
      </c>
      <c r="AJ236" s="4">
        <v>23.74</v>
      </c>
      <c r="AK236" s="4">
        <v>24.21</v>
      </c>
      <c r="AL236" s="4">
        <v>25.35</v>
      </c>
      <c r="AM236" s="4">
        <v>26.62</v>
      </c>
      <c r="AN236" s="4">
        <v>27.68</v>
      </c>
      <c r="AO236" s="4">
        <v>27.78</v>
      </c>
      <c r="AP236" s="4">
        <v>28.75</v>
      </c>
      <c r="AQ236" s="4">
        <v>27.98</v>
      </c>
      <c r="AR236" s="4">
        <v>27.31</v>
      </c>
      <c r="AS236" s="4">
        <v>28.06</v>
      </c>
      <c r="AT236" s="4">
        <v>27.88</v>
      </c>
      <c r="AU236" s="4">
        <v>28.274999999999999</v>
      </c>
      <c r="AV236" s="4">
        <v>28.64</v>
      </c>
      <c r="AW236" s="4">
        <v>27.98</v>
      </c>
      <c r="AX236" s="4">
        <v>27.8</v>
      </c>
      <c r="AY236" s="12">
        <v>27.43</v>
      </c>
      <c r="AZ236" s="12">
        <v>28.01</v>
      </c>
      <c r="BA236" s="12">
        <v>28.93</v>
      </c>
      <c r="BB236" s="15">
        <v>29.41</v>
      </c>
      <c r="BC236" s="52">
        <v>29.4</v>
      </c>
      <c r="BD236" s="52">
        <v>24.42</v>
      </c>
      <c r="BE236" s="52">
        <v>23.42</v>
      </c>
      <c r="BF236" s="52">
        <v>21.71</v>
      </c>
      <c r="BG236" s="67">
        <v>21.59</v>
      </c>
      <c r="BH236" s="52">
        <v>21.35</v>
      </c>
      <c r="BI236" s="52">
        <v>21.73</v>
      </c>
      <c r="BJ236" s="52">
        <v>22.43</v>
      </c>
      <c r="BK236" s="52">
        <v>21.2</v>
      </c>
      <c r="BL236" s="52">
        <v>20.260000000000002</v>
      </c>
      <c r="BM236" s="52">
        <v>20.239999999999998</v>
      </c>
      <c r="BN236" s="52">
        <v>18.350000000000001</v>
      </c>
      <c r="BO236" s="52">
        <v>18.93</v>
      </c>
      <c r="BP236" s="52" cm="1">
        <f t="array" aca="1" ref="BP236" ca="1">_FV(ED236,"Preço")</f>
        <v>20.65</v>
      </c>
      <c r="BQ236" s="69" t="s">
        <v>232</v>
      </c>
      <c r="BR236" s="36" cm="1">
        <f t="array" aca="1" ref="BR236" ca="1">_FV(ED236,"Média de volume",TRUE)</f>
        <v>43760750</v>
      </c>
      <c r="BS236" s="36">
        <v>38600300</v>
      </c>
      <c r="BT236" s="36" cm="1">
        <f t="array" aca="1" ref="BT236" ca="1">_FV(ED236,"Volume")</f>
        <v>131325700</v>
      </c>
      <c r="BU236" s="24" cm="1">
        <f t="array" aca="1" ref="BU236" ca="1">_FV(ED236,"Beta")</f>
        <v>0.99360000000000004</v>
      </c>
      <c r="BV236" s="71" cm="1">
        <f t="array" aca="1" ref="BV236" ca="1">_FV(ED236,"Variação (%)",TRUE)</f>
        <v>4.0301999999999998E-2</v>
      </c>
      <c r="BX236" s="17" cm="1">
        <f t="array" aca="1" ref="BX236" ca="1">_FV(ED236,"Baixo")</f>
        <v>19.02</v>
      </c>
      <c r="BY236" s="17" cm="1">
        <f t="array" aca="1" ref="BY236" ca="1">_FV(ED236,"Alto")</f>
        <v>20.8</v>
      </c>
      <c r="BZ236" s="24"/>
      <c r="CA236" s="63">
        <f ca="1">SQRT(22.5*(BP236/VLOOKUP(BQ236,Fundamentus!A:U,3,FALSE))*(BP236/VLOOKUP(BQ236,Fundamentus!A:U,4,FALSE)))</f>
        <v>64.632317015726088</v>
      </c>
      <c r="CC236" s="62">
        <f t="shared" ca="1" si="241"/>
        <v>9.0861067089276229E-2</v>
      </c>
      <c r="CD236" s="8"/>
      <c r="CE236" s="61">
        <f t="shared" si="242"/>
        <v>18.350000000000001</v>
      </c>
      <c r="CF236" s="61">
        <f t="shared" si="243"/>
        <v>29.41</v>
      </c>
      <c r="CG236" s="61">
        <f t="shared" si="244"/>
        <v>25.958582089552248</v>
      </c>
      <c r="CH236" s="14"/>
      <c r="CI236" s="35">
        <f t="shared" si="227"/>
        <v>15.930589082400417</v>
      </c>
      <c r="CJ236" s="15">
        <f t="shared" si="245"/>
        <v>17.974999999999909</v>
      </c>
      <c r="CK236" s="35">
        <f t="shared" si="228"/>
        <v>20.019410917599402</v>
      </c>
      <c r="CM236" s="14"/>
      <c r="CN236" s="17">
        <f t="shared" si="229"/>
        <v>3.990000000000002</v>
      </c>
      <c r="CO236" s="17">
        <f t="shared" si="230"/>
        <v>11.170000000000002</v>
      </c>
      <c r="CP236" s="17">
        <f t="shared" si="231"/>
        <v>15.05</v>
      </c>
      <c r="CQ236" s="38">
        <f t="shared" si="246"/>
        <v>22.23</v>
      </c>
      <c r="CR236" s="17">
        <f t="shared" si="232"/>
        <v>26.11</v>
      </c>
      <c r="CS236" s="17">
        <f t="shared" si="233"/>
        <v>33.29</v>
      </c>
      <c r="CT236" s="17">
        <f t="shared" si="234"/>
        <v>37.17</v>
      </c>
      <c r="CU236" s="2" cm="1">
        <f t="array" aca="1" ref="CU236" ca="1">MAX(_xlfn._xlws.FILTER(CN236:CT236,CN236:CT236&lt;BP236))</f>
        <v>15.05</v>
      </c>
      <c r="CV236" s="2" cm="1">
        <f t="array" aca="1" ref="CV236" ca="1">MIN(_xlfn._xlws.FILTER($CN236:$CT236,$CN236:$CT236&gt;BP236))</f>
        <v>22.23</v>
      </c>
      <c r="CW236" s="16">
        <f t="shared" ca="1" si="248"/>
        <v>0.47707641196013295</v>
      </c>
      <c r="CX236" s="20">
        <f t="shared" ca="1" si="249"/>
        <v>-0.23853820598006648</v>
      </c>
      <c r="CY236" s="20">
        <f t="shared" ca="1" si="250"/>
        <v>-0.15902547065337766</v>
      </c>
      <c r="CZ236" s="20">
        <f t="shared" ca="1" si="251"/>
        <v>-9.5415282392026596E-2</v>
      </c>
      <c r="DA236" s="20">
        <f t="shared" ca="1" si="252"/>
        <v>-5.3008490217792553E-2</v>
      </c>
      <c r="DB236" s="20">
        <f t="shared" ca="1" si="253"/>
        <v>-2.8063318350596056E-2</v>
      </c>
      <c r="DC236" s="20">
        <f t="shared" ca="1" si="254"/>
        <v>-1.4456860968488878E-2</v>
      </c>
      <c r="DD236" s="20">
        <f t="shared" ca="1" si="255"/>
        <v>-7.3396371070789685E-3</v>
      </c>
      <c r="DE236" s="21">
        <f t="shared" ca="1" si="256"/>
        <v>7.3396371070789685E-3</v>
      </c>
      <c r="DF236" s="21">
        <f t="shared" ca="1" si="257"/>
        <v>1.4456860968488878E-2</v>
      </c>
      <c r="DG236" s="21">
        <f t="shared" ca="1" si="258"/>
        <v>2.8063318350596056E-2</v>
      </c>
      <c r="DH236" s="21">
        <f t="shared" ca="1" si="259"/>
        <v>5.3008490217792553E-2</v>
      </c>
      <c r="DI236" s="21">
        <f t="shared" ca="1" si="260"/>
        <v>9.5415282392026596E-2</v>
      </c>
      <c r="DJ236" s="21">
        <f t="shared" ca="1" si="261"/>
        <v>0.15902547065337766</v>
      </c>
      <c r="DK236" s="21">
        <f t="shared" ca="1" si="262"/>
        <v>0.23853820598006648</v>
      </c>
      <c r="DM236" s="16" cm="1">
        <f t="array" aca="1" ref="DM236" ca="1">MAX(_xlfn._xlws.FILTER(CX236:DK236,CX236:DK236&lt;BV236))</f>
        <v>2.8063318350596056E-2</v>
      </c>
      <c r="DN236" s="16" cm="1">
        <f t="array" aca="1" ref="DN236" ca="1">MIN(_xlfn._xlws.FILTER(CX236:DK236,CX236:DK236&gt;BV236))</f>
        <v>5.3008490217792553E-2</v>
      </c>
      <c r="DO236" s="2" cm="1">
        <f t="array" aca="1" ref="DO236" ca="1">_FV(ED236,"Fechamento anterior",TRUE)</f>
        <v>19.850000000000001</v>
      </c>
      <c r="DP236" s="28">
        <f t="shared" ca="1" si="235"/>
        <v>0.49063396785079783</v>
      </c>
      <c r="DQ236" s="15">
        <f t="shared" ca="1" si="263"/>
        <v>20.407056869259332</v>
      </c>
      <c r="DR236" s="15">
        <f t="shared" ca="1" si="264"/>
        <v>20.902218530823184</v>
      </c>
      <c r="DS236" s="9"/>
      <c r="DT236" s="9"/>
      <c r="DU236" s="9"/>
      <c r="DV236" s="89">
        <v>1.4679274214157937E-2</v>
      </c>
      <c r="DW236" s="89">
        <f t="shared" ca="1" si="236"/>
        <v>2.4945171867196497E-2</v>
      </c>
      <c r="DX236" s="72">
        <f t="shared" ca="1" si="237"/>
        <v>1.3084453702394734</v>
      </c>
      <c r="DY236" s="37"/>
      <c r="DZ236" s="35">
        <f t="shared" si="247"/>
        <v>1.0222054587997458</v>
      </c>
      <c r="EA236" s="56"/>
      <c r="EB236" s="56"/>
      <c r="ED236" s="2" t="e" vm="238">
        <v>#VALUE!</v>
      </c>
      <c r="EF236" s="10" cm="1">
        <f t="array" aca="1" ref="EF236" ca="1">_FV(ED236,"Ações em circulação",TRUE)</f>
        <v>5730834000</v>
      </c>
      <c r="EG236" s="18">
        <f>VLOOKUP(BQ236,Fundamentus!A:U,5,FALSE)</f>
        <v>0</v>
      </c>
      <c r="EH236" s="2" t="e">
        <f t="shared" ca="1" si="238"/>
        <v>#DIV/0!</v>
      </c>
      <c r="EI236" s="17" t="e">
        <v>#DIV/0!</v>
      </c>
      <c r="EJ236" s="17" t="e">
        <f t="shared" ca="1" si="239"/>
        <v>#DIV/0!</v>
      </c>
      <c r="EL236" s="16" t="e">
        <f t="shared" ca="1" si="226"/>
        <v>#DIV/0!</v>
      </c>
      <c r="EM236" s="32" t="str">
        <f>IF(VLOOKUP(BQ236,Fundamentus!A:U,3,FALSE)&lt;15,"Bom",IF(VLOOKUP(BQ236,Fundamentus!A:U,3,FALSE)&gt;15,"Ruim","n/a"))</f>
        <v>Bom</v>
      </c>
      <c r="EN236" s="28" t="str">
        <f>IF(VLOOKUP(BQ236,Fundamentus!A:U,4,FALSE)&lt;1,"Baixo",IF(VLOOKUP(BQ236,Fundamentus!A:U,4,FALSE)&lt;1.5,"Moderado",IF(VLOOKUP(BQ236,Fundamentus!A:U,4,FALSE)&gt;1.5,"Alto","n/a")))</f>
        <v>Baixo</v>
      </c>
      <c r="EO236" s="17" t="str">
        <f>IF(VLOOKUP(BQ236,Fundamentus!A:U,8,FALSE)&lt;0,"Risco elevado",IF(VLOOKUP(BQ236,Fundamentus!A:U,8,FALSE)&lt;1,"Saudável",IF(VLOOKUP(BQ236,Fundamentus!A:U,8,FALSE)&lt;3,"Estável",IF(VLOOKUP(BQ236,Fundamentus!A:U,8,FALSE)&gt;3,"Alerta","n/a"))))</f>
        <v>Saudável</v>
      </c>
      <c r="EP236" s="28" t="str">
        <f t="shared" si="240"/>
        <v>Ruim</v>
      </c>
      <c r="EQ236" s="17" t="str">
        <f>IF(VLOOKUP(BQ236,Fundamentus!A:U,12,FALSE)&lt;2,"Subvalorizada",IF(VLOOKUP(BQ236,Fundamentus!A:U,12,FALSE)&lt;6,"Muita barata",IF(VLOOKUP(BQ236,Fundamentus!A:U,12,FALSE)&lt;6,"Barata",IF(VLOOKUP(BQ236,Fundamentus!A:U,12,FALSE)&lt;8,"Atrativa",IF(VLOOKUP(BQ236,Fundamentus!A:U,12,FALSE)&gt;8,"Supervalorizada","n/a")))))</f>
        <v>Subvalorizada</v>
      </c>
      <c r="ES236" s="17" t="str">
        <f>IF(VLOOKUP(BQ236,Fundamentus!A:U,17,FALSE)&lt;0.1,"Fraco retorno",IF(VLOOKUP(BQ236,Fundamentus!A:U,17,FALSE)&gt;0.1,"Bom retorno","n/a"))</f>
        <v>Bom retorno</v>
      </c>
      <c r="ET236" s="17" t="str">
        <f>IF(VLOOKUP(BQ236,Fundamentus!A:U,16,FALSE)&lt;0.1,"Ineficiente",IF(VLOOKUP(BQ236,Fundamentus!A:U,16,FALSE)&gt;0.1,"Eficiente","n/a"))</f>
        <v>Ineficiente</v>
      </c>
      <c r="EU236" s="33" t="str">
        <f>IF(VLOOKUP(BQ236,Fundamentus!A:U,16,FALSE)&lt;0.1,"Oper. Ineficiente",IF(VLOOKUP(BQ236,Fundamentus!A:U,16,FALSE)&gt;0.1,"Oper.Eficiente","n/a"))</f>
        <v>Oper. Ineficiente</v>
      </c>
      <c r="EV236" s="34">
        <f>VLOOKUP(BQ236,Fundamentus!A:U,14,FALSE)</f>
        <v>0</v>
      </c>
      <c r="EW236" s="17" t="str">
        <f>IF(VLOOKUP(BQ236,Fundamentus!A:U,21,FALSE)&lt;0,"Negativo",IF(VLOOKUP(BQ236,Fundamentus!A:U,21,FALSE)&lt;0.05,"Fraco",IF(VLOOKUP(BQ236,Fundamentus!A:U,21,FALSE)&lt;0.1,"Bom",IF(VLOOKUP(BQ236,Fundamentus!A:U,21,FALSE)&gt;0.1,"Muito bom","n/a"))))</f>
        <v>Muito bom</v>
      </c>
      <c r="EY236" s="29" t="str">
        <f>IF(VLOOKUP(BQ236,Fundamentus!A:U,15,FALSE)&gt;1,"Bom",IF(VLOOKUP(BQ236,Fundamentus!A:U,15,FALSE)&lt;1,"Ruim","n/a"))</f>
        <v>Ruim</v>
      </c>
      <c r="EZ236" s="17" t="str">
        <f>IF(VLOOKUP(BQ236,Fundamentus!A:U,20,FALSE)&lt;0.5,"Baixa",IF(VLOOKUP(BQ236,Fundamentus!A:U,20,FALSE)&lt;1,"Moderada",IF(VLOOKUP(BQ236,Fundamentus!A:U,20,FALSE)&lt;2,"Alerta",IF(VLOOKUP(BQ236,Fundamentus!A:U,20,FALSE)&gt;2,"Alta","n/a"))))</f>
        <v>Baixa</v>
      </c>
    </row>
    <row r="237" spans="1:156" s="2" customFormat="1" ht="11.25" hidden="1" x14ac:dyDescent="0.2">
      <c r="A237" s="4">
        <v>7.48</v>
      </c>
      <c r="B237" s="4">
        <v>7.28</v>
      </c>
      <c r="C237" s="4">
        <v>6.9</v>
      </c>
      <c r="D237" s="4">
        <v>6.77</v>
      </c>
      <c r="E237" s="4">
        <v>7</v>
      </c>
      <c r="F237" s="4">
        <v>7</v>
      </c>
      <c r="G237" s="4">
        <v>5.91</v>
      </c>
      <c r="H237" s="4">
        <v>6.04</v>
      </c>
      <c r="I237" s="4">
        <v>6.28</v>
      </c>
      <c r="J237" s="4">
        <v>6.28</v>
      </c>
      <c r="K237" s="4">
        <v>6.3</v>
      </c>
      <c r="L237" s="4">
        <v>5.9</v>
      </c>
      <c r="M237" s="4">
        <v>5.92</v>
      </c>
      <c r="N237" s="4">
        <v>5.88</v>
      </c>
      <c r="O237" s="4">
        <v>5.9</v>
      </c>
      <c r="P237" s="4">
        <v>5.9</v>
      </c>
      <c r="Q237" s="4">
        <v>5.9</v>
      </c>
      <c r="R237" s="4">
        <v>5.93</v>
      </c>
      <c r="S237" s="4">
        <v>5.84</v>
      </c>
      <c r="T237" s="4">
        <v>5.88</v>
      </c>
      <c r="U237" s="4">
        <v>5.78</v>
      </c>
      <c r="V237" s="4">
        <v>5.71</v>
      </c>
      <c r="W237" s="4">
        <v>5.68</v>
      </c>
      <c r="X237" s="4">
        <v>5.53</v>
      </c>
      <c r="Y237" s="4">
        <v>5.77</v>
      </c>
      <c r="Z237" s="4">
        <v>5.67</v>
      </c>
      <c r="AA237" s="4">
        <v>5.7</v>
      </c>
      <c r="AB237" s="4">
        <v>5.53</v>
      </c>
      <c r="AC237" s="4">
        <v>5.26</v>
      </c>
      <c r="AD237" s="4">
        <v>5.45</v>
      </c>
      <c r="AE237" s="4">
        <v>5.41</v>
      </c>
      <c r="AF237" s="4">
        <v>5.33</v>
      </c>
      <c r="AG237" s="4">
        <v>6.41</v>
      </c>
      <c r="AH237" s="4">
        <v>4.91</v>
      </c>
      <c r="AI237" s="4">
        <v>5.17</v>
      </c>
      <c r="AJ237" s="4">
        <v>5.78</v>
      </c>
      <c r="AK237" s="4">
        <v>5.46</v>
      </c>
      <c r="AL237" s="4">
        <v>5.34</v>
      </c>
      <c r="AM237" s="4">
        <v>5.23</v>
      </c>
      <c r="AN237" s="4">
        <v>5.24</v>
      </c>
      <c r="AO237" s="4">
        <v>5.13</v>
      </c>
      <c r="AP237" s="4">
        <v>5.05</v>
      </c>
      <c r="AQ237" s="4">
        <v>5.03</v>
      </c>
      <c r="AR237" s="4">
        <v>4.99</v>
      </c>
      <c r="AS237" s="4">
        <v>4.8499999999999996</v>
      </c>
      <c r="AT237" s="4">
        <v>4.96</v>
      </c>
      <c r="AU237" s="4">
        <v>5.0449999999999999</v>
      </c>
      <c r="AV237" s="4">
        <v>4.96</v>
      </c>
      <c r="AW237" s="4">
        <v>4.88</v>
      </c>
      <c r="AX237" s="4">
        <v>4.7</v>
      </c>
      <c r="AY237" s="12">
        <v>4.7</v>
      </c>
      <c r="AZ237" s="12">
        <v>4.72</v>
      </c>
      <c r="BA237" s="12">
        <v>4.78</v>
      </c>
      <c r="BB237" s="15">
        <v>4.7</v>
      </c>
      <c r="BC237" s="52">
        <v>4.49</v>
      </c>
      <c r="BD237" s="52">
        <v>4.5999999999999996</v>
      </c>
      <c r="BE237" s="52">
        <v>4.75</v>
      </c>
      <c r="BF237" s="52">
        <v>4.7699999999999996</v>
      </c>
      <c r="BG237" s="67">
        <v>4.91</v>
      </c>
      <c r="BH237" s="52">
        <v>5.05</v>
      </c>
      <c r="BI237" s="52">
        <v>4.9000000000000004</v>
      </c>
      <c r="BJ237" s="52">
        <v>4.96</v>
      </c>
      <c r="BK237" s="52">
        <v>4.9000000000000004</v>
      </c>
      <c r="BL237" s="52">
        <v>4.92</v>
      </c>
      <c r="BM237" s="52">
        <v>4.54</v>
      </c>
      <c r="BN237" s="52">
        <v>4.21</v>
      </c>
      <c r="BO237" s="52">
        <v>4.45</v>
      </c>
      <c r="BP237" s="52" cm="1">
        <f t="array" aca="1" ref="BP237" ca="1">_FV(ED237,"Preço")</f>
        <v>4.3899999999999997</v>
      </c>
      <c r="BQ237" s="69" t="s">
        <v>233</v>
      </c>
      <c r="BR237" s="36" cm="1">
        <f t="array" aca="1" ref="BR237" ca="1">_FV(ED237,"Média de volume",TRUE)</f>
        <v>15050</v>
      </c>
      <c r="BS237" s="36">
        <v>36700</v>
      </c>
      <c r="BT237" s="36" cm="1">
        <f t="array" aca="1" ref="BT237" ca="1">_FV(ED237,"Volume")</f>
        <v>1500</v>
      </c>
      <c r="BU237" s="24" cm="1">
        <f t="array" aca="1" ref="BU237" ca="1">_FV(ED237,"Beta")</f>
        <v>0.46839999999999998</v>
      </c>
      <c r="BV237" s="71" cm="1">
        <f t="array" aca="1" ref="BV237" ca="1">_FV(ED237,"Variação (%)",TRUE)</f>
        <v>-1.3483E-2</v>
      </c>
      <c r="BX237" s="17" cm="1">
        <f t="array" aca="1" ref="BX237" ca="1">_FV(ED237,"Baixo")</f>
        <v>4.3600000000000003</v>
      </c>
      <c r="BY237" s="17" cm="1">
        <f t="array" aca="1" ref="BY237" ca="1">_FV(ED237,"Alto")</f>
        <v>4.45</v>
      </c>
      <c r="BZ237" s="24"/>
      <c r="CA237" s="63">
        <f ca="1">SQRT(22.5*(BP237/VLOOKUP(BQ237,Fundamentus!A:U,3,FALSE))*(BP237/VLOOKUP(BQ237,Fundamentus!A:U,4,FALSE)))</f>
        <v>5.2760087284724042</v>
      </c>
      <c r="CC237" s="62">
        <f t="shared" ca="1" si="241"/>
        <v>-1.3483146067415842E-2</v>
      </c>
      <c r="CD237" s="8"/>
      <c r="CE237" s="61">
        <f t="shared" si="242"/>
        <v>4.21</v>
      </c>
      <c r="CF237" s="61">
        <f t="shared" si="243"/>
        <v>7.48</v>
      </c>
      <c r="CG237" s="61">
        <f t="shared" si="244"/>
        <v>5.4715671641791044</v>
      </c>
      <c r="CH237" s="14"/>
      <c r="CI237" s="35">
        <f t="shared" si="227"/>
        <v>3.5505590022782836</v>
      </c>
      <c r="CJ237" s="15">
        <f t="shared" si="245"/>
        <v>4.0949999999997999</v>
      </c>
      <c r="CK237" s="35">
        <f t="shared" si="228"/>
        <v>4.6394409977213158</v>
      </c>
      <c r="CM237" s="14"/>
      <c r="CN237" s="17">
        <f t="shared" si="229"/>
        <v>9.9999999999988987E-3</v>
      </c>
      <c r="CO237" s="17">
        <f t="shared" si="230"/>
        <v>2.1099999999999994</v>
      </c>
      <c r="CP237" s="17">
        <f t="shared" si="231"/>
        <v>3.2799999999999994</v>
      </c>
      <c r="CQ237" s="38">
        <f t="shared" si="246"/>
        <v>5.38</v>
      </c>
      <c r="CR237" s="17">
        <f t="shared" si="232"/>
        <v>6.55</v>
      </c>
      <c r="CS237" s="17">
        <f t="shared" si="233"/>
        <v>8.65</v>
      </c>
      <c r="CT237" s="17">
        <f t="shared" si="234"/>
        <v>9.82</v>
      </c>
      <c r="CU237" s="2" cm="1">
        <f t="array" aca="1" ref="CU237" ca="1">MAX(_xlfn._xlws.FILTER(CN237:CT237,CN237:CT237&lt;BP237))</f>
        <v>3.2799999999999994</v>
      </c>
      <c r="CV237" s="2" cm="1">
        <f t="array" aca="1" ref="CV237" ca="1">MIN(_xlfn._xlws.FILTER($CN237:$CT237,$CN237:$CT237&gt;BP237))</f>
        <v>5.38</v>
      </c>
      <c r="CW237" s="16">
        <f t="shared" ca="1" si="248"/>
        <v>0.64024390243902474</v>
      </c>
      <c r="CX237" s="20">
        <f t="shared" ca="1" si="249"/>
        <v>-0.32012195121951237</v>
      </c>
      <c r="CY237" s="20">
        <f t="shared" ca="1" si="250"/>
        <v>-0.21341463414634157</v>
      </c>
      <c r="CZ237" s="20">
        <f t="shared" ca="1" si="251"/>
        <v>-0.12804878048780494</v>
      </c>
      <c r="DA237" s="20">
        <f t="shared" ca="1" si="252"/>
        <v>-7.1138211382113861E-2</v>
      </c>
      <c r="DB237" s="20">
        <f t="shared" ca="1" si="253"/>
        <v>-3.7661406025824982E-2</v>
      </c>
      <c r="DC237" s="20">
        <f t="shared" ca="1" si="254"/>
        <v>-1.9401330376940144E-2</v>
      </c>
      <c r="DD237" s="20">
        <f t="shared" ca="1" si="255"/>
        <v>-9.8499061913696114E-3</v>
      </c>
      <c r="DE237" s="21">
        <f t="shared" ca="1" si="256"/>
        <v>9.8499061913696114E-3</v>
      </c>
      <c r="DF237" s="21">
        <f t="shared" ca="1" si="257"/>
        <v>1.9401330376940144E-2</v>
      </c>
      <c r="DG237" s="21">
        <f t="shared" ca="1" si="258"/>
        <v>3.7661406025824982E-2</v>
      </c>
      <c r="DH237" s="21">
        <f t="shared" ca="1" si="259"/>
        <v>7.1138211382113861E-2</v>
      </c>
      <c r="DI237" s="21">
        <f t="shared" ca="1" si="260"/>
        <v>0.12804878048780494</v>
      </c>
      <c r="DJ237" s="21">
        <f t="shared" ca="1" si="261"/>
        <v>0.21341463414634157</v>
      </c>
      <c r="DK237" s="21">
        <f t="shared" ca="1" si="262"/>
        <v>0.32012195121951237</v>
      </c>
      <c r="DM237" s="16" cm="1">
        <f t="array" aca="1" ref="DM237" ca="1">MAX(_xlfn._xlws.FILTER(CX237:DK237,CX237:DK237&lt;BV237))</f>
        <v>-1.9401330376940144E-2</v>
      </c>
      <c r="DN237" s="16" cm="1">
        <f t="array" aca="1" ref="DN237" ca="1">MIN(_xlfn._xlws.FILTER(CX237:DK237,CX237:DK237&gt;BV237))</f>
        <v>-9.8499061913696114E-3</v>
      </c>
      <c r="DO237" s="2" cm="1">
        <f t="array" aca="1" ref="DO237" ca="1">_FV(ED237,"Fechamento anterior",TRUE)</f>
        <v>4.45</v>
      </c>
      <c r="DP237" s="28">
        <f t="shared" ca="1" si="235"/>
        <v>0.61961276083465955</v>
      </c>
      <c r="DQ237" s="15">
        <f t="shared" ca="1" si="263"/>
        <v>4.3636640798226169</v>
      </c>
      <c r="DR237" s="15">
        <f t="shared" ca="1" si="264"/>
        <v>4.4061679174484052</v>
      </c>
      <c r="DS237" s="9"/>
      <c r="DT237" s="9"/>
      <c r="DU237" s="9"/>
      <c r="DV237" s="89">
        <v>9.5514241855705322E-3</v>
      </c>
      <c r="DW237" s="89">
        <f t="shared" ca="1" si="236"/>
        <v>9.5514241855705322E-3</v>
      </c>
      <c r="DX237" s="72">
        <f t="shared" ca="1" si="237"/>
        <v>0.54184016493021969</v>
      </c>
      <c r="DY237" s="37"/>
      <c r="DZ237" s="35">
        <f t="shared" si="247"/>
        <v>0.27222049886075816</v>
      </c>
      <c r="EA237" s="56"/>
      <c r="EB237" s="56"/>
      <c r="ED237" s="2" t="e" vm="239">
        <v>#VALUE!</v>
      </c>
      <c r="EF237" s="10" cm="1">
        <f t="array" aca="1" ref="EF237" ca="1">_FV(ED237,"Ações em circulação",TRUE)</f>
        <v>14860570</v>
      </c>
      <c r="EG237" s="18">
        <f>VLOOKUP(BQ237,Fundamentus!A:U,5,FALSE)</f>
        <v>9.9049999999999994</v>
      </c>
      <c r="EH237" s="2">
        <f t="shared" ca="1" si="238"/>
        <v>6586360.6562342253</v>
      </c>
      <c r="EI237" s="17">
        <v>5433237.4360121153</v>
      </c>
      <c r="EJ237" s="17">
        <f t="shared" ca="1" si="239"/>
        <v>5359980.3020434119</v>
      </c>
      <c r="EL237" s="16">
        <f t="shared" ca="1" si="226"/>
        <v>-1.3483146067415852E-2</v>
      </c>
      <c r="EM237" s="32" t="str">
        <f>IF(VLOOKUP(BQ237,Fundamentus!A:U,3,FALSE)&lt;15,"Bom",IF(VLOOKUP(BQ237,Fundamentus!A:U,3,FALSE)&gt;15,"Ruim","n/a"))</f>
        <v>Bom</v>
      </c>
      <c r="EN237" s="28" t="str">
        <f>IF(VLOOKUP(BQ237,Fundamentus!A:U,4,FALSE)&lt;1,"Baixo",IF(VLOOKUP(BQ237,Fundamentus!A:U,4,FALSE)&lt;1.5,"Moderado",IF(VLOOKUP(BQ237,Fundamentus!A:U,4,FALSE)&gt;1.5,"Alto","n/a")))</f>
        <v>Moderado</v>
      </c>
      <c r="EO237" s="17" t="str">
        <f>IF(VLOOKUP(BQ237,Fundamentus!A:U,8,FALSE)&lt;0,"Risco elevado",IF(VLOOKUP(BQ237,Fundamentus!A:U,8,FALSE)&lt;1,"Saudável",IF(VLOOKUP(BQ237,Fundamentus!A:U,8,FALSE)&lt;3,"Estável",IF(VLOOKUP(BQ237,Fundamentus!A:U,8,FALSE)&gt;3,"Alerta","n/a"))))</f>
        <v>Alerta</v>
      </c>
      <c r="EP237" s="28" t="str">
        <f t="shared" si="240"/>
        <v>Bom</v>
      </c>
      <c r="EQ237" s="17" t="str">
        <f>IF(VLOOKUP(BQ237,Fundamentus!A:U,12,FALSE)&lt;2,"Subvalorizada",IF(VLOOKUP(BQ237,Fundamentus!A:U,12,FALSE)&lt;6,"Muita barata",IF(VLOOKUP(BQ237,Fundamentus!A:U,12,FALSE)&lt;6,"Barata",IF(VLOOKUP(BQ237,Fundamentus!A:U,12,FALSE)&lt;8,"Atrativa",IF(VLOOKUP(BQ237,Fundamentus!A:U,12,FALSE)&gt;8,"Supervalorizada","n/a")))))</f>
        <v>Subvalorizada</v>
      </c>
      <c r="ES237" s="17" t="str">
        <f>IF(VLOOKUP(BQ237,Fundamentus!A:U,17,FALSE)&lt;0.1,"Fraco retorno",IF(VLOOKUP(BQ237,Fundamentus!A:U,17,FALSE)&gt;0.1,"Bom retorno","n/a"))</f>
        <v>Bom retorno</v>
      </c>
      <c r="ET237" s="17" t="str">
        <f>IF(VLOOKUP(BQ237,Fundamentus!A:U,16,FALSE)&lt;0.1,"Ineficiente",IF(VLOOKUP(BQ237,Fundamentus!A:U,16,FALSE)&gt;0.1,"Eficiente","n/a"))</f>
        <v>Ineficiente</v>
      </c>
      <c r="EU237" s="33" t="str">
        <f>IF(VLOOKUP(BQ237,Fundamentus!A:U,16,FALSE)&lt;0.1,"Oper. Ineficiente",IF(VLOOKUP(BQ237,Fundamentus!A:U,16,FALSE)&gt;0.1,"Oper.Eficiente","n/a"))</f>
        <v>Oper. Ineficiente</v>
      </c>
      <c r="EV237" s="34">
        <f>VLOOKUP(BQ237,Fundamentus!A:U,14,FALSE)</f>
        <v>0.81379999999999997</v>
      </c>
      <c r="EW237" s="17" t="str">
        <f>IF(VLOOKUP(BQ237,Fundamentus!A:U,21,FALSE)&lt;0,"Negativo",IF(VLOOKUP(BQ237,Fundamentus!A:U,21,FALSE)&lt;0.05,"Fraco",IF(VLOOKUP(BQ237,Fundamentus!A:U,21,FALSE)&lt;0.1,"Bom",IF(VLOOKUP(BQ237,Fundamentus!A:U,21,FALSE)&gt;0.1,"Muito bom","n/a"))))</f>
        <v>Negativo</v>
      </c>
      <c r="EY237" s="29" t="str">
        <f>IF(VLOOKUP(BQ237,Fundamentus!A:U,15,FALSE)&gt;1,"Bom",IF(VLOOKUP(BQ237,Fundamentus!A:U,15,FALSE)&lt;1,"Ruim","n/a"))</f>
        <v>Bom</v>
      </c>
      <c r="EZ237" s="17" t="str">
        <f>IF(VLOOKUP(BQ237,Fundamentus!A:U,20,FALSE)&lt;0.5,"Baixa",IF(VLOOKUP(BQ237,Fundamentus!A:U,20,FALSE)&lt;1,"Moderada",IF(VLOOKUP(BQ237,Fundamentus!A:U,20,FALSE)&lt;2,"Alerta",IF(VLOOKUP(BQ237,Fundamentus!A:U,20,FALSE)&gt;2,"Alta","n/a"))))</f>
        <v>Baixa</v>
      </c>
    </row>
    <row r="238" spans="1:156" s="2" customFormat="1" ht="11.25" hidden="1" x14ac:dyDescent="0.2">
      <c r="A238" s="4">
        <v>9.36</v>
      </c>
      <c r="B238" s="4">
        <v>9.17</v>
      </c>
      <c r="C238" s="4">
        <v>9.24</v>
      </c>
      <c r="D238" s="4">
        <v>9.3000000000000007</v>
      </c>
      <c r="E238" s="4">
        <v>9.3800000000000008</v>
      </c>
      <c r="F238" s="4">
        <v>8.75</v>
      </c>
      <c r="G238" s="4">
        <v>8.6999999999999993</v>
      </c>
      <c r="H238" s="4">
        <v>8.92</v>
      </c>
      <c r="I238" s="4">
        <v>9.15</v>
      </c>
      <c r="J238" s="4">
        <v>9.89</v>
      </c>
      <c r="K238" s="4">
        <v>9.9600000000000009</v>
      </c>
      <c r="L238" s="4">
        <v>10.210000000000001</v>
      </c>
      <c r="M238" s="4">
        <v>10.29</v>
      </c>
      <c r="N238" s="4">
        <v>10.25</v>
      </c>
      <c r="O238" s="4">
        <v>10.37</v>
      </c>
      <c r="P238" s="4">
        <v>11.3</v>
      </c>
      <c r="Q238" s="4">
        <v>8.26</v>
      </c>
      <c r="R238" s="4">
        <v>7.96</v>
      </c>
      <c r="S238" s="4">
        <v>7.9</v>
      </c>
      <c r="T238" s="4">
        <v>7.95</v>
      </c>
      <c r="U238" s="4">
        <v>7.84</v>
      </c>
      <c r="V238" s="4">
        <v>7.7</v>
      </c>
      <c r="W238" s="4">
        <v>7.77</v>
      </c>
      <c r="X238" s="4">
        <v>7.7</v>
      </c>
      <c r="Y238" s="4">
        <v>8.02</v>
      </c>
      <c r="Z238" s="4">
        <v>8.3699999999999992</v>
      </c>
      <c r="AA238" s="4">
        <v>8.43</v>
      </c>
      <c r="AB238" s="4">
        <v>8.59</v>
      </c>
      <c r="AC238" s="4">
        <v>8.48</v>
      </c>
      <c r="AD238" s="4">
        <v>8.41</v>
      </c>
      <c r="AE238" s="4">
        <v>7.99</v>
      </c>
      <c r="AF238" s="4">
        <v>8.2100000000000009</v>
      </c>
      <c r="AG238" s="4">
        <v>5.45</v>
      </c>
      <c r="AH238" s="4">
        <v>4.8600000000000003</v>
      </c>
      <c r="AI238" s="4">
        <v>4.96</v>
      </c>
      <c r="AJ238" s="4">
        <v>5.55</v>
      </c>
      <c r="AK238" s="4">
        <v>5.04</v>
      </c>
      <c r="AL238" s="4">
        <v>4.99</v>
      </c>
      <c r="AM238" s="4">
        <v>4.92</v>
      </c>
      <c r="AN238" s="4">
        <v>4.92</v>
      </c>
      <c r="AO238" s="4">
        <v>5.07</v>
      </c>
      <c r="AP238" s="4">
        <v>5.17</v>
      </c>
      <c r="AQ238" s="4">
        <v>4.84</v>
      </c>
      <c r="AR238" s="4">
        <v>4.5</v>
      </c>
      <c r="AS238" s="4">
        <v>4.76</v>
      </c>
      <c r="AT238" s="4">
        <v>4.8499999999999996</v>
      </c>
      <c r="AU238" s="4">
        <v>5.01</v>
      </c>
      <c r="AV238" s="4">
        <v>4.7699999999999996</v>
      </c>
      <c r="AW238" s="4">
        <v>4.9000000000000004</v>
      </c>
      <c r="AX238" s="4">
        <v>5.04</v>
      </c>
      <c r="AY238" s="12">
        <v>5.31</v>
      </c>
      <c r="AZ238" s="12">
        <v>5.64</v>
      </c>
      <c r="BA238" s="12">
        <v>5.0599999999999996</v>
      </c>
      <c r="BB238" s="15">
        <v>5.3</v>
      </c>
      <c r="BC238" s="52">
        <v>5.87</v>
      </c>
      <c r="BD238" s="52">
        <v>6.07</v>
      </c>
      <c r="BE238" s="52">
        <v>6.06</v>
      </c>
      <c r="BF238" s="52">
        <v>5.42</v>
      </c>
      <c r="BG238" s="67">
        <v>5.67</v>
      </c>
      <c r="BH238" s="52">
        <v>6.07</v>
      </c>
      <c r="BI238" s="52">
        <v>6.4</v>
      </c>
      <c r="BJ238" s="52">
        <v>6.06</v>
      </c>
      <c r="BK238" s="52">
        <v>6.04</v>
      </c>
      <c r="BL238" s="52">
        <v>6.48</v>
      </c>
      <c r="BM238" s="52">
        <v>6.58</v>
      </c>
      <c r="BN238" s="52">
        <v>6.73</v>
      </c>
      <c r="BO238" s="52">
        <v>6.9</v>
      </c>
      <c r="BP238" s="52" cm="1">
        <f t="array" aca="1" ref="BP238" ca="1">_FV(ED238,"Preço")</f>
        <v>6.97</v>
      </c>
      <c r="BQ238" s="69" t="s">
        <v>234</v>
      </c>
      <c r="BR238" s="36" cm="1">
        <f t="array" aca="1" ref="BR238" ca="1">_FV(ED238,"Média de volume",TRUE)</f>
        <v>485460</v>
      </c>
      <c r="BS238" s="36">
        <v>277300</v>
      </c>
      <c r="BT238" s="36" cm="1">
        <f t="array" aca="1" ref="BT238" ca="1">_FV(ED238,"Volume")</f>
        <v>618700</v>
      </c>
      <c r="BU238" s="24" cm="1">
        <f t="array" aca="1" ref="BU238" ca="1">_FV(ED238,"Beta")</f>
        <v>0.78949999999999998</v>
      </c>
      <c r="BV238" s="71" cm="1">
        <f t="array" aca="1" ref="BV238" ca="1">_FV(ED238,"Variação (%)",TRUE)</f>
        <v>0</v>
      </c>
      <c r="BX238" s="17" cm="1">
        <f t="array" aca="1" ref="BX238" ca="1">_FV(ED238,"Baixo")</f>
        <v>6.75</v>
      </c>
      <c r="BY238" s="17" cm="1">
        <f t="array" aca="1" ref="BY238" ca="1">_FV(ED238,"Alto")</f>
        <v>7.08</v>
      </c>
      <c r="BZ238" s="24"/>
      <c r="CA238" s="63">
        <f ca="1">SQRT(22.5*(BP238/VLOOKUP(BQ238,Fundamentus!A:U,3,FALSE))*(BP238/VLOOKUP(BQ238,Fundamentus!A:U,4,FALSE)))</f>
        <v>25.691760859990822</v>
      </c>
      <c r="CC238" s="62">
        <f t="shared" ca="1" si="241"/>
        <v>1.0144927536231797E-2</v>
      </c>
      <c r="CD238" s="8"/>
      <c r="CE238" s="61">
        <f t="shared" si="242"/>
        <v>4.5</v>
      </c>
      <c r="CF238" s="61">
        <f t="shared" si="243"/>
        <v>11.3</v>
      </c>
      <c r="CG238" s="61">
        <f t="shared" si="244"/>
        <v>7.0907462686567175</v>
      </c>
      <c r="CH238" s="14"/>
      <c r="CI238" s="35">
        <f t="shared" si="227"/>
        <v>6.4448482957018687</v>
      </c>
      <c r="CJ238" s="15">
        <f t="shared" si="245"/>
        <v>7.0249999999999773</v>
      </c>
      <c r="CK238" s="35">
        <f t="shared" si="228"/>
        <v>7.6051517042980858</v>
      </c>
      <c r="CM238" s="14"/>
      <c r="CN238" s="17">
        <f t="shared" si="229"/>
        <v>-2.9666666666666668</v>
      </c>
      <c r="CO238" s="17">
        <f t="shared" si="230"/>
        <v>0.76666666666666661</v>
      </c>
      <c r="CP238" s="17">
        <f t="shared" si="231"/>
        <v>3.8333333333333339</v>
      </c>
      <c r="CQ238" s="38">
        <f t="shared" si="246"/>
        <v>7.5666666666666673</v>
      </c>
      <c r="CR238" s="17">
        <f t="shared" si="232"/>
        <v>10.633333333333335</v>
      </c>
      <c r="CS238" s="17">
        <f t="shared" si="233"/>
        <v>14.366666666666667</v>
      </c>
      <c r="CT238" s="17">
        <f t="shared" si="234"/>
        <v>17.433333333333337</v>
      </c>
      <c r="CU238" s="2" cm="1">
        <f t="array" aca="1" ref="CU238" ca="1">MAX(_xlfn._xlws.FILTER(CN238:CT238,CN238:CT238&lt;BP238))</f>
        <v>3.8333333333333339</v>
      </c>
      <c r="CV238" s="2" cm="1">
        <f t="array" aca="1" ref="CV238" ca="1">MIN(_xlfn._xlws.FILTER($CN238:$CT238,$CN238:$CT238&gt;BP238))</f>
        <v>7.5666666666666673</v>
      </c>
      <c r="CW238" s="16">
        <f t="shared" ca="1" si="248"/>
        <v>0.9739130434782608</v>
      </c>
      <c r="CX238" s="20">
        <f t="shared" ca="1" si="249"/>
        <v>-0.4869565217391304</v>
      </c>
      <c r="CY238" s="20">
        <f t="shared" ca="1" si="250"/>
        <v>-0.32463768115942027</v>
      </c>
      <c r="CZ238" s="20">
        <f t="shared" ca="1" si="251"/>
        <v>-0.19478260869565217</v>
      </c>
      <c r="DA238" s="20">
        <f t="shared" ca="1" si="252"/>
        <v>-0.10821256038647342</v>
      </c>
      <c r="DB238" s="20">
        <f t="shared" ca="1" si="253"/>
        <v>-5.7289002557544752E-2</v>
      </c>
      <c r="DC238" s="20">
        <f t="shared" ca="1" si="254"/>
        <v>-2.9512516469038207E-2</v>
      </c>
      <c r="DD238" s="20">
        <f t="shared" ca="1" si="255"/>
        <v>-1.4983277591973243E-2</v>
      </c>
      <c r="DE238" s="21">
        <f t="shared" ca="1" si="256"/>
        <v>1.4983277591973243E-2</v>
      </c>
      <c r="DF238" s="21">
        <f t="shared" ca="1" si="257"/>
        <v>2.9512516469038207E-2</v>
      </c>
      <c r="DG238" s="21">
        <f t="shared" ca="1" si="258"/>
        <v>5.7289002557544752E-2</v>
      </c>
      <c r="DH238" s="21">
        <f t="shared" ca="1" si="259"/>
        <v>0.10821256038647342</v>
      </c>
      <c r="DI238" s="21">
        <f t="shared" ca="1" si="260"/>
        <v>0.19478260869565217</v>
      </c>
      <c r="DJ238" s="21">
        <f t="shared" ca="1" si="261"/>
        <v>0.32463768115942027</v>
      </c>
      <c r="DK238" s="21">
        <f t="shared" ca="1" si="262"/>
        <v>0.4869565217391304</v>
      </c>
      <c r="DM238" s="16" cm="1">
        <f t="array" aca="1" ref="DM238" ca="1">MAX(_xlfn._xlws.FILTER(CX238:DK238,CX238:DK238&lt;BV238))</f>
        <v>-1.4983277591973243E-2</v>
      </c>
      <c r="DN238" s="16" cm="1">
        <f t="array" aca="1" ref="DN238" ca="1">MIN(_xlfn._xlws.FILTER(CX238:DK238,CX238:DK238&gt;BV238))</f>
        <v>1.4983277591973243E-2</v>
      </c>
      <c r="DO238" s="2" cm="1">
        <f t="array" aca="1" ref="DO238" ca="1">_FV(ED238,"Fechamento anterior",TRUE)</f>
        <v>6.97</v>
      </c>
      <c r="DP238" s="28">
        <f t="shared" ca="1" si="235"/>
        <v>0.5</v>
      </c>
      <c r="DQ238" s="15">
        <f t="shared" ca="1" si="263"/>
        <v>6.8655665551839462</v>
      </c>
      <c r="DR238" s="15">
        <f t="shared" ca="1" si="264"/>
        <v>7.0744334448160533</v>
      </c>
      <c r="DS238" s="9"/>
      <c r="DT238" s="9"/>
      <c r="DU238" s="9"/>
      <c r="DV238" s="89">
        <v>1.4529238877064964E-2</v>
      </c>
      <c r="DW238" s="89">
        <f t="shared" ca="1" si="236"/>
        <v>2.9966555183946485E-2</v>
      </c>
      <c r="DX238" s="72">
        <f t="shared" ca="1" si="237"/>
        <v>-9.4802789671227072E-2</v>
      </c>
      <c r="DY238" s="37"/>
      <c r="DZ238" s="35">
        <f t="shared" si="247"/>
        <v>0.2900758521490544</v>
      </c>
      <c r="EA238" s="56"/>
      <c r="EB238" s="56"/>
      <c r="ED238" s="2" t="e" vm="240">
        <v>#VALUE!</v>
      </c>
      <c r="EF238" s="10" cm="1">
        <f t="array" aca="1" ref="EF238" ca="1">_FV(ED238,"Ações em circulação",TRUE)</f>
        <v>152644400</v>
      </c>
      <c r="EG238" s="18">
        <f>VLOOKUP(BQ238,Fundamentus!A:U,5,FALSE)</f>
        <v>0.75800000000000001</v>
      </c>
      <c r="EH238" s="2">
        <f t="shared" ca="1" si="238"/>
        <v>1403603519.7889183</v>
      </c>
      <c r="EI238" s="17">
        <v>701423169.5620054</v>
      </c>
      <c r="EJ238" s="17">
        <f t="shared" ca="1" si="239"/>
        <v>708539056.789446</v>
      </c>
      <c r="EL238" s="16">
        <f t="shared" ca="1" si="226"/>
        <v>1.0144927536231751E-2</v>
      </c>
      <c r="EM238" s="32" t="str">
        <f>IF(VLOOKUP(BQ238,Fundamentus!A:U,3,FALSE)&lt;15,"Bom",IF(VLOOKUP(BQ238,Fundamentus!A:U,3,FALSE)&gt;15,"Ruim","n/a"))</f>
        <v>Bom</v>
      </c>
      <c r="EN238" s="28" t="str">
        <f>IF(VLOOKUP(BQ238,Fundamentus!A:U,4,FALSE)&lt;1,"Baixo",IF(VLOOKUP(BQ238,Fundamentus!A:U,4,FALSE)&lt;1.5,"Moderado",IF(VLOOKUP(BQ238,Fundamentus!A:U,4,FALSE)&gt;1.5,"Alto","n/a")))</f>
        <v>Baixo</v>
      </c>
      <c r="EO238" s="17" t="str">
        <f>IF(VLOOKUP(BQ238,Fundamentus!A:U,8,FALSE)&lt;0,"Risco elevado",IF(VLOOKUP(BQ238,Fundamentus!A:U,8,FALSE)&lt;1,"Saudável",IF(VLOOKUP(BQ238,Fundamentus!A:U,8,FALSE)&lt;3,"Estável",IF(VLOOKUP(BQ238,Fundamentus!A:U,8,FALSE)&gt;3,"Alerta","n/a"))))</f>
        <v>Estável</v>
      </c>
      <c r="EP238" s="28" t="str">
        <f t="shared" si="240"/>
        <v>Ruim</v>
      </c>
      <c r="EQ238" s="17" t="str">
        <f>IF(VLOOKUP(BQ238,Fundamentus!A:U,12,FALSE)&lt;2,"Subvalorizada",IF(VLOOKUP(BQ238,Fundamentus!A:U,12,FALSE)&lt;6,"Muita barata",IF(VLOOKUP(BQ238,Fundamentus!A:U,12,FALSE)&lt;6,"Barata",IF(VLOOKUP(BQ238,Fundamentus!A:U,12,FALSE)&lt;8,"Atrativa",IF(VLOOKUP(BQ238,Fundamentus!A:U,12,FALSE)&gt;8,"Supervalorizada","n/a")))))</f>
        <v>Muita barata</v>
      </c>
      <c r="ES238" s="17" t="str">
        <f>IF(VLOOKUP(BQ238,Fundamentus!A:U,17,FALSE)&lt;0.1,"Fraco retorno",IF(VLOOKUP(BQ238,Fundamentus!A:U,17,FALSE)&gt;0.1,"Bom retorno","n/a"))</f>
        <v>Bom retorno</v>
      </c>
      <c r="ET238" s="17" t="str">
        <f>IF(VLOOKUP(BQ238,Fundamentus!A:U,16,FALSE)&lt;0.1,"Ineficiente",IF(VLOOKUP(BQ238,Fundamentus!A:U,16,FALSE)&gt;0.1,"Eficiente","n/a"))</f>
        <v>Eficiente</v>
      </c>
      <c r="EU238" s="33" t="str">
        <f>IF(VLOOKUP(BQ238,Fundamentus!A:U,16,FALSE)&lt;0.1,"Oper. Ineficiente",IF(VLOOKUP(BQ238,Fundamentus!A:U,16,FALSE)&gt;0.1,"Oper.Eficiente","n/a"))</f>
        <v>Oper.Eficiente</v>
      </c>
      <c r="EV238" s="34">
        <f>VLOOKUP(BQ238,Fundamentus!A:U,14,FALSE)</f>
        <v>0.50480000000000003</v>
      </c>
      <c r="EW238" s="17" t="str">
        <f>IF(VLOOKUP(BQ238,Fundamentus!A:U,21,FALSE)&lt;0,"Negativo",IF(VLOOKUP(BQ238,Fundamentus!A:U,21,FALSE)&lt;0.05,"Fraco",IF(VLOOKUP(BQ238,Fundamentus!A:U,21,FALSE)&lt;0.1,"Bom",IF(VLOOKUP(BQ238,Fundamentus!A:U,21,FALSE)&gt;0.1,"Muito bom","n/a"))))</f>
        <v>Fraco</v>
      </c>
      <c r="EY238" s="29" t="str">
        <f>IF(VLOOKUP(BQ238,Fundamentus!A:U,15,FALSE)&gt;1,"Bom",IF(VLOOKUP(BQ238,Fundamentus!A:U,15,FALSE)&lt;1,"Ruim","n/a"))</f>
        <v>Bom</v>
      </c>
      <c r="EZ238" s="17" t="str">
        <f>IF(VLOOKUP(BQ238,Fundamentus!A:U,20,FALSE)&lt;0.5,"Baixa",IF(VLOOKUP(BQ238,Fundamentus!A:U,20,FALSE)&lt;1,"Moderada",IF(VLOOKUP(BQ238,Fundamentus!A:U,20,FALSE)&lt;2,"Alerta",IF(VLOOKUP(BQ238,Fundamentus!A:U,20,FALSE)&gt;2,"Alta","n/a"))))</f>
        <v>Moderada</v>
      </c>
    </row>
    <row r="239" spans="1:156" s="2" customFormat="1" ht="11.25" x14ac:dyDescent="0.2">
      <c r="A239" s="4">
        <v>7.19</v>
      </c>
      <c r="B239" s="4">
        <v>7.34</v>
      </c>
      <c r="C239" s="4">
        <v>7.28</v>
      </c>
      <c r="D239" s="4">
        <v>6.86</v>
      </c>
      <c r="E239" s="4">
        <v>6.93</v>
      </c>
      <c r="F239" s="4">
        <v>6.87</v>
      </c>
      <c r="G239" s="4">
        <v>6.85</v>
      </c>
      <c r="H239" s="4">
        <v>6.63</v>
      </c>
      <c r="I239" s="4">
        <v>6.66</v>
      </c>
      <c r="J239" s="4">
        <v>6.98</v>
      </c>
      <c r="K239" s="4">
        <v>6.96</v>
      </c>
      <c r="L239" s="4">
        <v>6.74</v>
      </c>
      <c r="M239" s="4">
        <v>6.73</v>
      </c>
      <c r="N239" s="4">
        <v>6.72</v>
      </c>
      <c r="O239" s="4">
        <v>7.18</v>
      </c>
      <c r="P239" s="4">
        <v>7.27</v>
      </c>
      <c r="Q239" s="4">
        <v>7.55</v>
      </c>
      <c r="R239" s="4">
        <v>7.47</v>
      </c>
      <c r="S239" s="4">
        <v>7.53</v>
      </c>
      <c r="T239" s="4">
        <v>8.0299999999999994</v>
      </c>
      <c r="U239" s="4">
        <v>7.4</v>
      </c>
      <c r="V239" s="4">
        <v>7.34</v>
      </c>
      <c r="W239" s="4">
        <v>7.68</v>
      </c>
      <c r="X239" s="4">
        <v>7.36</v>
      </c>
      <c r="Y239" s="4">
        <v>6.99</v>
      </c>
      <c r="Z239" s="4">
        <v>6.98</v>
      </c>
      <c r="AA239" s="4">
        <v>6.75</v>
      </c>
      <c r="AB239" s="4">
        <v>6.93</v>
      </c>
      <c r="AC239" s="4">
        <v>6.44</v>
      </c>
      <c r="AD239" s="4">
        <v>6.38</v>
      </c>
      <c r="AE239" s="4">
        <v>5.26</v>
      </c>
      <c r="AF239" s="4">
        <v>5.0199999999999996</v>
      </c>
      <c r="AG239" s="4">
        <v>5.03</v>
      </c>
      <c r="AH239" s="4">
        <v>5.26</v>
      </c>
      <c r="AI239" s="4">
        <v>5.35</v>
      </c>
      <c r="AJ239" s="4">
        <v>5.12</v>
      </c>
      <c r="AK239" s="4">
        <v>5.09</v>
      </c>
      <c r="AL239" s="4">
        <v>5.27</v>
      </c>
      <c r="AM239" s="4">
        <v>5.18</v>
      </c>
      <c r="AN239" s="4">
        <v>5.64</v>
      </c>
      <c r="AO239" s="4">
        <v>5.45</v>
      </c>
      <c r="AP239" s="4">
        <v>5.8</v>
      </c>
      <c r="AQ239" s="4">
        <v>5.74</v>
      </c>
      <c r="AR239" s="4">
        <v>4.51</v>
      </c>
      <c r="AS239" s="4">
        <v>4.7699999999999996</v>
      </c>
      <c r="AT239" s="4">
        <v>5.0199999999999996</v>
      </c>
      <c r="AU239" s="4">
        <v>5.1349999999999998</v>
      </c>
      <c r="AV239" s="4">
        <v>5.2</v>
      </c>
      <c r="AW239" s="4">
        <v>4.99</v>
      </c>
      <c r="AX239" s="4">
        <v>4.93</v>
      </c>
      <c r="AY239" s="12">
        <v>5.57</v>
      </c>
      <c r="AZ239" s="12">
        <v>6.11</v>
      </c>
      <c r="BA239" s="12">
        <v>5.92</v>
      </c>
      <c r="BB239" s="15">
        <v>6.15</v>
      </c>
      <c r="BC239" s="52">
        <v>5.49</v>
      </c>
      <c r="BD239" s="52">
        <v>5.07</v>
      </c>
      <c r="BE239" s="52">
        <v>5.29</v>
      </c>
      <c r="BF239" s="52">
        <v>5.92</v>
      </c>
      <c r="BG239" s="67">
        <v>5.76</v>
      </c>
      <c r="BH239" s="52">
        <v>5.86</v>
      </c>
      <c r="BI239" s="52">
        <v>5.92</v>
      </c>
      <c r="BJ239" s="52">
        <v>6.29</v>
      </c>
      <c r="BK239" s="52">
        <v>6.12</v>
      </c>
      <c r="BL239" s="52">
        <v>5.95</v>
      </c>
      <c r="BM239" s="52">
        <v>6.1</v>
      </c>
      <c r="BN239" s="52">
        <v>5.99</v>
      </c>
      <c r="BO239" s="52">
        <v>6.51</v>
      </c>
      <c r="BP239" s="52" cm="1">
        <f t="array" aca="1" ref="BP239" ca="1">_FV(ED239,"Preço")</f>
        <v>7.16</v>
      </c>
      <c r="BQ239" s="69" t="s">
        <v>235</v>
      </c>
      <c r="BR239" s="36" cm="1">
        <f t="array" aca="1" ref="BR239" ca="1">_FV(ED239,"Média de volume",TRUE)</f>
        <v>12354430</v>
      </c>
      <c r="BS239" s="36">
        <v>8538100</v>
      </c>
      <c r="BT239" s="36" cm="1">
        <f t="array" aca="1" ref="BT239" ca="1">_FV(ED239,"Volume")</f>
        <v>10925200</v>
      </c>
      <c r="BU239" s="24" cm="1">
        <f t="array" aca="1" ref="BU239" ca="1">_FV(ED239,"Beta")</f>
        <v>1.6787000000000001</v>
      </c>
      <c r="BV239" s="71" cm="1">
        <f t="array" aca="1" ref="BV239" ca="1">_FV(ED239,"Variação (%)",TRUE)</f>
        <v>-1.3950000000000002E-3</v>
      </c>
      <c r="BX239" s="17" cm="1">
        <f t="array" aca="1" ref="BX239" ca="1">_FV(ED239,"Baixo")</f>
        <v>7.11</v>
      </c>
      <c r="BY239" s="17" cm="1">
        <f t="array" aca="1" ref="BY239" ca="1">_FV(ED239,"Alto")</f>
        <v>7.3</v>
      </c>
      <c r="BZ239" s="24"/>
      <c r="CA239" s="60" t="e">
        <f ca="1">SQRT(22.5*(BP239/VLOOKUP(BQ239,Fundamentus!A:U,3,FALSE))*(BP239/VLOOKUP(BQ239,Fundamentus!A:U,4,FALSE)))</f>
        <v>#NUM!</v>
      </c>
      <c r="CC239" s="62">
        <f t="shared" ca="1" si="241"/>
        <v>9.9846390168970872E-2</v>
      </c>
      <c r="CD239" s="8"/>
      <c r="CE239" s="61">
        <f t="shared" si="242"/>
        <v>4.51</v>
      </c>
      <c r="CF239" s="61">
        <f t="shared" si="243"/>
        <v>8.0299999999999994</v>
      </c>
      <c r="CG239" s="61">
        <f t="shared" si="244"/>
        <v>6.2060447761194037</v>
      </c>
      <c r="CH239" s="14"/>
      <c r="CI239" s="35">
        <f t="shared" si="227"/>
        <v>6.1326890386613515</v>
      </c>
      <c r="CJ239" s="15">
        <f t="shared" si="245"/>
        <v>6.5300000000002001</v>
      </c>
      <c r="CK239" s="35">
        <f t="shared" si="228"/>
        <v>6.9273109613390487</v>
      </c>
      <c r="CM239" s="14"/>
      <c r="CN239" s="17">
        <f t="shared" si="229"/>
        <v>1.1499999999999986</v>
      </c>
      <c r="CO239" s="17">
        <f t="shared" si="230"/>
        <v>2.8299999999999992</v>
      </c>
      <c r="CP239" s="17">
        <f t="shared" si="231"/>
        <v>4.6699999999999982</v>
      </c>
      <c r="CQ239" s="38">
        <f t="shared" si="246"/>
        <v>6.3499999999999988</v>
      </c>
      <c r="CR239" s="17">
        <f t="shared" si="232"/>
        <v>8.1899999999999977</v>
      </c>
      <c r="CS239" s="17">
        <f t="shared" si="233"/>
        <v>9.8699999999999974</v>
      </c>
      <c r="CT239" s="17">
        <f t="shared" si="234"/>
        <v>11.709999999999997</v>
      </c>
      <c r="CU239" s="2" cm="1">
        <f t="array" aca="1" ref="CU239" ca="1">MAX(_xlfn._xlws.FILTER(CN239:CT239,CN239:CT239&lt;BP239))</f>
        <v>6.3499999999999988</v>
      </c>
      <c r="CV239" s="2" cm="1">
        <f t="array" aca="1" ref="CV239" ca="1">MIN(_xlfn._xlws.FILTER($CN239:$CT239,$CN239:$CT239&gt;BP239))</f>
        <v>8.1899999999999977</v>
      </c>
      <c r="CW239" s="16">
        <f t="shared" ca="1" si="248"/>
        <v>0.28976377952755894</v>
      </c>
      <c r="CX239" s="20">
        <f t="shared" ca="1" si="249"/>
        <v>-0.14488188976377947</v>
      </c>
      <c r="CY239" s="20">
        <f t="shared" ca="1" si="250"/>
        <v>-9.6587926509186309E-2</v>
      </c>
      <c r="CZ239" s="20">
        <f t="shared" ca="1" si="251"/>
        <v>-5.7952755905511785E-2</v>
      </c>
      <c r="DA239" s="20">
        <f t="shared" ca="1" si="252"/>
        <v>-3.2195975503062108E-2</v>
      </c>
      <c r="DB239" s="20">
        <f t="shared" ca="1" si="253"/>
        <v>-1.7044928207503467E-2</v>
      </c>
      <c r="DC239" s="20">
        <f t="shared" ca="1" si="254"/>
        <v>-8.7807205917442097E-3</v>
      </c>
      <c r="DD239" s="20">
        <f t="shared" ca="1" si="255"/>
        <v>-4.4579043004239838E-3</v>
      </c>
      <c r="DE239" s="21">
        <f t="shared" ca="1" si="256"/>
        <v>4.4579043004239838E-3</v>
      </c>
      <c r="DF239" s="21">
        <f t="shared" ca="1" si="257"/>
        <v>8.7807205917442097E-3</v>
      </c>
      <c r="DG239" s="21">
        <f t="shared" ca="1" si="258"/>
        <v>1.7044928207503467E-2</v>
      </c>
      <c r="DH239" s="21">
        <f t="shared" ca="1" si="259"/>
        <v>3.2195975503062108E-2</v>
      </c>
      <c r="DI239" s="21">
        <f t="shared" ca="1" si="260"/>
        <v>5.7952755905511785E-2</v>
      </c>
      <c r="DJ239" s="21">
        <f t="shared" ca="1" si="261"/>
        <v>9.6587926509186309E-2</v>
      </c>
      <c r="DK239" s="21">
        <f t="shared" ca="1" si="262"/>
        <v>0.14488188976377947</v>
      </c>
      <c r="DM239" s="16" cm="1">
        <f t="array" aca="1" ref="DM239" ca="1">MAX(_xlfn._xlws.FILTER(CX239:DK239,CX239:DK239&lt;BV239))</f>
        <v>-4.4579043004239838E-3</v>
      </c>
      <c r="DN239" s="16" cm="1">
        <f t="array" aca="1" ref="DN239" ca="1">MIN(_xlfn._xlws.FILTER(CX239:DK239,CX239:DK239&gt;BV239))</f>
        <v>4.4579043004239838E-3</v>
      </c>
      <c r="DO239" s="2" cm="1">
        <f t="array" aca="1" ref="DO239" ca="1">_FV(ED239,"Fechamento anterior",TRUE)</f>
        <v>7.17</v>
      </c>
      <c r="DP239" s="28">
        <f t="shared" ca="1" si="235"/>
        <v>0.34356997756352192</v>
      </c>
      <c r="DQ239" s="15">
        <f t="shared" ca="1" si="263"/>
        <v>7.1380368261659601</v>
      </c>
      <c r="DR239" s="15">
        <f t="shared" ca="1" si="264"/>
        <v>7.2019631738340397</v>
      </c>
      <c r="DS239" s="9"/>
      <c r="DT239" s="9"/>
      <c r="DU239" s="9"/>
      <c r="DV239" s="89">
        <v>4.3228162913202259E-3</v>
      </c>
      <c r="DW239" s="89">
        <f t="shared" ca="1" si="236"/>
        <v>8.9158086008479676E-3</v>
      </c>
      <c r="DX239" s="72">
        <f t="shared" ca="1" si="237"/>
        <v>1.5856597509337316</v>
      </c>
      <c r="DY239" s="37"/>
      <c r="DZ239" s="35">
        <f t="shared" si="247"/>
        <v>0.19865548066942412</v>
      </c>
      <c r="EA239" s="56"/>
      <c r="EB239" s="56"/>
      <c r="ED239" s="2" t="e" vm="241">
        <v>#VALUE!</v>
      </c>
      <c r="EF239" s="10" cm="1">
        <f t="array" aca="1" ref="EF239" ca="1">_FV(ED239,"Ações em circulação",TRUE)</f>
        <v>562826700</v>
      </c>
      <c r="EG239" s="18">
        <f>VLOOKUP(BQ239,Fundamentus!A:U,5,FALSE)</f>
        <v>0.372</v>
      </c>
      <c r="EH239" s="2">
        <f t="shared" ca="1" si="238"/>
        <v>10832901000</v>
      </c>
      <c r="EI239" s="17">
        <v>-710146588.72500002</v>
      </c>
      <c r="EJ239" s="17">
        <f t="shared" ca="1" si="239"/>
        <v>-781052162.10000002</v>
      </c>
      <c r="EL239" s="16">
        <f t="shared" ca="1" si="226"/>
        <v>9.9846390168970789E-2</v>
      </c>
      <c r="EM239" s="32" t="str">
        <f>IF(VLOOKUP(BQ239,Fundamentus!A:U,3,FALSE)&lt;15,"Bom",IF(VLOOKUP(BQ239,Fundamentus!A:U,3,FALSE)&gt;15,"Ruim","n/a"))</f>
        <v>Bom</v>
      </c>
      <c r="EN239" s="28" t="str">
        <f>IF(VLOOKUP(BQ239,Fundamentus!A:U,4,FALSE)&lt;1,"Baixo",IF(VLOOKUP(BQ239,Fundamentus!A:U,4,FALSE)&lt;1.5,"Moderado",IF(VLOOKUP(BQ239,Fundamentus!A:U,4,FALSE)&gt;1.5,"Alto","n/a")))</f>
        <v>Baixo</v>
      </c>
      <c r="EO239" s="17" t="str">
        <f>IF(VLOOKUP(BQ239,Fundamentus!A:U,8,FALSE)&lt;0,"Risco elevado",IF(VLOOKUP(BQ239,Fundamentus!A:U,8,FALSE)&lt;1,"Saudável",IF(VLOOKUP(BQ239,Fundamentus!A:U,8,FALSE)&lt;3,"Estável",IF(VLOOKUP(BQ239,Fundamentus!A:U,8,FALSE)&gt;3,"Alerta","n/a"))))</f>
        <v>Saudável</v>
      </c>
      <c r="EP239" s="28" t="str">
        <f t="shared" si="240"/>
        <v>Ruim</v>
      </c>
      <c r="EQ239" s="17" t="str">
        <f>IF(VLOOKUP(BQ239,Fundamentus!A:U,12,FALSE)&lt;2,"Subvalorizada",IF(VLOOKUP(BQ239,Fundamentus!A:U,12,FALSE)&lt;6,"Muita barata",IF(VLOOKUP(BQ239,Fundamentus!A:U,12,FALSE)&lt;6,"Barata",IF(VLOOKUP(BQ239,Fundamentus!A:U,12,FALSE)&lt;8,"Atrativa",IF(VLOOKUP(BQ239,Fundamentus!A:U,12,FALSE)&gt;8,"Supervalorizada","n/a")))))</f>
        <v>Supervalorizada</v>
      </c>
      <c r="ES239" s="17" t="str">
        <f>IF(VLOOKUP(BQ239,Fundamentus!A:U,17,FALSE)&lt;0.1,"Fraco retorno",IF(VLOOKUP(BQ239,Fundamentus!A:U,17,FALSE)&gt;0.1,"Bom retorno","n/a"))</f>
        <v>Fraco retorno</v>
      </c>
      <c r="ET239" s="17" t="str">
        <f>IF(VLOOKUP(BQ239,Fundamentus!A:U,16,FALSE)&lt;0.1,"Ineficiente",IF(VLOOKUP(BQ239,Fundamentus!A:U,16,FALSE)&gt;0.1,"Eficiente","n/a"))</f>
        <v>Ineficiente</v>
      </c>
      <c r="EU239" s="33" t="str">
        <f>IF(VLOOKUP(BQ239,Fundamentus!A:U,16,FALSE)&lt;0.1,"Oper. Ineficiente",IF(VLOOKUP(BQ239,Fundamentus!A:U,16,FALSE)&gt;0.1,"Oper.Eficiente","n/a"))</f>
        <v>Oper. Ineficiente</v>
      </c>
      <c r="EV239" s="34">
        <f>VLOOKUP(BQ239,Fundamentus!A:U,14,FALSE)</f>
        <v>-7.2099999999999997E-2</v>
      </c>
      <c r="EW239" s="17" t="str">
        <f>IF(VLOOKUP(BQ239,Fundamentus!A:U,21,FALSE)&lt;0,"Negativo",IF(VLOOKUP(BQ239,Fundamentus!A:U,21,FALSE)&lt;0.05,"Fraco",IF(VLOOKUP(BQ239,Fundamentus!A:U,21,FALSE)&lt;0.1,"Bom",IF(VLOOKUP(BQ239,Fundamentus!A:U,21,FALSE)&gt;0.1,"Muito bom","n/a"))))</f>
        <v>Bom</v>
      </c>
      <c r="EY239" s="29" t="str">
        <f>IF(VLOOKUP(BQ239,Fundamentus!A:U,15,FALSE)&gt;1,"Bom",IF(VLOOKUP(BQ239,Fundamentus!A:U,15,FALSE)&lt;1,"Ruim","n/a"))</f>
        <v>Bom</v>
      </c>
      <c r="EZ239" s="17" t="str">
        <f>IF(VLOOKUP(BQ239,Fundamentus!A:U,20,FALSE)&lt;0.5,"Baixa",IF(VLOOKUP(BQ239,Fundamentus!A:U,20,FALSE)&lt;1,"Moderada",IF(VLOOKUP(BQ239,Fundamentus!A:U,20,FALSE)&lt;2,"Alerta",IF(VLOOKUP(BQ239,Fundamentus!A:U,20,FALSE)&gt;2,"Alta","n/a"))))</f>
        <v>Alerta</v>
      </c>
    </row>
    <row r="240" spans="1:156" s="2" customFormat="1" ht="11.25" hidden="1" x14ac:dyDescent="0.2">
      <c r="A240" s="4">
        <v>7.62</v>
      </c>
      <c r="B240" s="4">
        <v>7.24</v>
      </c>
      <c r="C240" s="4">
        <v>7.06</v>
      </c>
      <c r="D240" s="4">
        <v>6.45</v>
      </c>
      <c r="E240" s="4">
        <v>6.48</v>
      </c>
      <c r="F240" s="4">
        <v>6.39</v>
      </c>
      <c r="G240" s="4">
        <v>6.03</v>
      </c>
      <c r="H240" s="4">
        <v>5.94</v>
      </c>
      <c r="I240" s="4">
        <v>6.02</v>
      </c>
      <c r="J240" s="4">
        <v>6.69</v>
      </c>
      <c r="K240" s="4">
        <v>6.85</v>
      </c>
      <c r="L240" s="4">
        <v>6.08</v>
      </c>
      <c r="M240" s="4">
        <v>6.35</v>
      </c>
      <c r="N240" s="4">
        <v>6.62</v>
      </c>
      <c r="O240" s="4">
        <v>7.5</v>
      </c>
      <c r="P240" s="4">
        <v>7.31</v>
      </c>
      <c r="Q240" s="4">
        <v>7.58</v>
      </c>
      <c r="R240" s="4">
        <v>7.14</v>
      </c>
      <c r="S240" s="4">
        <v>6.94</v>
      </c>
      <c r="T240" s="4">
        <v>7.21</v>
      </c>
      <c r="U240" s="4">
        <v>6.53</v>
      </c>
      <c r="V240" s="4">
        <v>6.24</v>
      </c>
      <c r="W240" s="4">
        <v>5.89</v>
      </c>
      <c r="X240" s="4">
        <v>5.52</v>
      </c>
      <c r="Y240" s="4">
        <v>5.76</v>
      </c>
      <c r="Z240" s="4">
        <v>5.9</v>
      </c>
      <c r="AA240" s="4">
        <v>5.67</v>
      </c>
      <c r="AB240" s="4">
        <v>6.35</v>
      </c>
      <c r="AC240" s="4">
        <v>6.13</v>
      </c>
      <c r="AD240" s="4">
        <v>6.98</v>
      </c>
      <c r="AE240" s="4">
        <v>5.24</v>
      </c>
      <c r="AF240" s="4">
        <v>5.03</v>
      </c>
      <c r="AG240" s="4">
        <v>4.21</v>
      </c>
      <c r="AH240" s="4">
        <v>3.79</v>
      </c>
      <c r="AI240" s="4">
        <v>3.64</v>
      </c>
      <c r="AJ240" s="4">
        <v>3.61</v>
      </c>
      <c r="AK240" s="4">
        <v>3.4</v>
      </c>
      <c r="AL240" s="4">
        <v>3.64</v>
      </c>
      <c r="AM240" s="4">
        <v>3.72</v>
      </c>
      <c r="AN240" s="4">
        <v>3.95</v>
      </c>
      <c r="AO240" s="4">
        <v>3.34</v>
      </c>
      <c r="AP240" s="4">
        <v>4.1100000000000003</v>
      </c>
      <c r="AQ240" s="4">
        <v>3.89</v>
      </c>
      <c r="AR240" s="4">
        <v>3.56</v>
      </c>
      <c r="AS240" s="4">
        <v>3.66</v>
      </c>
      <c r="AT240" s="4">
        <v>4.12</v>
      </c>
      <c r="AU240" s="4">
        <v>4.7549999999999999</v>
      </c>
      <c r="AV240" s="4">
        <v>5.0999999999999996</v>
      </c>
      <c r="AW240" s="4">
        <v>5.44</v>
      </c>
      <c r="AX240" s="4">
        <v>5.79</v>
      </c>
      <c r="AY240" s="12">
        <v>6.06</v>
      </c>
      <c r="AZ240" s="12">
        <v>7.18</v>
      </c>
      <c r="BA240" s="12">
        <v>7.07</v>
      </c>
      <c r="BB240" s="15">
        <v>7.68</v>
      </c>
      <c r="BC240" s="52">
        <v>6.86</v>
      </c>
      <c r="BD240" s="52">
        <v>6.62</v>
      </c>
      <c r="BE240" s="52">
        <v>6.95</v>
      </c>
      <c r="BF240" s="52">
        <v>6.59</v>
      </c>
      <c r="BG240" s="67">
        <v>7.72</v>
      </c>
      <c r="BH240" s="52">
        <v>8.27</v>
      </c>
      <c r="BI240" s="52">
        <v>7.11</v>
      </c>
      <c r="BJ240" s="52">
        <v>6.84</v>
      </c>
      <c r="BK240" s="52">
        <v>6.25</v>
      </c>
      <c r="BL240" s="52">
        <v>6.35</v>
      </c>
      <c r="BM240" s="52">
        <v>6.37</v>
      </c>
      <c r="BN240" s="52">
        <v>6.12</v>
      </c>
      <c r="BO240" s="52">
        <v>7.45</v>
      </c>
      <c r="BP240" s="52" cm="1">
        <f t="array" aca="1" ref="BP240" ca="1">_FV(ED240,"Preço")</f>
        <v>7.24</v>
      </c>
      <c r="BQ240" s="69" t="s">
        <v>236</v>
      </c>
      <c r="BR240" s="36" cm="1">
        <f t="array" aca="1" ref="BR240" ca="1">_FV(ED240,"Média de volume",TRUE)</f>
        <v>6569100</v>
      </c>
      <c r="BS240" s="36">
        <v>17344000</v>
      </c>
      <c r="BT240" s="36" cm="1">
        <f t="array" aca="1" ref="BT240" ca="1">_FV(ED240,"Volume")</f>
        <v>5034000</v>
      </c>
      <c r="BU240" s="24" cm="1">
        <f t="array" aca="1" ref="BU240" ca="1">_FV(ED240,"Beta")</f>
        <v>1.5270999999999999</v>
      </c>
      <c r="BV240" s="71" cm="1">
        <f t="array" aca="1" ref="BV240" ca="1">_FV(ED240,"Variação (%)",TRUE)</f>
        <v>-3.2086000000000003E-2</v>
      </c>
      <c r="BX240" s="17" cm="1">
        <f t="array" aca="1" ref="BX240" ca="1">_FV(ED240,"Baixo")</f>
        <v>7.21</v>
      </c>
      <c r="BY240" s="17" cm="1">
        <f t="array" aca="1" ref="BY240" ca="1">_FV(ED240,"Alto")</f>
        <v>7.62</v>
      </c>
      <c r="BZ240" s="24"/>
      <c r="CA240" s="63">
        <f ca="1">SQRT(22.5*(BP240/VLOOKUP(BQ240,Fundamentus!A:U,3,FALSE))*(BP240/VLOOKUP(BQ240,Fundamentus!A:U,4,FALSE)))</f>
        <v>12.982779512981645</v>
      </c>
      <c r="CC240" s="62">
        <f t="shared" ca="1" si="241"/>
        <v>-2.8187919463087244E-2</v>
      </c>
      <c r="CD240" s="8"/>
      <c r="CE240" s="61">
        <f t="shared" si="242"/>
        <v>3.34</v>
      </c>
      <c r="CF240" s="61">
        <f t="shared" si="243"/>
        <v>8.27</v>
      </c>
      <c r="CG240" s="61">
        <f t="shared" si="244"/>
        <v>5.9396268656716416</v>
      </c>
      <c r="CH240" s="14"/>
      <c r="CI240" s="35">
        <f t="shared" si="227"/>
        <v>6.3764677887520262</v>
      </c>
      <c r="CJ240" s="15">
        <f t="shared" si="245"/>
        <v>7.3350000000000364</v>
      </c>
      <c r="CK240" s="35">
        <f t="shared" si="228"/>
        <v>8.2935322112480474</v>
      </c>
      <c r="CM240" s="14"/>
      <c r="CN240" s="17">
        <f t="shared" si="229"/>
        <v>-0.49333333333333407</v>
      </c>
      <c r="CO240" s="17">
        <f t="shared" si="230"/>
        <v>1.4233333333333329</v>
      </c>
      <c r="CP240" s="17">
        <f t="shared" si="231"/>
        <v>4.4366666666666656</v>
      </c>
      <c r="CQ240" s="38">
        <f t="shared" si="246"/>
        <v>6.3533333333333326</v>
      </c>
      <c r="CR240" s="17">
        <f t="shared" si="232"/>
        <v>9.3666666666666654</v>
      </c>
      <c r="CS240" s="17">
        <f t="shared" si="233"/>
        <v>11.283333333333331</v>
      </c>
      <c r="CT240" s="17">
        <f t="shared" si="234"/>
        <v>14.296666666666665</v>
      </c>
      <c r="CU240" s="2" cm="1">
        <f t="array" aca="1" ref="CU240" ca="1">MAX(_xlfn._xlws.FILTER(CN240:CT240,CN240:CT240&lt;BP240))</f>
        <v>6.3533333333333326</v>
      </c>
      <c r="CV240" s="2" cm="1">
        <f t="array" aca="1" ref="CV240" ca="1">MIN(_xlfn._xlws.FILTER($CN240:$CT240,$CN240:$CT240&gt;BP240))</f>
        <v>9.3666666666666654</v>
      </c>
      <c r="CW240" s="16">
        <f t="shared" ca="1" si="248"/>
        <v>0.47429171038824758</v>
      </c>
      <c r="CX240" s="20">
        <f t="shared" ca="1" si="249"/>
        <v>-0.23714585519412379</v>
      </c>
      <c r="CY240" s="20">
        <f t="shared" ca="1" si="250"/>
        <v>-0.15809723679608254</v>
      </c>
      <c r="CZ240" s="20">
        <f t="shared" ca="1" si="251"/>
        <v>-9.485834207764951E-2</v>
      </c>
      <c r="DA240" s="20">
        <f t="shared" ca="1" si="252"/>
        <v>-5.2699078932027507E-2</v>
      </c>
      <c r="DB240" s="20">
        <f t="shared" ca="1" si="253"/>
        <v>-2.789951237577927E-2</v>
      </c>
      <c r="DC240" s="20">
        <f t="shared" ca="1" si="254"/>
        <v>-1.4372476072371139E-2</v>
      </c>
      <c r="DD240" s="20">
        <f t="shared" ca="1" si="255"/>
        <v>-7.2967955444345782E-3</v>
      </c>
      <c r="DE240" s="21">
        <f t="shared" ca="1" si="256"/>
        <v>7.2967955444345782E-3</v>
      </c>
      <c r="DF240" s="21">
        <f t="shared" ca="1" si="257"/>
        <v>1.4372476072371139E-2</v>
      </c>
      <c r="DG240" s="21">
        <f t="shared" ca="1" si="258"/>
        <v>2.789951237577927E-2</v>
      </c>
      <c r="DH240" s="21">
        <f t="shared" ca="1" si="259"/>
        <v>5.2699078932027507E-2</v>
      </c>
      <c r="DI240" s="21">
        <f t="shared" ca="1" si="260"/>
        <v>9.485834207764951E-2</v>
      </c>
      <c r="DJ240" s="21">
        <f t="shared" ca="1" si="261"/>
        <v>0.15809723679608254</v>
      </c>
      <c r="DK240" s="21">
        <f t="shared" ca="1" si="262"/>
        <v>0.23714585519412379</v>
      </c>
      <c r="DM240" s="16" cm="1">
        <f t="array" aca="1" ref="DM240" ca="1">MAX(_xlfn._xlws.FILTER(CX240:DK240,CX240:DK240&lt;BV240))</f>
        <v>-5.2699078932027507E-2</v>
      </c>
      <c r="DN240" s="16" cm="1">
        <f t="array" aca="1" ref="DN240" ca="1">MIN(_xlfn._xlws.FILTER(CX240:DK240,CX240:DK240&gt;BV240))</f>
        <v>-2.789951237577927E-2</v>
      </c>
      <c r="DO240" s="2" cm="1">
        <f t="array" aca="1" ref="DO240" ca="1">_FV(ED240,"Fechamento anterior",TRUE)</f>
        <v>7.48</v>
      </c>
      <c r="DP240" s="28">
        <f t="shared" ca="1" si="235"/>
        <v>0.83120474658085175</v>
      </c>
      <c r="DQ240" s="15">
        <f t="shared" ca="1" si="263"/>
        <v>7.0858108895884344</v>
      </c>
      <c r="DR240" s="15">
        <f t="shared" ca="1" si="264"/>
        <v>7.2713116474291715</v>
      </c>
      <c r="DS240" s="9"/>
      <c r="DT240" s="9"/>
      <c r="DU240" s="9"/>
      <c r="DV240" s="89">
        <v>4.2159263145622003E-2</v>
      </c>
      <c r="DW240" s="89">
        <f t="shared" ca="1" si="236"/>
        <v>2.4799566556248237E-2</v>
      </c>
      <c r="DX240" s="72">
        <f t="shared" ca="1" si="237"/>
        <v>-9.9109867029242599E-2</v>
      </c>
      <c r="DY240" s="37"/>
      <c r="DZ240" s="35">
        <f t="shared" si="247"/>
        <v>0.47926610562400518</v>
      </c>
      <c r="EA240" s="56"/>
      <c r="EB240" s="56"/>
      <c r="ED240" s="2" t="e" vm="242">
        <v>#VALUE!</v>
      </c>
      <c r="EF240" s="10" cm="1">
        <f t="array" aca="1" ref="EF240" ca="1">_FV(ED240,"Ações em circulação",TRUE)</f>
        <v>347931500</v>
      </c>
      <c r="EG240" s="18">
        <f>VLOOKUP(BQ240,Fundamentus!A:U,5,FALSE)</f>
        <v>0.155</v>
      </c>
      <c r="EH240" s="2">
        <f t="shared" ca="1" si="238"/>
        <v>16251768129.032259</v>
      </c>
      <c r="EI240" s="17">
        <v>311050761</v>
      </c>
      <c r="EJ240" s="17">
        <f t="shared" ca="1" si="239"/>
        <v>302282887.19999999</v>
      </c>
      <c r="EL240" s="16">
        <f t="shared" ca="1" si="226"/>
        <v>-2.8187919463087296E-2</v>
      </c>
      <c r="EM240" s="32" t="str">
        <f>IF(VLOOKUP(BQ240,Fundamentus!A:U,3,FALSE)&lt;15,"Bom",IF(VLOOKUP(BQ240,Fundamentus!A:U,3,FALSE)&gt;15,"Ruim","n/a"))</f>
        <v>Bom</v>
      </c>
      <c r="EN240" s="28" t="str">
        <f>IF(VLOOKUP(BQ240,Fundamentus!A:U,4,FALSE)&lt;1,"Baixo",IF(VLOOKUP(BQ240,Fundamentus!A:U,4,FALSE)&lt;1.5,"Moderado",IF(VLOOKUP(BQ240,Fundamentus!A:U,4,FALSE)&gt;1.5,"Alto","n/a")))</f>
        <v>Baixo</v>
      </c>
      <c r="EO240" s="17" t="str">
        <f>IF(VLOOKUP(BQ240,Fundamentus!A:U,8,FALSE)&lt;0,"Risco elevado",IF(VLOOKUP(BQ240,Fundamentus!A:U,8,FALSE)&lt;1,"Saudável",IF(VLOOKUP(BQ240,Fundamentus!A:U,8,FALSE)&lt;3,"Estável",IF(VLOOKUP(BQ240,Fundamentus!A:U,8,FALSE)&gt;3,"Alerta","n/a"))))</f>
        <v>Risco elevado</v>
      </c>
      <c r="EP240" s="28" t="str">
        <f t="shared" si="240"/>
        <v>Ruim</v>
      </c>
      <c r="EQ240" s="17" t="str">
        <f>IF(VLOOKUP(BQ240,Fundamentus!A:U,12,FALSE)&lt;2,"Subvalorizada",IF(VLOOKUP(BQ240,Fundamentus!A:U,12,FALSE)&lt;6,"Muita barata",IF(VLOOKUP(BQ240,Fundamentus!A:U,12,FALSE)&lt;6,"Barata",IF(VLOOKUP(BQ240,Fundamentus!A:U,12,FALSE)&lt;8,"Atrativa",IF(VLOOKUP(BQ240,Fundamentus!A:U,12,FALSE)&gt;8,"Supervalorizada","n/a")))))</f>
        <v>Muita barata</v>
      </c>
      <c r="ES240" s="17" t="str">
        <f>IF(VLOOKUP(BQ240,Fundamentus!A:U,17,FALSE)&lt;0.1,"Fraco retorno",IF(VLOOKUP(BQ240,Fundamentus!A:U,17,FALSE)&gt;0.1,"Bom retorno","n/a"))</f>
        <v>Bom retorno</v>
      </c>
      <c r="ET240" s="17" t="str">
        <f>IF(VLOOKUP(BQ240,Fundamentus!A:U,16,FALSE)&lt;0.1,"Ineficiente",IF(VLOOKUP(BQ240,Fundamentus!A:U,16,FALSE)&gt;0.1,"Eficiente","n/a"))</f>
        <v>Eficiente</v>
      </c>
      <c r="EU240" s="33" t="str">
        <f>IF(VLOOKUP(BQ240,Fundamentus!A:U,16,FALSE)&lt;0.1,"Oper. Ineficiente",IF(VLOOKUP(BQ240,Fundamentus!A:U,16,FALSE)&gt;0.1,"Oper.Eficiente","n/a"))</f>
        <v>Oper.Eficiente</v>
      </c>
      <c r="EV240" s="34">
        <f>VLOOKUP(BQ240,Fundamentus!A:U,14,FALSE)</f>
        <v>1.8599999999999998E-2</v>
      </c>
      <c r="EW240" s="17" t="str">
        <f>IF(VLOOKUP(BQ240,Fundamentus!A:U,21,FALSE)&lt;0,"Negativo",IF(VLOOKUP(BQ240,Fundamentus!A:U,21,FALSE)&lt;0.05,"Fraco",IF(VLOOKUP(BQ240,Fundamentus!A:U,21,FALSE)&lt;0.1,"Bom",IF(VLOOKUP(BQ240,Fundamentus!A:U,21,FALSE)&gt;0.1,"Muito bom","n/a"))))</f>
        <v>Muito bom</v>
      </c>
      <c r="EY240" s="29" t="str">
        <f>IF(VLOOKUP(BQ240,Fundamentus!A:U,15,FALSE)&gt;1,"Bom",IF(VLOOKUP(BQ240,Fundamentus!A:U,15,FALSE)&lt;1,"Ruim","n/a"))</f>
        <v>Ruim</v>
      </c>
      <c r="EZ240" s="17" t="str">
        <f>IF(VLOOKUP(BQ240,Fundamentus!A:U,20,FALSE)&lt;0.5,"Baixa",IF(VLOOKUP(BQ240,Fundamentus!A:U,20,FALSE)&lt;1,"Moderada",IF(VLOOKUP(BQ240,Fundamentus!A:U,20,FALSE)&lt;2,"Alerta",IF(VLOOKUP(BQ240,Fundamentus!A:U,20,FALSE)&gt;2,"Alta","n/a"))))</f>
        <v>Alta</v>
      </c>
    </row>
    <row r="241" spans="1:156" s="2" customFormat="1" ht="11.25" hidden="1" x14ac:dyDescent="0.2">
      <c r="A241" s="4">
        <v>1.46</v>
      </c>
      <c r="B241" s="4">
        <v>1.28</v>
      </c>
      <c r="C241" s="4">
        <v>1.33</v>
      </c>
      <c r="D241" s="4">
        <v>1.24</v>
      </c>
      <c r="E241" s="4">
        <v>1.1599999999999999</v>
      </c>
      <c r="F241" s="4">
        <v>1.19</v>
      </c>
      <c r="G241" s="4">
        <v>1.2</v>
      </c>
      <c r="H241" s="4">
        <v>1.34</v>
      </c>
      <c r="I241" s="4">
        <v>1.52</v>
      </c>
      <c r="J241" s="4">
        <v>1.58</v>
      </c>
      <c r="K241" s="4">
        <v>1.7</v>
      </c>
      <c r="L241" s="4">
        <v>1.6</v>
      </c>
      <c r="M241" s="4">
        <v>1.42</v>
      </c>
      <c r="N241" s="4">
        <v>1.43</v>
      </c>
      <c r="O241" s="4">
        <v>1.54</v>
      </c>
      <c r="P241" s="4">
        <v>1.46</v>
      </c>
      <c r="Q241" s="4">
        <v>1.44</v>
      </c>
      <c r="R241" s="4">
        <v>1.5</v>
      </c>
      <c r="S241" s="4">
        <v>1.4</v>
      </c>
      <c r="T241" s="4">
        <v>1.32</v>
      </c>
      <c r="U241" s="4">
        <v>1.19</v>
      </c>
      <c r="V241" s="4">
        <v>1.34</v>
      </c>
      <c r="W241" s="4">
        <v>1.26</v>
      </c>
      <c r="X241" s="4">
        <v>1.24</v>
      </c>
      <c r="Y241" s="4">
        <v>1.24</v>
      </c>
      <c r="Z241" s="4">
        <v>1.21</v>
      </c>
      <c r="AA241" s="4">
        <v>1.1399999999999999</v>
      </c>
      <c r="AB241" s="4">
        <v>1.1599999999999999</v>
      </c>
      <c r="AC241" s="4">
        <v>1.1499999999999999</v>
      </c>
      <c r="AD241" s="4">
        <v>1.06</v>
      </c>
      <c r="AE241" s="4">
        <v>0.93</v>
      </c>
      <c r="AF241" s="4">
        <v>0.81</v>
      </c>
      <c r="AG241" s="4">
        <v>1</v>
      </c>
      <c r="AH241" s="4">
        <v>1.01</v>
      </c>
      <c r="AI241" s="4">
        <v>1.02</v>
      </c>
      <c r="AJ241" s="4">
        <v>0.97</v>
      </c>
      <c r="AK241" s="4">
        <v>0.96</v>
      </c>
      <c r="AL241" s="4">
        <v>1.07</v>
      </c>
      <c r="AM241" s="4">
        <v>1.23</v>
      </c>
      <c r="AN241" s="4">
        <v>1.3</v>
      </c>
      <c r="AO241" s="4">
        <v>1.6</v>
      </c>
      <c r="AP241" s="4">
        <v>0.81</v>
      </c>
      <c r="AQ241" s="4">
        <v>1.06</v>
      </c>
      <c r="AR241" s="4">
        <v>1.17</v>
      </c>
      <c r="AS241" s="4">
        <v>1.1399999999999999</v>
      </c>
      <c r="AT241" s="4">
        <v>1.02</v>
      </c>
      <c r="AU241" s="4">
        <v>1.0149999999999999</v>
      </c>
      <c r="AV241" s="4">
        <v>0.99</v>
      </c>
      <c r="AW241" s="4">
        <v>0.92</v>
      </c>
      <c r="AX241" s="4">
        <v>0.91</v>
      </c>
      <c r="AY241" s="12">
        <v>0.88</v>
      </c>
      <c r="AZ241" s="12">
        <v>0.8</v>
      </c>
      <c r="BA241" s="12">
        <v>0.75</v>
      </c>
      <c r="BB241" s="15">
        <v>0.95</v>
      </c>
      <c r="BC241" s="52">
        <v>0.92</v>
      </c>
      <c r="BD241" s="52">
        <v>0.76</v>
      </c>
      <c r="BE241" s="52">
        <v>0.71</v>
      </c>
      <c r="BF241" s="52">
        <v>0.73</v>
      </c>
      <c r="BG241" s="67">
        <v>0.69</v>
      </c>
      <c r="BH241" s="52">
        <v>0.63</v>
      </c>
      <c r="BI241" s="52">
        <v>0.59</v>
      </c>
      <c r="BJ241" s="52">
        <v>0.54</v>
      </c>
      <c r="BK241" s="52">
        <v>0.64</v>
      </c>
      <c r="BL241" s="52">
        <v>0.56000000000000005</v>
      </c>
      <c r="BM241" s="52">
        <v>0.55000000000000004</v>
      </c>
      <c r="BN241" s="52">
        <v>0.56000000000000005</v>
      </c>
      <c r="BO241" s="52">
        <v>0.56000000000000005</v>
      </c>
      <c r="BP241" s="52" cm="1">
        <f t="array" aca="1" ref="BP241" ca="1">_FV(ED241,"Preço")</f>
        <v>0.57999999999999996</v>
      </c>
      <c r="BQ241" s="69" t="s">
        <v>237</v>
      </c>
      <c r="BR241" s="36" cm="1">
        <f t="array" aca="1" ref="BR241" ca="1">_FV(ED241,"Média de volume",TRUE)</f>
        <v>1519960</v>
      </c>
      <c r="BS241" s="36">
        <v>916100</v>
      </c>
      <c r="BT241" s="36" cm="1">
        <f t="array" aca="1" ref="BT241" ca="1">_FV(ED241,"Volume")</f>
        <v>3170200</v>
      </c>
      <c r="BU241" s="24" cm="1">
        <f t="array" aca="1" ref="BU241" ca="1">_FV(ED241,"Beta")</f>
        <v>1.0687</v>
      </c>
      <c r="BV241" s="71" cm="1">
        <f t="array" aca="1" ref="BV241" ca="1">_FV(ED241,"Variação (%)",TRUE)</f>
        <v>-6.4516000000000004E-2</v>
      </c>
      <c r="BX241" s="17" cm="1">
        <f t="array" aca="1" ref="BX241" ca="1">_FV(ED241,"Baixo")</f>
        <v>0.57999999999999996</v>
      </c>
      <c r="BY241" s="17" cm="1">
        <f t="array" aca="1" ref="BY241" ca="1">_FV(ED241,"Alto")</f>
        <v>0.67</v>
      </c>
      <c r="BZ241" s="24"/>
      <c r="CA241" s="63" t="e">
        <f ca="1">SQRT(22.5*(BP241/VLOOKUP(BQ241,Fundamentus!A:U,3,FALSE))*(BP241/VLOOKUP(BQ241,Fundamentus!A:U,4,FALSE)))</f>
        <v>#NUM!</v>
      </c>
      <c r="CC241" s="62">
        <f t="shared" ca="1" si="241"/>
        <v>3.5714285714285546E-2</v>
      </c>
      <c r="CD241" s="8"/>
      <c r="CE241" s="61">
        <f t="shared" si="242"/>
        <v>0.54</v>
      </c>
      <c r="CF241" s="61">
        <f t="shared" si="243"/>
        <v>1.7</v>
      </c>
      <c r="CG241" s="61">
        <f t="shared" si="244"/>
        <v>1.0873880597014929</v>
      </c>
      <c r="CH241" s="14"/>
      <c r="CI241" s="35">
        <f t="shared" si="227"/>
        <v>0.49354700909665594</v>
      </c>
      <c r="CJ241" s="15">
        <f t="shared" si="245"/>
        <v>0.5600000000000005</v>
      </c>
      <c r="CK241" s="35">
        <f t="shared" si="228"/>
        <v>0.62645299090334505</v>
      </c>
      <c r="CM241" s="14"/>
      <c r="CN241" s="17">
        <f t="shared" si="229"/>
        <v>-0.99333333333333296</v>
      </c>
      <c r="CO241" s="17">
        <f t="shared" si="230"/>
        <v>-0.22666666666666646</v>
      </c>
      <c r="CP241" s="17">
        <f t="shared" si="231"/>
        <v>0.16666666666666696</v>
      </c>
      <c r="CQ241" s="38">
        <f t="shared" si="246"/>
        <v>0.93333333333333346</v>
      </c>
      <c r="CR241" s="17">
        <f t="shared" si="232"/>
        <v>1.3266666666666669</v>
      </c>
      <c r="CS241" s="17">
        <f t="shared" si="233"/>
        <v>2.0933333333333333</v>
      </c>
      <c r="CT241" s="17">
        <f t="shared" si="234"/>
        <v>2.4866666666666668</v>
      </c>
      <c r="CU241" s="2" cm="1">
        <f t="array" aca="1" ref="CU241" ca="1">MAX(_xlfn._xlws.FILTER(CN241:CT241,CN241:CT241&lt;BP241))</f>
        <v>0.16666666666666696</v>
      </c>
      <c r="CV241" s="2" cm="1">
        <f t="array" aca="1" ref="CV241" ca="1">MIN(_xlfn._xlws.FILTER($CN241:$CT241,$CN241:$CT241&gt;BP241))</f>
        <v>0.93333333333333346</v>
      </c>
      <c r="CW241" s="16">
        <f t="shared" ca="1" si="248"/>
        <v>4.5999999999999908</v>
      </c>
      <c r="CX241" s="20">
        <f t="shared" ca="1" si="249"/>
        <v>-2.2999999999999954</v>
      </c>
      <c r="CY241" s="20">
        <f t="shared" ca="1" si="250"/>
        <v>-1.5333333333333303</v>
      </c>
      <c r="CZ241" s="20">
        <f t="shared" ca="1" si="251"/>
        <v>-0.91999999999999815</v>
      </c>
      <c r="DA241" s="20">
        <f t="shared" ca="1" si="252"/>
        <v>-0.51111111111111007</v>
      </c>
      <c r="DB241" s="20">
        <f t="shared" ca="1" si="253"/>
        <v>-0.27058823529411713</v>
      </c>
      <c r="DC241" s="20">
        <f t="shared" ca="1" si="254"/>
        <v>-0.13939393939393913</v>
      </c>
      <c r="DD241" s="20">
        <f t="shared" ca="1" si="255"/>
        <v>-7.0769230769230626E-2</v>
      </c>
      <c r="DE241" s="21">
        <f t="shared" ca="1" si="256"/>
        <v>7.0769230769230626E-2</v>
      </c>
      <c r="DF241" s="21">
        <f t="shared" ca="1" si="257"/>
        <v>0.13939393939393913</v>
      </c>
      <c r="DG241" s="21">
        <f t="shared" ca="1" si="258"/>
        <v>0.27058823529411713</v>
      </c>
      <c r="DH241" s="21">
        <f t="shared" ca="1" si="259"/>
        <v>0.51111111111111007</v>
      </c>
      <c r="DI241" s="21">
        <f t="shared" ca="1" si="260"/>
        <v>0.91999999999999815</v>
      </c>
      <c r="DJ241" s="21">
        <f t="shared" ca="1" si="261"/>
        <v>1.5333333333333303</v>
      </c>
      <c r="DK241" s="21">
        <f t="shared" ca="1" si="262"/>
        <v>2.2999999999999954</v>
      </c>
      <c r="DM241" s="16" cm="1">
        <f t="array" aca="1" ref="DM241" ca="1">MAX(_xlfn._xlws.FILTER(CX241:DK241,CX241:DK241&lt;BV241))</f>
        <v>-7.0769230769230626E-2</v>
      </c>
      <c r="DN241" s="16" cm="1">
        <f t="array" aca="1" ref="DN241" ca="1">MIN(_xlfn._xlws.FILTER(CX241:DK241,CX241:DK241&gt;BV241))</f>
        <v>7.0769230769230626E-2</v>
      </c>
      <c r="DO241" s="2" cm="1">
        <f t="array" aca="1" ref="DO241" ca="1">_FV(ED241,"Fechamento anterior",TRUE)</f>
        <v>0.62</v>
      </c>
      <c r="DP241" s="28">
        <f t="shared" ca="1" si="235"/>
        <v>4.4179523141654145E-2</v>
      </c>
      <c r="DQ241" s="15">
        <f t="shared" ca="1" si="263"/>
        <v>0.57612307692307696</v>
      </c>
      <c r="DR241" s="15">
        <f t="shared" ca="1" si="264"/>
        <v>0.66387692307692303</v>
      </c>
      <c r="DS241" s="9"/>
      <c r="DT241" s="9"/>
      <c r="DU241" s="9"/>
      <c r="DV241" s="89">
        <v>0.14153846153846125</v>
      </c>
      <c r="DW241" s="89">
        <f t="shared" ca="1" si="236"/>
        <v>0.14153846153846125</v>
      </c>
      <c r="DX241" s="72">
        <f t="shared" ca="1" si="237"/>
        <v>0.30096463271441509</v>
      </c>
      <c r="DY241" s="37"/>
      <c r="DZ241" s="35">
        <f t="shared" si="247"/>
        <v>3.3226495451672278E-2</v>
      </c>
      <c r="EA241" s="56"/>
      <c r="EB241" s="56"/>
      <c r="ED241" s="2" t="e" vm="243">
        <v>#VALUE!</v>
      </c>
      <c r="EF241" s="10" cm="1">
        <f t="array" aca="1" ref="EF241" ca="1">_FV(ED241,"Ações em circulação",TRUE)</f>
        <v>592753700</v>
      </c>
      <c r="EG241" s="18">
        <f>VLOOKUP(BQ241,Fundamentus!A:U,5,FALSE)</f>
        <v>2.16</v>
      </c>
      <c r="EH241" s="2">
        <f t="shared" ca="1" si="238"/>
        <v>159165345.37037036</v>
      </c>
      <c r="EI241" s="17">
        <v>-263110195.12555557</v>
      </c>
      <c r="EJ241" s="17">
        <f t="shared" ca="1" si="239"/>
        <v>-272506987.80861109</v>
      </c>
      <c r="EL241" s="16">
        <f t="shared" ca="1" si="226"/>
        <v>3.5714285714285587E-2</v>
      </c>
      <c r="EM241" s="32" t="str">
        <f>IF(VLOOKUP(BQ241,Fundamentus!A:U,3,FALSE)&lt;15,"Bom",IF(VLOOKUP(BQ241,Fundamentus!A:U,3,FALSE)&gt;15,"Ruim","n/a"))</f>
        <v>Bom</v>
      </c>
      <c r="EN241" s="28" t="str">
        <f>IF(VLOOKUP(BQ241,Fundamentus!A:U,4,FALSE)&lt;1,"Baixo",IF(VLOOKUP(BQ241,Fundamentus!A:U,4,FALSE)&lt;1.5,"Moderado",IF(VLOOKUP(BQ241,Fundamentus!A:U,4,FALSE)&gt;1.5,"Alto","n/a")))</f>
        <v>Baixo</v>
      </c>
      <c r="EO241" s="17" t="str">
        <f>IF(VLOOKUP(BQ241,Fundamentus!A:U,8,FALSE)&lt;0,"Risco elevado",IF(VLOOKUP(BQ241,Fundamentus!A:U,8,FALSE)&lt;1,"Saudável",IF(VLOOKUP(BQ241,Fundamentus!A:U,8,FALSE)&lt;3,"Estável",IF(VLOOKUP(BQ241,Fundamentus!A:U,8,FALSE)&gt;3,"Alerta","n/a"))))</f>
        <v>Risco elevado</v>
      </c>
      <c r="EP241" s="28" t="str">
        <f t="shared" si="240"/>
        <v>Bom</v>
      </c>
      <c r="EQ241" s="17" t="str">
        <f>IF(VLOOKUP(BQ241,Fundamentus!A:U,12,FALSE)&lt;2,"Subvalorizada",IF(VLOOKUP(BQ241,Fundamentus!A:U,12,FALSE)&lt;6,"Muita barata",IF(VLOOKUP(BQ241,Fundamentus!A:U,12,FALSE)&lt;6,"Barata",IF(VLOOKUP(BQ241,Fundamentus!A:U,12,FALSE)&lt;8,"Atrativa",IF(VLOOKUP(BQ241,Fundamentus!A:U,12,FALSE)&gt;8,"Supervalorizada","n/a")))))</f>
        <v>Subvalorizada</v>
      </c>
      <c r="ES241" s="17" t="str">
        <f>IF(VLOOKUP(BQ241,Fundamentus!A:U,17,FALSE)&lt;0.1,"Fraco retorno",IF(VLOOKUP(BQ241,Fundamentus!A:U,17,FALSE)&gt;0.1,"Bom retorno","n/a"))</f>
        <v>Fraco retorno</v>
      </c>
      <c r="ET241" s="17" t="str">
        <f>IF(VLOOKUP(BQ241,Fundamentus!A:U,16,FALSE)&lt;0.1,"Ineficiente",IF(VLOOKUP(BQ241,Fundamentus!A:U,16,FALSE)&gt;0.1,"Eficiente","n/a"))</f>
        <v>Ineficiente</v>
      </c>
      <c r="EU241" s="33" t="str">
        <f>IF(VLOOKUP(BQ241,Fundamentus!A:U,16,FALSE)&lt;0.1,"Oper. Ineficiente",IF(VLOOKUP(BQ241,Fundamentus!A:U,16,FALSE)&gt;0.1,"Oper.Eficiente","n/a"))</f>
        <v>Oper. Ineficiente</v>
      </c>
      <c r="EV241" s="34">
        <f>VLOOKUP(BQ241,Fundamentus!A:U,14,FALSE)</f>
        <v>-1.7121</v>
      </c>
      <c r="EW241" s="17" t="str">
        <f>IF(VLOOKUP(BQ241,Fundamentus!A:U,21,FALSE)&lt;0,"Negativo",IF(VLOOKUP(BQ241,Fundamentus!A:U,21,FALSE)&lt;0.05,"Fraco",IF(VLOOKUP(BQ241,Fundamentus!A:U,21,FALSE)&lt;0.1,"Bom",IF(VLOOKUP(BQ241,Fundamentus!A:U,21,FALSE)&gt;0.1,"Muito bom","n/a"))))</f>
        <v>Muito bom</v>
      </c>
      <c r="EY241" s="29" t="str">
        <f>IF(VLOOKUP(BQ241,Fundamentus!A:U,15,FALSE)&gt;1,"Bom",IF(VLOOKUP(BQ241,Fundamentus!A:U,15,FALSE)&lt;1,"Ruim","n/a"))</f>
        <v>Ruim</v>
      </c>
      <c r="EZ241" s="17" t="str">
        <f>IF(VLOOKUP(BQ241,Fundamentus!A:U,20,FALSE)&lt;0.5,"Baixa",IF(VLOOKUP(BQ241,Fundamentus!A:U,20,FALSE)&lt;1,"Moderada",IF(VLOOKUP(BQ241,Fundamentus!A:U,20,FALSE)&lt;2,"Alerta",IF(VLOOKUP(BQ241,Fundamentus!A:U,20,FALSE)&gt;2,"Alta","n/a"))))</f>
        <v>Baixa</v>
      </c>
    </row>
    <row r="242" spans="1:156" s="2" customFormat="1" ht="11.25" hidden="1" x14ac:dyDescent="0.2">
      <c r="A242" s="4">
        <v>14.25</v>
      </c>
      <c r="B242" s="4">
        <v>13.88</v>
      </c>
      <c r="C242" s="4">
        <v>13.4</v>
      </c>
      <c r="D242" s="4">
        <v>13.44</v>
      </c>
      <c r="E242" s="4">
        <v>13.1</v>
      </c>
      <c r="F242" s="4">
        <v>12.44</v>
      </c>
      <c r="G242" s="4">
        <v>12.03</v>
      </c>
      <c r="H242" s="4">
        <v>12.65</v>
      </c>
      <c r="I242" s="4">
        <v>12.83</v>
      </c>
      <c r="J242" s="4">
        <v>13.02</v>
      </c>
      <c r="K242" s="4">
        <v>13.35</v>
      </c>
      <c r="L242" s="4">
        <v>12.64</v>
      </c>
      <c r="M242" s="4">
        <v>12.03</v>
      </c>
      <c r="N242" s="4">
        <v>11.35</v>
      </c>
      <c r="O242" s="4">
        <v>11.69</v>
      </c>
      <c r="P242" s="4">
        <v>11.34</v>
      </c>
      <c r="Q242" s="4">
        <v>12.25</v>
      </c>
      <c r="R242" s="4">
        <v>11.86</v>
      </c>
      <c r="S242" s="4">
        <v>11.6</v>
      </c>
      <c r="T242" s="4">
        <v>11.9</v>
      </c>
      <c r="U242" s="4">
        <v>11.13</v>
      </c>
      <c r="V242" s="4">
        <v>13.25</v>
      </c>
      <c r="W242" s="4">
        <v>12.64</v>
      </c>
      <c r="X242" s="4">
        <v>11.87</v>
      </c>
      <c r="Y242" s="4">
        <v>11.48</v>
      </c>
      <c r="Z242" s="4">
        <v>11.8</v>
      </c>
      <c r="AA242" s="4">
        <v>11.65</v>
      </c>
      <c r="AB242" s="4">
        <v>11.76</v>
      </c>
      <c r="AC242" s="4">
        <v>10.64</v>
      </c>
      <c r="AD242" s="4">
        <v>11.11</v>
      </c>
      <c r="AE242" s="4">
        <v>11.11</v>
      </c>
      <c r="AF242" s="4">
        <v>11.16</v>
      </c>
      <c r="AG242" s="4">
        <v>10.69</v>
      </c>
      <c r="AH242" s="4">
        <v>8.86</v>
      </c>
      <c r="AI242" s="4">
        <v>8.68</v>
      </c>
      <c r="AJ242" s="4">
        <v>8.2100000000000009</v>
      </c>
      <c r="AK242" s="4">
        <v>7.73</v>
      </c>
      <c r="AL242" s="4">
        <v>8.1300000000000008</v>
      </c>
      <c r="AM242" s="4">
        <v>8.26</v>
      </c>
      <c r="AN242" s="4">
        <v>9.09</v>
      </c>
      <c r="AO242" s="4">
        <v>8.94</v>
      </c>
      <c r="AP242" s="4">
        <v>8.74</v>
      </c>
      <c r="AQ242" s="4">
        <v>8.6999999999999993</v>
      </c>
      <c r="AR242" s="4">
        <v>8.52</v>
      </c>
      <c r="AS242" s="4">
        <v>8.8000000000000007</v>
      </c>
      <c r="AT242" s="4">
        <v>10.220000000000001</v>
      </c>
      <c r="AU242" s="4">
        <v>10.055</v>
      </c>
      <c r="AV242" s="4">
        <v>9.74</v>
      </c>
      <c r="AW242" s="4">
        <v>8.23</v>
      </c>
      <c r="AX242" s="4">
        <v>8.6300000000000008</v>
      </c>
      <c r="AY242" s="12">
        <v>8.68</v>
      </c>
      <c r="AZ242" s="12">
        <v>9.39</v>
      </c>
      <c r="BA242" s="12">
        <v>9.3000000000000007</v>
      </c>
      <c r="BB242" s="15">
        <v>9.6300000000000008</v>
      </c>
      <c r="BC242" s="52">
        <v>9.27</v>
      </c>
      <c r="BD242" s="52">
        <v>8.84</v>
      </c>
      <c r="BE242" s="52">
        <v>8.25</v>
      </c>
      <c r="BF242" s="52">
        <v>8.23</v>
      </c>
      <c r="BG242" s="67">
        <v>7.94</v>
      </c>
      <c r="BH242" s="52">
        <v>7.87</v>
      </c>
      <c r="BI242" s="52">
        <v>7.5</v>
      </c>
      <c r="BJ242" s="52">
        <v>8.2100000000000009</v>
      </c>
      <c r="BK242" s="52">
        <v>8.24</v>
      </c>
      <c r="BL242" s="52">
        <v>7.82</v>
      </c>
      <c r="BM242" s="52">
        <v>8.3699999999999992</v>
      </c>
      <c r="BN242" s="52">
        <v>7.62</v>
      </c>
      <c r="BO242" s="52">
        <v>7.41</v>
      </c>
      <c r="BP242" s="52" cm="1">
        <f t="array" aca="1" ref="BP242" ca="1">_FV(ED242,"Preço")</f>
        <v>6.77</v>
      </c>
      <c r="BQ242" s="69" t="s">
        <v>238</v>
      </c>
      <c r="BR242" s="36" cm="1">
        <f t="array" aca="1" ref="BR242" ca="1">_FV(ED242,"Média de volume",TRUE)</f>
        <v>9361400</v>
      </c>
      <c r="BS242" s="36">
        <v>6222000</v>
      </c>
      <c r="BT242" s="36" cm="1">
        <f t="array" aca="1" ref="BT242" ca="1">_FV(ED242,"Volume")</f>
        <v>12375000</v>
      </c>
      <c r="BU242" s="24" cm="1">
        <f t="array" aca="1" ref="BU242" ca="1">_FV(ED242,"Beta")</f>
        <v>1.444</v>
      </c>
      <c r="BV242" s="71" cm="1">
        <f t="array" aca="1" ref="BV242" ca="1">_FV(ED242,"Variação (%)",TRUE)</f>
        <v>-2.8694000000000001E-2</v>
      </c>
      <c r="BX242" s="17" cm="1">
        <f t="array" aca="1" ref="BX242" ca="1">_FV(ED242,"Baixo")</f>
        <v>6.72</v>
      </c>
      <c r="BY242" s="17" cm="1">
        <f t="array" aca="1" ref="BY242" ca="1">_FV(ED242,"Alto")</f>
        <v>7.03</v>
      </c>
      <c r="BZ242" s="24"/>
      <c r="CA242" s="63" t="e">
        <f ca="1">SQRT(22.5*(BP242/VLOOKUP(BQ242,Fundamentus!A:U,3,FALSE))*(BP242/VLOOKUP(BQ242,Fundamentus!A:U,4,FALSE)))</f>
        <v>#NUM!</v>
      </c>
      <c r="CC242" s="62">
        <f t="shared" ca="1" si="241"/>
        <v>-8.6369770580296976E-2</v>
      </c>
      <c r="CD242" s="8"/>
      <c r="CE242" s="61">
        <f t="shared" si="242"/>
        <v>7.41</v>
      </c>
      <c r="CF242" s="61">
        <f t="shared" si="243"/>
        <v>14.25</v>
      </c>
      <c r="CG242" s="61">
        <f t="shared" si="244"/>
        <v>10.349925373134328</v>
      </c>
      <c r="CH242" s="14"/>
      <c r="CI242" s="35">
        <f t="shared" si="227"/>
        <v>6.5827696375974947</v>
      </c>
      <c r="CJ242" s="15">
        <f t="shared" si="245"/>
        <v>7.3099999999999454</v>
      </c>
      <c r="CK242" s="35">
        <f t="shared" si="228"/>
        <v>8.0372303624023953</v>
      </c>
      <c r="CM242" s="14"/>
      <c r="CN242" s="17">
        <f t="shared" si="229"/>
        <v>-1.7100000000000009</v>
      </c>
      <c r="CO242" s="17">
        <f t="shared" si="230"/>
        <v>2.8499999999999996</v>
      </c>
      <c r="CP242" s="17">
        <f t="shared" si="231"/>
        <v>5.129999999999999</v>
      </c>
      <c r="CQ242" s="38">
        <f t="shared" si="246"/>
        <v>9.69</v>
      </c>
      <c r="CR242" s="17">
        <f t="shared" si="232"/>
        <v>11.969999999999999</v>
      </c>
      <c r="CS242" s="17">
        <f t="shared" si="233"/>
        <v>16.53</v>
      </c>
      <c r="CT242" s="17">
        <f t="shared" si="234"/>
        <v>18.809999999999999</v>
      </c>
      <c r="CU242" s="2" cm="1">
        <f t="array" aca="1" ref="CU242" ca="1">MAX(_xlfn._xlws.FILTER(CN242:CT242,CN242:CT242&lt;BP242))</f>
        <v>5.129999999999999</v>
      </c>
      <c r="CV242" s="2" cm="1">
        <f t="array" aca="1" ref="CV242" ca="1">MIN(_xlfn._xlws.FILTER($CN242:$CT242,$CN242:$CT242&gt;BP242))</f>
        <v>9.69</v>
      </c>
      <c r="CW242" s="16">
        <f t="shared" ca="1" si="248"/>
        <v>0.88888888888888906</v>
      </c>
      <c r="CX242" s="20">
        <f t="shared" ca="1" si="249"/>
        <v>-0.44444444444444453</v>
      </c>
      <c r="CY242" s="20">
        <f t="shared" ca="1" si="250"/>
        <v>-0.29629629629629634</v>
      </c>
      <c r="CZ242" s="20">
        <f t="shared" ca="1" si="251"/>
        <v>-0.17777777777777781</v>
      </c>
      <c r="DA242" s="20">
        <f t="shared" ca="1" si="252"/>
        <v>-9.8765432098765454E-2</v>
      </c>
      <c r="DB242" s="20">
        <f t="shared" ca="1" si="253"/>
        <v>-5.2287581699346414E-2</v>
      </c>
      <c r="DC242" s="20">
        <f t="shared" ca="1" si="254"/>
        <v>-2.6936026936026942E-2</v>
      </c>
      <c r="DD242" s="20">
        <f t="shared" ca="1" si="255"/>
        <v>-1.3675213675213679E-2</v>
      </c>
      <c r="DE242" s="21">
        <f t="shared" ca="1" si="256"/>
        <v>1.3675213675213679E-2</v>
      </c>
      <c r="DF242" s="21">
        <f t="shared" ca="1" si="257"/>
        <v>2.6936026936026942E-2</v>
      </c>
      <c r="DG242" s="21">
        <f t="shared" ca="1" si="258"/>
        <v>5.2287581699346414E-2</v>
      </c>
      <c r="DH242" s="21">
        <f t="shared" ca="1" si="259"/>
        <v>9.8765432098765454E-2</v>
      </c>
      <c r="DI242" s="21">
        <f t="shared" ca="1" si="260"/>
        <v>0.17777777777777781</v>
      </c>
      <c r="DJ242" s="21">
        <f t="shared" ca="1" si="261"/>
        <v>0.29629629629629634</v>
      </c>
      <c r="DK242" s="21">
        <f t="shared" ca="1" si="262"/>
        <v>0.44444444444444453</v>
      </c>
      <c r="DM242" s="16" cm="1">
        <f t="array" aca="1" ref="DM242" ca="1">MAX(_xlfn._xlws.FILTER(CX242:DK242,CX242:DK242&lt;BV242))</f>
        <v>-5.2287581699346414E-2</v>
      </c>
      <c r="DN242" s="16" cm="1">
        <f t="array" aca="1" ref="DN242" ca="1">MIN(_xlfn._xlws.FILTER(CX242:DK242,CX242:DK242&gt;BV242))</f>
        <v>-2.6936026936026942E-2</v>
      </c>
      <c r="DO242" s="2" cm="1">
        <f t="array" aca="1" ref="DO242" ca="1">_FV(ED242,"Fechamento anterior",TRUE)</f>
        <v>6.97</v>
      </c>
      <c r="DP242" s="28">
        <f t="shared" ca="1" si="235"/>
        <v>0.93064024390244049</v>
      </c>
      <c r="DQ242" s="15">
        <f t="shared" ca="1" si="263"/>
        <v>6.6055555555555552</v>
      </c>
      <c r="DR242" s="15">
        <f t="shared" ca="1" si="264"/>
        <v>6.7822558922558915</v>
      </c>
      <c r="DS242" s="9"/>
      <c r="DT242" s="9"/>
      <c r="DU242" s="9"/>
      <c r="DV242" s="89">
        <v>1.3260813260813263E-2</v>
      </c>
      <c r="DW242" s="89">
        <f t="shared" ca="1" si="236"/>
        <v>2.5351554763319472E-2</v>
      </c>
      <c r="DX242" s="72">
        <f t="shared" ca="1" si="237"/>
        <v>-0.7425432544043159</v>
      </c>
      <c r="DY242" s="37"/>
      <c r="DZ242" s="35">
        <f t="shared" si="247"/>
        <v>0.36361518120122521</v>
      </c>
      <c r="EA242" s="56"/>
      <c r="EB242" s="56"/>
      <c r="ED242" s="2" t="e" vm="244">
        <v>#VALUE!</v>
      </c>
      <c r="EF242" s="10" cm="1">
        <f t="array" aca="1" ref="EF242" ca="1">_FV(ED242,"Ações em circulação",TRUE)</f>
        <v>1326094000</v>
      </c>
      <c r="EG242" s="18">
        <f>VLOOKUP(BQ242,Fundamentus!A:U,5,FALSE)</f>
        <v>0.25900000000000001</v>
      </c>
      <c r="EH242" s="2">
        <f t="shared" ca="1" si="238"/>
        <v>34662765945.945946</v>
      </c>
      <c r="EI242" s="17">
        <v>-1513790061.5675676</v>
      </c>
      <c r="EJ242" s="17">
        <f t="shared" ca="1" si="239"/>
        <v>-1383044361.2432432</v>
      </c>
      <c r="EL242" s="16">
        <f t="shared" ca="1" si="226"/>
        <v>-8.6369770580296934E-2</v>
      </c>
      <c r="EM242" s="32" t="str">
        <f>IF(VLOOKUP(BQ242,Fundamentus!A:U,3,FALSE)&lt;15,"Bom",IF(VLOOKUP(BQ242,Fundamentus!A:U,3,FALSE)&gt;15,"Ruim","n/a"))</f>
        <v>Bom</v>
      </c>
      <c r="EN242" s="28" t="str">
        <f>IF(VLOOKUP(BQ242,Fundamentus!A:U,4,FALSE)&lt;1,"Baixo",IF(VLOOKUP(BQ242,Fundamentus!A:U,4,FALSE)&lt;1.5,"Moderado",IF(VLOOKUP(BQ242,Fundamentus!A:U,4,FALSE)&gt;1.5,"Alto","n/a")))</f>
        <v>Baixo</v>
      </c>
      <c r="EO242" s="17" t="str">
        <f>IF(VLOOKUP(BQ242,Fundamentus!A:U,8,FALSE)&lt;0,"Risco elevado",IF(VLOOKUP(BQ242,Fundamentus!A:U,8,FALSE)&lt;1,"Saudável",IF(VLOOKUP(BQ242,Fundamentus!A:U,8,FALSE)&lt;3,"Estável",IF(VLOOKUP(BQ242,Fundamentus!A:U,8,FALSE)&gt;3,"Alerta","n/a"))))</f>
        <v>Saudável</v>
      </c>
      <c r="EP242" s="28" t="str">
        <f t="shared" si="240"/>
        <v>Ruim</v>
      </c>
      <c r="EQ242" s="17" t="str">
        <f>IF(VLOOKUP(BQ242,Fundamentus!A:U,12,FALSE)&lt;2,"Subvalorizada",IF(VLOOKUP(BQ242,Fundamentus!A:U,12,FALSE)&lt;6,"Muita barata",IF(VLOOKUP(BQ242,Fundamentus!A:U,12,FALSE)&lt;6,"Barata",IF(VLOOKUP(BQ242,Fundamentus!A:U,12,FALSE)&lt;8,"Atrativa",IF(VLOOKUP(BQ242,Fundamentus!A:U,12,FALSE)&gt;8,"Supervalorizada","n/a")))))</f>
        <v>Muita barata</v>
      </c>
      <c r="ES242" s="17" t="str">
        <f>IF(VLOOKUP(BQ242,Fundamentus!A:U,17,FALSE)&lt;0.1,"Fraco retorno",IF(VLOOKUP(BQ242,Fundamentus!A:U,17,FALSE)&gt;0.1,"Bom retorno","n/a"))</f>
        <v>Fraco retorno</v>
      </c>
      <c r="ET242" s="17" t="str">
        <f>IF(VLOOKUP(BQ242,Fundamentus!A:U,16,FALSE)&lt;0.1,"Ineficiente",IF(VLOOKUP(BQ242,Fundamentus!A:U,16,FALSE)&gt;0.1,"Eficiente","n/a"))</f>
        <v>Ineficiente</v>
      </c>
      <c r="EU242" s="33" t="str">
        <f>IF(VLOOKUP(BQ242,Fundamentus!A:U,16,FALSE)&lt;0.1,"Oper. Ineficiente",IF(VLOOKUP(BQ242,Fundamentus!A:U,16,FALSE)&gt;0.1,"Oper.Eficiente","n/a"))</f>
        <v>Oper. Ineficiente</v>
      </c>
      <c r="EV242" s="34">
        <f>VLOOKUP(BQ242,Fundamentus!A:U,14,FALSE)</f>
        <v>-3.9899999999999998E-2</v>
      </c>
      <c r="EW242" s="17" t="str">
        <f>IF(VLOOKUP(BQ242,Fundamentus!A:U,21,FALSE)&lt;0,"Negativo",IF(VLOOKUP(BQ242,Fundamentus!A:U,21,FALSE)&lt;0.05,"Fraco",IF(VLOOKUP(BQ242,Fundamentus!A:U,21,FALSE)&lt;0.1,"Bom",IF(VLOOKUP(BQ242,Fundamentus!A:U,21,FALSE)&gt;0.1,"Muito bom","n/a"))))</f>
        <v>Fraco</v>
      </c>
      <c r="EY242" s="29" t="str">
        <f>IF(VLOOKUP(BQ242,Fundamentus!A:U,15,FALSE)&gt;1,"Bom",IF(VLOOKUP(BQ242,Fundamentus!A:U,15,FALSE)&lt;1,"Ruim","n/a"))</f>
        <v>Bom</v>
      </c>
      <c r="EZ242" s="17" t="str">
        <f>IF(VLOOKUP(BQ242,Fundamentus!A:U,20,FALSE)&lt;0.5,"Baixa",IF(VLOOKUP(BQ242,Fundamentus!A:U,20,FALSE)&lt;1,"Moderada",IF(VLOOKUP(BQ242,Fundamentus!A:U,20,FALSE)&lt;2,"Alerta",IF(VLOOKUP(BQ242,Fundamentus!A:U,20,FALSE)&gt;2,"Alta","n/a"))))</f>
        <v>Alta</v>
      </c>
    </row>
    <row r="243" spans="1:156" s="2" customFormat="1" ht="11.25" hidden="1" x14ac:dyDescent="0.2">
      <c r="A243" s="4">
        <v>1.1100000000000001</v>
      </c>
      <c r="B243" s="4">
        <v>1.06</v>
      </c>
      <c r="C243" s="4">
        <v>0.92</v>
      </c>
      <c r="D243" s="4">
        <v>0.91</v>
      </c>
      <c r="E243" s="4">
        <v>0.85</v>
      </c>
      <c r="F243" s="4">
        <v>0.87</v>
      </c>
      <c r="G243" s="4">
        <v>0.77</v>
      </c>
      <c r="H243" s="4">
        <v>0.74</v>
      </c>
      <c r="I243" s="4">
        <v>0.62</v>
      </c>
      <c r="J243" s="4">
        <v>0.7</v>
      </c>
      <c r="K243" s="4">
        <v>0.75</v>
      </c>
      <c r="L243" s="4">
        <v>0.95</v>
      </c>
      <c r="M243" s="4">
        <v>1.1000000000000001</v>
      </c>
      <c r="N243" s="4">
        <v>0.9</v>
      </c>
      <c r="O243" s="4">
        <v>0.9</v>
      </c>
      <c r="P243" s="4">
        <v>0.86</v>
      </c>
      <c r="Q243" s="4">
        <v>0.86</v>
      </c>
      <c r="R243" s="4">
        <v>0.86</v>
      </c>
      <c r="S243" s="4">
        <v>0.86</v>
      </c>
      <c r="T243" s="4">
        <v>0.86</v>
      </c>
      <c r="U243" s="4">
        <v>0.86</v>
      </c>
      <c r="V243" s="4">
        <v>0.86</v>
      </c>
      <c r="W243" s="4">
        <v>0.86</v>
      </c>
      <c r="X243" s="4">
        <v>0.86</v>
      </c>
      <c r="Y243" s="4">
        <v>0.86</v>
      </c>
      <c r="Z243" s="4">
        <v>0.86</v>
      </c>
      <c r="AA243" s="4">
        <v>0.86</v>
      </c>
      <c r="AB243" s="4">
        <v>0.86</v>
      </c>
      <c r="AC243" s="4">
        <v>0.86</v>
      </c>
      <c r="AD243" s="4">
        <v>0.86</v>
      </c>
      <c r="AE243" s="4">
        <v>0.86</v>
      </c>
      <c r="AF243" s="4">
        <v>0.86</v>
      </c>
      <c r="AG243" s="4">
        <v>0.86</v>
      </c>
      <c r="AH243" s="4">
        <v>0.86</v>
      </c>
      <c r="AI243" s="4">
        <v>0.86</v>
      </c>
      <c r="AJ243" s="4">
        <v>0.86</v>
      </c>
      <c r="AK243" s="4">
        <v>0.86</v>
      </c>
      <c r="AL243" s="4">
        <v>0.86</v>
      </c>
      <c r="AM243" s="4">
        <v>0.86</v>
      </c>
      <c r="AN243" s="4">
        <v>0.86</v>
      </c>
      <c r="AO243" s="4">
        <v>0.86</v>
      </c>
      <c r="AP243" s="4">
        <v>0.86</v>
      </c>
      <c r="AQ243" s="4">
        <v>0.86</v>
      </c>
      <c r="AR243" s="4">
        <v>0.86</v>
      </c>
      <c r="AS243" s="4">
        <v>0.86</v>
      </c>
      <c r="AT243" s="4">
        <v>0.86</v>
      </c>
      <c r="AU243" s="4">
        <v>0.86</v>
      </c>
      <c r="AV243" s="4">
        <v>0.86</v>
      </c>
      <c r="AW243" s="4">
        <v>0.86</v>
      </c>
      <c r="AX243" s="4">
        <v>0.86</v>
      </c>
      <c r="AY243" s="12">
        <v>0.86</v>
      </c>
      <c r="AZ243" s="12">
        <v>0.86</v>
      </c>
      <c r="BA243" s="12">
        <v>0.86</v>
      </c>
      <c r="BB243" s="15">
        <v>0.86</v>
      </c>
      <c r="BC243" s="52">
        <v>0.86</v>
      </c>
      <c r="BD243" s="52">
        <v>0.86</v>
      </c>
      <c r="BE243" s="52">
        <v>0.86</v>
      </c>
      <c r="BF243" s="52">
        <v>0.86</v>
      </c>
      <c r="BG243" s="67">
        <v>0.86</v>
      </c>
      <c r="BH243" s="52">
        <v>0.86</v>
      </c>
      <c r="BI243" s="52">
        <v>0.86</v>
      </c>
      <c r="BJ243" s="52">
        <v>0.86</v>
      </c>
      <c r="BK243" s="52">
        <v>0.86</v>
      </c>
      <c r="BL243" s="52">
        <v>0.86</v>
      </c>
      <c r="BM243" s="52">
        <v>0.86</v>
      </c>
      <c r="BN243" s="52">
        <v>0.86</v>
      </c>
      <c r="BO243" s="52">
        <v>0.86</v>
      </c>
      <c r="BP243" s="52" cm="1">
        <f t="array" aca="1" ref="BP243" ca="1">_FV(ED243,"Preço")</f>
        <v>0.86</v>
      </c>
      <c r="BQ243" s="69" t="s">
        <v>239</v>
      </c>
      <c r="BR243" s="36" t="e" cm="1" vm="3">
        <f t="array" ref="BR243">_FV(ED243,"Média de volume",TRUE)</f>
        <v>#VALUE!</v>
      </c>
      <c r="BS243" s="36">
        <v>5000</v>
      </c>
      <c r="BT243" s="36" cm="1">
        <f t="array" aca="1" ref="BT243" ca="1">_FV(ED243,"Volume")</f>
        <v>5000</v>
      </c>
      <c r="BU243" s="24" cm="1">
        <f t="array" aca="1" ref="BU243" ca="1">_FV(ED243,"Beta")</f>
        <v>1.2122999999999999</v>
      </c>
      <c r="BV243" s="71" cm="1">
        <f t="array" aca="1" ref="BV243" ca="1">_FV(ED243,"Variação (%)",TRUE)</f>
        <v>-2.2727000000000001E-2</v>
      </c>
      <c r="BX243" s="17" cm="1">
        <f t="array" aca="1" ref="BX243" ca="1">_FV(ED243,"Baixo")</f>
        <v>0.86</v>
      </c>
      <c r="BY243" s="17" cm="1">
        <f t="array" aca="1" ref="BY243" ca="1">_FV(ED243,"Alto")</f>
        <v>0.86</v>
      </c>
      <c r="BZ243" s="24"/>
      <c r="CA243" s="63" t="e">
        <f ca="1">SQRT(22.5*(BP243/VLOOKUP(BQ243,Fundamentus!A:U,3,FALSE))*(BP243/VLOOKUP(BQ243,Fundamentus!A:U,4,FALSE)))</f>
        <v>#N/A</v>
      </c>
      <c r="CC243" s="62">
        <f t="shared" ca="1" si="241"/>
        <v>0</v>
      </c>
      <c r="CD243" s="8"/>
      <c r="CE243" s="61">
        <f t="shared" si="242"/>
        <v>0.62</v>
      </c>
      <c r="CF243" s="61">
        <f t="shared" si="243"/>
        <v>1.1100000000000001</v>
      </c>
      <c r="CG243" s="61">
        <f t="shared" si="244"/>
        <v>0.8637313432835817</v>
      </c>
      <c r="CH243" s="14"/>
      <c r="CI243" s="35">
        <f t="shared" si="227"/>
        <v>0.86</v>
      </c>
      <c r="CJ243" s="15">
        <f t="shared" si="245"/>
        <v>0.86</v>
      </c>
      <c r="CK243" s="35">
        <f t="shared" si="228"/>
        <v>0.86</v>
      </c>
      <c r="CM243" s="14"/>
      <c r="CN243" s="17">
        <f t="shared" si="229"/>
        <v>0.12666666666666637</v>
      </c>
      <c r="CO243" s="17">
        <f t="shared" si="230"/>
        <v>0.37333333333333318</v>
      </c>
      <c r="CP243" s="17">
        <f t="shared" si="231"/>
        <v>0.61666666666666647</v>
      </c>
      <c r="CQ243" s="38">
        <f t="shared" si="246"/>
        <v>0.86333333333333329</v>
      </c>
      <c r="CR243" s="17">
        <f t="shared" si="232"/>
        <v>1.1066666666666665</v>
      </c>
      <c r="CS243" s="17">
        <f t="shared" si="233"/>
        <v>1.3533333333333335</v>
      </c>
      <c r="CT243" s="17">
        <f t="shared" si="234"/>
        <v>1.5966666666666667</v>
      </c>
      <c r="CU243" s="2" cm="1">
        <f t="array" aca="1" ref="CU243" ca="1">MAX(_xlfn._xlws.FILTER(CN243:CT243,CN243:CT243&lt;BP243))</f>
        <v>0.61666666666666647</v>
      </c>
      <c r="CV243" s="2" cm="1">
        <f t="array" aca="1" ref="CV243" ca="1">MIN(_xlfn._xlws.FILTER($CN243:$CT243,$CN243:$CT243&gt;BP243))</f>
        <v>0.86333333333333329</v>
      </c>
      <c r="CW243" s="16">
        <f t="shared" ca="1" si="248"/>
        <v>0.40000000000000036</v>
      </c>
      <c r="CX243" s="20">
        <f t="shared" ca="1" si="249"/>
        <v>-0.20000000000000018</v>
      </c>
      <c r="CY243" s="20">
        <f t="shared" ca="1" si="250"/>
        <v>-0.13333333333333344</v>
      </c>
      <c r="CZ243" s="20">
        <f t="shared" ca="1" si="251"/>
        <v>-8.0000000000000071E-2</v>
      </c>
      <c r="DA243" s="20">
        <f t="shared" ca="1" si="252"/>
        <v>-4.4444444444444481E-2</v>
      </c>
      <c r="DB243" s="20">
        <f t="shared" ca="1" si="253"/>
        <v>-2.3529411764705903E-2</v>
      </c>
      <c r="DC243" s="20">
        <f t="shared" ca="1" si="254"/>
        <v>-1.2121212121212132E-2</v>
      </c>
      <c r="DD243" s="20">
        <f t="shared" ca="1" si="255"/>
        <v>-6.153846153846159E-3</v>
      </c>
      <c r="DE243" s="21">
        <f t="shared" ca="1" si="256"/>
        <v>6.153846153846159E-3</v>
      </c>
      <c r="DF243" s="21">
        <f t="shared" ca="1" si="257"/>
        <v>1.2121212121212132E-2</v>
      </c>
      <c r="DG243" s="21">
        <f t="shared" ca="1" si="258"/>
        <v>2.3529411764705903E-2</v>
      </c>
      <c r="DH243" s="21">
        <f t="shared" ca="1" si="259"/>
        <v>4.4444444444444481E-2</v>
      </c>
      <c r="DI243" s="21">
        <f t="shared" ca="1" si="260"/>
        <v>8.0000000000000071E-2</v>
      </c>
      <c r="DJ243" s="21">
        <f t="shared" ca="1" si="261"/>
        <v>0.13333333333333344</v>
      </c>
      <c r="DK243" s="21">
        <f t="shared" ca="1" si="262"/>
        <v>0.20000000000000018</v>
      </c>
      <c r="DM243" s="16" cm="1">
        <f t="array" aca="1" ref="DM243" ca="1">MAX(_xlfn._xlws.FILTER(CX243:DK243,CX243:DK243&lt;BV243))</f>
        <v>-2.3529411764705903E-2</v>
      </c>
      <c r="DN243" s="16" cm="1">
        <f t="array" aca="1" ref="DN243" ca="1">MIN(_xlfn._xlws.FILTER(CX243:DK243,CX243:DK243&gt;BV243))</f>
        <v>-1.2121212121212132E-2</v>
      </c>
      <c r="DO243" s="2" cm="1">
        <f t="array" aca="1" ref="DO243" ca="1">_FV(ED243,"Fechamento anterior",TRUE)</f>
        <v>0.88</v>
      </c>
      <c r="DP243" s="28">
        <f t="shared" ca="1" si="235"/>
        <v>7.0312500000004496E-2</v>
      </c>
      <c r="DQ243" s="15">
        <f t="shared" ca="1" si="263"/>
        <v>0.85929411764705876</v>
      </c>
      <c r="DR243" s="15">
        <f t="shared" ca="1" si="264"/>
        <v>0.86933333333333329</v>
      </c>
      <c r="DS243" s="9"/>
      <c r="DT243" s="9"/>
      <c r="DU243" s="9"/>
      <c r="DV243" s="89">
        <v>1.1408199643493771E-2</v>
      </c>
      <c r="DW243" s="89">
        <f t="shared" ca="1" si="236"/>
        <v>1.1408199643493771E-2</v>
      </c>
      <c r="DX243" s="72" t="e">
        <f t="shared" ca="1" si="237"/>
        <v>#DIV/0!</v>
      </c>
      <c r="DY243" s="37"/>
      <c r="DZ243" s="35">
        <f t="shared" si="247"/>
        <v>0</v>
      </c>
      <c r="EA243" s="56"/>
      <c r="EB243" s="56"/>
      <c r="ED243" s="2" t="e" vm="245">
        <v>#VALUE!</v>
      </c>
      <c r="EF243" s="10" cm="1">
        <f t="array" aca="1" ref="EF243" ca="1">_FV(ED243,"Ações em circulação",TRUE)</f>
        <v>30636460</v>
      </c>
      <c r="EG243" s="18" t="e">
        <f>VLOOKUP(BQ243,Fundamentus!A:U,5,FALSE)</f>
        <v>#N/A</v>
      </c>
      <c r="EH243" s="2" t="e">
        <f t="shared" ca="1" si="238"/>
        <v>#N/A</v>
      </c>
      <c r="EI243" s="17" t="e">
        <v>#N/A</v>
      </c>
      <c r="EJ243" s="17" t="e">
        <f t="shared" ca="1" si="239"/>
        <v>#N/A</v>
      </c>
      <c r="EL243" s="16" t="e">
        <f t="shared" ca="1" si="226"/>
        <v>#N/A</v>
      </c>
      <c r="EM243" s="32" t="e">
        <f>IF(VLOOKUP(BQ243,Fundamentus!A:U,3,FALSE)&lt;15,"Bom",IF(VLOOKUP(BQ243,Fundamentus!A:U,3,FALSE)&gt;15,"Ruim","n/a"))</f>
        <v>#N/A</v>
      </c>
      <c r="EN243" s="28" t="e">
        <f>IF(VLOOKUP(BQ243,Fundamentus!A:U,4,FALSE)&lt;1,"Baixo",IF(VLOOKUP(BQ243,Fundamentus!A:U,4,FALSE)&lt;1.5,"Moderado",IF(VLOOKUP(BQ243,Fundamentus!A:U,4,FALSE)&gt;1.5,"Alto","n/a")))</f>
        <v>#N/A</v>
      </c>
      <c r="EO243" s="17" t="e">
        <f>IF(VLOOKUP(BQ243,Fundamentus!A:U,8,FALSE)&lt;0,"Risco elevado",IF(VLOOKUP(BQ243,Fundamentus!A:U,8,FALSE)&lt;1,"Saudável",IF(VLOOKUP(BQ243,Fundamentus!A:U,8,FALSE)&lt;3,"Estável",IF(VLOOKUP(BQ243,Fundamentus!A:U,8,FALSE)&gt;3,"Alerta","n/a"))))</f>
        <v>#N/A</v>
      </c>
      <c r="EP243" s="28" t="e">
        <f t="shared" si="240"/>
        <v>#N/A</v>
      </c>
      <c r="EQ243" s="17" t="e">
        <f>IF(VLOOKUP(BQ243,Fundamentus!A:U,12,FALSE)&lt;2,"Subvalorizada",IF(VLOOKUP(BQ243,Fundamentus!A:U,12,FALSE)&lt;6,"Muita barata",IF(VLOOKUP(BQ243,Fundamentus!A:U,12,FALSE)&lt;6,"Barata",IF(VLOOKUP(BQ243,Fundamentus!A:U,12,FALSE)&lt;8,"Atrativa",IF(VLOOKUP(BQ243,Fundamentus!A:U,12,FALSE)&gt;8,"Supervalorizada","n/a")))))</f>
        <v>#N/A</v>
      </c>
      <c r="ES243" s="17" t="e">
        <f>IF(VLOOKUP(BQ243,Fundamentus!A:U,17,FALSE)&lt;0.1,"Fraco retorno",IF(VLOOKUP(BQ243,Fundamentus!A:U,17,FALSE)&gt;0.1,"Bom retorno","n/a"))</f>
        <v>#N/A</v>
      </c>
      <c r="ET243" s="17" t="e">
        <f>IF(VLOOKUP(BQ243,Fundamentus!A:U,16,FALSE)&lt;0.1,"Ineficiente",IF(VLOOKUP(BQ243,Fundamentus!A:U,16,FALSE)&gt;0.1,"Eficiente","n/a"))</f>
        <v>#N/A</v>
      </c>
      <c r="EU243" s="33" t="e">
        <f>IF(VLOOKUP(BQ243,Fundamentus!A:U,16,FALSE)&lt;0.1,"Oper. Ineficiente",IF(VLOOKUP(BQ243,Fundamentus!A:U,16,FALSE)&gt;0.1,"Oper.Eficiente","n/a"))</f>
        <v>#N/A</v>
      </c>
      <c r="EV243" s="34" t="e">
        <f>VLOOKUP(BQ243,Fundamentus!A:U,14,FALSE)</f>
        <v>#N/A</v>
      </c>
      <c r="EW243" s="17" t="e">
        <f>IF(VLOOKUP(BQ243,Fundamentus!A:U,21,FALSE)&lt;0,"Negativo",IF(VLOOKUP(BQ243,Fundamentus!A:U,21,FALSE)&lt;0.05,"Fraco",IF(VLOOKUP(BQ243,Fundamentus!A:U,21,FALSE)&lt;0.1,"Bom",IF(VLOOKUP(BQ243,Fundamentus!A:U,21,FALSE)&gt;0.1,"Muito bom","n/a"))))</f>
        <v>#N/A</v>
      </c>
      <c r="EY243" s="29" t="e">
        <f>IF(VLOOKUP(BQ243,Fundamentus!A:U,15,FALSE)&gt;1,"Bom",IF(VLOOKUP(BQ243,Fundamentus!A:U,15,FALSE)&lt;1,"Ruim","n/a"))</f>
        <v>#N/A</v>
      </c>
      <c r="EZ243" s="17" t="e">
        <f>IF(VLOOKUP(BQ243,Fundamentus!A:U,20,FALSE)&lt;0.5,"Baixa",IF(VLOOKUP(BQ243,Fundamentus!A:U,20,FALSE)&lt;1,"Moderada",IF(VLOOKUP(BQ243,Fundamentus!A:U,20,FALSE)&lt;2,"Alerta",IF(VLOOKUP(BQ243,Fundamentus!A:U,20,FALSE)&gt;2,"Alta","n/a"))))</f>
        <v>#N/A</v>
      </c>
    </row>
    <row r="244" spans="1:156" s="2" customFormat="1" ht="11.25" hidden="1" x14ac:dyDescent="0.2">
      <c r="A244" s="4">
        <v>0.74</v>
      </c>
      <c r="B244" s="4">
        <v>0.71</v>
      </c>
      <c r="C244" s="4">
        <v>0.46</v>
      </c>
      <c r="D244" s="4">
        <v>0.51</v>
      </c>
      <c r="E244" s="4">
        <v>0.47</v>
      </c>
      <c r="F244" s="4">
        <v>0.37</v>
      </c>
      <c r="G244" s="4">
        <v>0.36</v>
      </c>
      <c r="H244" s="4">
        <v>0.33</v>
      </c>
      <c r="I244" s="4">
        <v>0.34</v>
      </c>
      <c r="J244" s="4">
        <v>0.37</v>
      </c>
      <c r="K244" s="4">
        <v>0.42</v>
      </c>
      <c r="L244" s="4">
        <v>0.35</v>
      </c>
      <c r="M244" s="4">
        <v>0.36</v>
      </c>
      <c r="N244" s="4">
        <v>0.35</v>
      </c>
      <c r="O244" s="4">
        <v>0.37</v>
      </c>
      <c r="P244" s="4">
        <v>0.19</v>
      </c>
      <c r="Q244" s="4">
        <v>0.17</v>
      </c>
      <c r="R244" s="4">
        <v>0.14000000000000001</v>
      </c>
      <c r="S244" s="4">
        <v>0.14000000000000001</v>
      </c>
      <c r="T244" s="4">
        <v>0.17</v>
      </c>
      <c r="U244" s="4">
        <v>0.16</v>
      </c>
      <c r="V244" s="4">
        <v>0.16</v>
      </c>
      <c r="W244" s="4">
        <v>0.17</v>
      </c>
      <c r="X244" s="4">
        <v>0.16</v>
      </c>
      <c r="Y244" s="4">
        <v>0.14000000000000001</v>
      </c>
      <c r="Z244" s="4">
        <v>0.14000000000000001</v>
      </c>
      <c r="AA244" s="4">
        <v>0.14000000000000001</v>
      </c>
      <c r="AB244" s="4">
        <v>0.12</v>
      </c>
      <c r="AC244" s="4">
        <v>0.12</v>
      </c>
      <c r="AD244" s="4">
        <v>0.12</v>
      </c>
      <c r="AE244" s="4">
        <v>0.12</v>
      </c>
      <c r="AF244" s="4">
        <v>0.1</v>
      </c>
      <c r="AG244" s="4">
        <v>0.1</v>
      </c>
      <c r="AH244" s="4">
        <v>0.06</v>
      </c>
      <c r="AI244" s="4">
        <v>0.06</v>
      </c>
      <c r="AJ244" s="4">
        <v>0.06</v>
      </c>
      <c r="AK244" s="4">
        <v>0.09</v>
      </c>
      <c r="AL244" s="4">
        <v>0.08</v>
      </c>
      <c r="AM244" s="4">
        <v>0.08</v>
      </c>
      <c r="AN244" s="4">
        <v>7.0000000000000007E-2</v>
      </c>
      <c r="AO244" s="4">
        <v>7.0000000000000007E-2</v>
      </c>
      <c r="AP244" s="4">
        <v>7.0000000000000007E-2</v>
      </c>
      <c r="AQ244" s="4">
        <v>0.06</v>
      </c>
      <c r="AR244" s="4">
        <v>0.06</v>
      </c>
      <c r="AS244" s="4">
        <v>0.06</v>
      </c>
      <c r="AT244" s="4">
        <v>0.06</v>
      </c>
      <c r="AU244" s="4">
        <v>8.4999999999999992E-2</v>
      </c>
      <c r="AV244" s="4">
        <v>0.11</v>
      </c>
      <c r="AW244" s="4">
        <v>0.1</v>
      </c>
      <c r="AX244" s="4">
        <v>0.09</v>
      </c>
      <c r="AY244" s="12">
        <v>0.09</v>
      </c>
      <c r="AZ244" s="12">
        <v>0.08</v>
      </c>
      <c r="BA244" s="12">
        <v>0.08</v>
      </c>
      <c r="BB244" s="15">
        <v>0.1</v>
      </c>
      <c r="BC244" s="52">
        <v>0.08</v>
      </c>
      <c r="BD244" s="52">
        <v>7.0000000000000007E-2</v>
      </c>
      <c r="BE244" s="52">
        <v>7.0000000000000007E-2</v>
      </c>
      <c r="BF244" s="52">
        <v>7.0000000000000007E-2</v>
      </c>
      <c r="BG244" s="67">
        <v>7.0000000000000007E-2</v>
      </c>
      <c r="BH244" s="52">
        <v>0.05</v>
      </c>
      <c r="BI244" s="52">
        <v>0.05</v>
      </c>
      <c r="BJ244" s="52">
        <v>0.05</v>
      </c>
      <c r="BK244" s="52">
        <v>0.05</v>
      </c>
      <c r="BL244" s="52">
        <v>0.04</v>
      </c>
      <c r="BM244" s="52">
        <v>0.04</v>
      </c>
      <c r="BN244" s="52">
        <v>0.79</v>
      </c>
      <c r="BO244" s="52">
        <v>0.74</v>
      </c>
      <c r="BP244" s="52" cm="1">
        <f t="array" aca="1" ref="BP244" ca="1">_FV(ED244,"Preço")</f>
        <v>0.59</v>
      </c>
      <c r="BQ244" s="69" t="s">
        <v>240</v>
      </c>
      <c r="BR244" s="36" cm="1">
        <f t="array" aca="1" ref="BR244" ca="1">_FV(ED244,"Média de volume",TRUE)</f>
        <v>777140</v>
      </c>
      <c r="BS244" s="36">
        <v>293800</v>
      </c>
      <c r="BT244" s="36" cm="1">
        <f t="array" aca="1" ref="BT244" ca="1">_FV(ED244,"Volume")</f>
        <v>2197000</v>
      </c>
      <c r="BU244" s="24" cm="1">
        <f t="array" aca="1" ref="BU244" ca="1">_FV(ED244,"Beta")</f>
        <v>2.5638000000000001</v>
      </c>
      <c r="BV244" s="71" cm="1">
        <f t="array" aca="1" ref="BV244" ca="1">_FV(ED244,"Variação (%)",TRUE)</f>
        <v>-0.144928</v>
      </c>
      <c r="BX244" s="17" cm="1">
        <f t="array" aca="1" ref="BX244" ca="1">_FV(ED244,"Baixo")</f>
        <v>0.59</v>
      </c>
      <c r="BY244" s="17" cm="1">
        <f t="array" aca="1" ref="BY244" ca="1">_FV(ED244,"Alto")</f>
        <v>0.7</v>
      </c>
      <c r="BZ244" s="24"/>
      <c r="CA244" s="63">
        <f ca="1">SQRT(22.5*(BP244/VLOOKUP(BQ244,Fundamentus!A:U,3,FALSE))*(BP244/VLOOKUP(BQ244,Fundamentus!A:U,4,FALSE)))</f>
        <v>19.990112351778681</v>
      </c>
      <c r="CC244" s="62">
        <f t="shared" ca="1" si="241"/>
        <v>-0.20270270270270274</v>
      </c>
      <c r="CD244" s="8"/>
      <c r="CE244" s="61">
        <f t="shared" si="242"/>
        <v>0.04</v>
      </c>
      <c r="CF244" s="61">
        <f t="shared" si="243"/>
        <v>0.79</v>
      </c>
      <c r="CG244" s="61">
        <f t="shared" si="244"/>
        <v>0.19186567164179108</v>
      </c>
      <c r="CH244" s="14"/>
      <c r="CI244" s="35">
        <f t="shared" si="227"/>
        <v>0.40716951181798677</v>
      </c>
      <c r="CJ244" s="15">
        <f t="shared" si="245"/>
        <v>1.1150000000000091</v>
      </c>
      <c r="CK244" s="35">
        <f t="shared" si="228"/>
        <v>1.8228304881820314</v>
      </c>
      <c r="CM244" s="14"/>
      <c r="CN244" s="17">
        <f t="shared" si="229"/>
        <v>-0.49333333333333346</v>
      </c>
      <c r="CO244" s="17">
        <f t="shared" si="230"/>
        <v>-0.22666666666666668</v>
      </c>
      <c r="CP244" s="17">
        <f t="shared" si="231"/>
        <v>0.2566666666666666</v>
      </c>
      <c r="CQ244" s="38">
        <f t="shared" si="246"/>
        <v>0.52333333333333332</v>
      </c>
      <c r="CR244" s="17">
        <f t="shared" si="232"/>
        <v>1.0066666666666666</v>
      </c>
      <c r="CS244" s="17">
        <f t="shared" si="233"/>
        <v>1.2733333333333334</v>
      </c>
      <c r="CT244" s="17">
        <f t="shared" si="234"/>
        <v>1.7566666666666668</v>
      </c>
      <c r="CU244" s="2" cm="1">
        <f t="array" aca="1" ref="CU244" ca="1">MAX(_xlfn._xlws.FILTER(CN244:CT244,CN244:CT244&lt;BP244))</f>
        <v>0.52333333333333332</v>
      </c>
      <c r="CV244" s="2" cm="1">
        <f t="array" aca="1" ref="CV244" ca="1">MIN(_xlfn._xlws.FILTER($CN244:$CT244,$CN244:$CT244&gt;BP244))</f>
        <v>1.0066666666666666</v>
      </c>
      <c r="CW244" s="16">
        <f t="shared" ca="1" si="248"/>
        <v>0.92356687898089174</v>
      </c>
      <c r="CX244" s="20">
        <f t="shared" ca="1" si="249"/>
        <v>-0.46178343949044587</v>
      </c>
      <c r="CY244" s="20">
        <f t="shared" ca="1" si="250"/>
        <v>-0.30785562632696389</v>
      </c>
      <c r="CZ244" s="20">
        <f t="shared" ca="1" si="251"/>
        <v>-0.18471337579617836</v>
      </c>
      <c r="DA244" s="20">
        <f t="shared" ca="1" si="252"/>
        <v>-0.10261854210898796</v>
      </c>
      <c r="DB244" s="20">
        <f t="shared" ca="1" si="253"/>
        <v>-5.4327463469464217E-2</v>
      </c>
      <c r="DC244" s="20">
        <f t="shared" ca="1" si="254"/>
        <v>-2.7986875120633081E-2</v>
      </c>
      <c r="DD244" s="20">
        <f t="shared" ca="1" si="255"/>
        <v>-1.4208721215090642E-2</v>
      </c>
      <c r="DE244" s="21">
        <f t="shared" ca="1" si="256"/>
        <v>1.4208721215090642E-2</v>
      </c>
      <c r="DF244" s="21">
        <f t="shared" ca="1" si="257"/>
        <v>2.7986875120633081E-2</v>
      </c>
      <c r="DG244" s="21">
        <f t="shared" ca="1" si="258"/>
        <v>5.4327463469464217E-2</v>
      </c>
      <c r="DH244" s="21">
        <f t="shared" ca="1" si="259"/>
        <v>0.10261854210898796</v>
      </c>
      <c r="DI244" s="21">
        <f t="shared" ca="1" si="260"/>
        <v>0.18471337579617836</v>
      </c>
      <c r="DJ244" s="21">
        <f t="shared" ca="1" si="261"/>
        <v>0.30785562632696389</v>
      </c>
      <c r="DK244" s="21">
        <f t="shared" ca="1" si="262"/>
        <v>0.46178343949044587</v>
      </c>
      <c r="DM244" s="16" cm="1">
        <f t="array" aca="1" ref="DM244" ca="1">MAX(_xlfn._xlws.FILTER(CX244:DK244,CX244:DK244&lt;BV244))</f>
        <v>-0.18471337579617836</v>
      </c>
      <c r="DN244" s="16" cm="1">
        <f t="array" aca="1" ref="DN244" ca="1">MIN(_xlfn._xlws.FILTER(CX244:DK244,CX244:DK244&gt;BV244))</f>
        <v>-0.10261854210898796</v>
      </c>
      <c r="DO244" s="2" cm="1">
        <f t="array" aca="1" ref="DO244" ca="1">_FV(ED244,"Fechamento anterior",TRUE)</f>
        <v>0.69</v>
      </c>
      <c r="DP244" s="28">
        <f t="shared" ca="1" si="235"/>
        <v>0.48463268365817169</v>
      </c>
      <c r="DQ244" s="15">
        <f t="shared" ca="1" si="263"/>
        <v>0.56254777070063688</v>
      </c>
      <c r="DR244" s="15">
        <f t="shared" ca="1" si="264"/>
        <v>0.61919320594479821</v>
      </c>
      <c r="DS244" s="9"/>
      <c r="DT244" s="9"/>
      <c r="DU244" s="9"/>
      <c r="DV244" s="89">
        <v>2.8417442430181284E-2</v>
      </c>
      <c r="DW244" s="89">
        <f t="shared" ca="1" si="236"/>
        <v>8.2094833687190394E-2</v>
      </c>
      <c r="DX244" s="72">
        <f t="shared" ca="1" si="237"/>
        <v>-0.74170300483722962</v>
      </c>
      <c r="DY244" s="37"/>
      <c r="DZ244" s="35">
        <f t="shared" si="247"/>
        <v>0.35391524409101116</v>
      </c>
      <c r="EA244" s="56"/>
      <c r="EB244" s="56"/>
      <c r="ED244" s="2" t="e" vm="246">
        <v>#VALUE!</v>
      </c>
      <c r="EF244" s="10" cm="1">
        <f t="array" aca="1" ref="EF244" ca="1">_FV(ED244,"Ações em circulação",TRUE)</f>
        <v>90107840</v>
      </c>
      <c r="EG244" s="18">
        <f>VLOOKUP(BQ244,Fundamentus!A:U,5,FALSE)</f>
        <v>7.0000000000000007E-2</v>
      </c>
      <c r="EH244" s="2">
        <f t="shared" ca="1" si="238"/>
        <v>759480365.71428561</v>
      </c>
      <c r="EI244" s="17">
        <v>-1580501811.6388571</v>
      </c>
      <c r="EJ244" s="17">
        <f t="shared" ca="1" si="239"/>
        <v>-1260129822.7931428</v>
      </c>
      <c r="EL244" s="16">
        <f t="shared" ca="1" si="226"/>
        <v>-0.20270270270270274</v>
      </c>
      <c r="EM244" s="32" t="str">
        <f>IF(VLOOKUP(BQ244,Fundamentus!A:U,3,FALSE)&lt;15,"Bom",IF(VLOOKUP(BQ244,Fundamentus!A:U,3,FALSE)&gt;15,"Ruim","n/a"))</f>
        <v>Bom</v>
      </c>
      <c r="EN244" s="28" t="str">
        <f>IF(VLOOKUP(BQ244,Fundamentus!A:U,4,FALSE)&lt;1,"Baixo",IF(VLOOKUP(BQ244,Fundamentus!A:U,4,FALSE)&lt;1.5,"Moderado",IF(VLOOKUP(BQ244,Fundamentus!A:U,4,FALSE)&gt;1.5,"Alto","n/a")))</f>
        <v>Baixo</v>
      </c>
      <c r="EO244" s="17" t="str">
        <f>IF(VLOOKUP(BQ244,Fundamentus!A:U,8,FALSE)&lt;0,"Risco elevado",IF(VLOOKUP(BQ244,Fundamentus!A:U,8,FALSE)&lt;1,"Saudável",IF(VLOOKUP(BQ244,Fundamentus!A:U,8,FALSE)&lt;3,"Estável",IF(VLOOKUP(BQ244,Fundamentus!A:U,8,FALSE)&gt;3,"Alerta","n/a"))))</f>
        <v>Risco elevado</v>
      </c>
      <c r="EP244" s="28" t="str">
        <f t="shared" si="240"/>
        <v>Ruim</v>
      </c>
      <c r="EQ244" s="17" t="str">
        <f>IF(VLOOKUP(BQ244,Fundamentus!A:U,12,FALSE)&lt;2,"Subvalorizada",IF(VLOOKUP(BQ244,Fundamentus!A:U,12,FALSE)&lt;6,"Muita barata",IF(VLOOKUP(BQ244,Fundamentus!A:U,12,FALSE)&lt;6,"Barata",IF(VLOOKUP(BQ244,Fundamentus!A:U,12,FALSE)&lt;8,"Atrativa",IF(VLOOKUP(BQ244,Fundamentus!A:U,12,FALSE)&gt;8,"Supervalorizada","n/a")))))</f>
        <v>Subvalorizada</v>
      </c>
      <c r="ES244" s="17" t="str">
        <f>IF(VLOOKUP(BQ244,Fundamentus!A:U,17,FALSE)&lt;0.1,"Fraco retorno",IF(VLOOKUP(BQ244,Fundamentus!A:U,17,FALSE)&gt;0.1,"Bom retorno","n/a"))</f>
        <v>Bom retorno</v>
      </c>
      <c r="ET244" s="17" t="str">
        <f>IF(VLOOKUP(BQ244,Fundamentus!A:U,16,FALSE)&lt;0.1,"Ineficiente",IF(VLOOKUP(BQ244,Fundamentus!A:U,16,FALSE)&gt;0.1,"Eficiente","n/a"))</f>
        <v>Ineficiente</v>
      </c>
      <c r="EU244" s="33" t="str">
        <f>IF(VLOOKUP(BQ244,Fundamentus!A:U,16,FALSE)&lt;0.1,"Oper. Ineficiente",IF(VLOOKUP(BQ244,Fundamentus!A:U,16,FALSE)&gt;0.1,"Oper.Eficiente","n/a"))</f>
        <v>Oper. Ineficiente</v>
      </c>
      <c r="EV244" s="34">
        <f>VLOOKUP(BQ244,Fundamentus!A:U,14,FALSE)</f>
        <v>-1.6592</v>
      </c>
      <c r="EW244" s="17" t="str">
        <f>IF(VLOOKUP(BQ244,Fundamentus!A:U,21,FALSE)&lt;0,"Negativo",IF(VLOOKUP(BQ244,Fundamentus!A:U,21,FALSE)&lt;0.05,"Fraco",IF(VLOOKUP(BQ244,Fundamentus!A:U,21,FALSE)&lt;0.1,"Bom",IF(VLOOKUP(BQ244,Fundamentus!A:U,21,FALSE)&gt;0.1,"Muito bom","n/a"))))</f>
        <v>Muito bom</v>
      </c>
      <c r="EY244" s="29" t="str">
        <f>IF(VLOOKUP(BQ244,Fundamentus!A:U,15,FALSE)&gt;1,"Bom",IF(VLOOKUP(BQ244,Fundamentus!A:U,15,FALSE)&lt;1,"Ruim","n/a"))</f>
        <v>Ruim</v>
      </c>
      <c r="EZ244" s="17" t="str">
        <f>IF(VLOOKUP(BQ244,Fundamentus!A:U,20,FALSE)&lt;0.5,"Baixa",IF(VLOOKUP(BQ244,Fundamentus!A:U,20,FALSE)&lt;1,"Moderada",IF(VLOOKUP(BQ244,Fundamentus!A:U,20,FALSE)&lt;2,"Alerta",IF(VLOOKUP(BQ244,Fundamentus!A:U,20,FALSE)&gt;2,"Alta","n/a"))))</f>
        <v>Baixa</v>
      </c>
    </row>
    <row r="245" spans="1:156" s="2" customFormat="1" ht="11.25" hidden="1" x14ac:dyDescent="0.2">
      <c r="A245" s="4">
        <v>3.85</v>
      </c>
      <c r="B245" s="4">
        <v>4.0999999999999996</v>
      </c>
      <c r="C245" s="4">
        <v>4.51</v>
      </c>
      <c r="D245" s="4">
        <v>4.25</v>
      </c>
      <c r="E245" s="4">
        <v>3.98</v>
      </c>
      <c r="F245" s="4">
        <v>3.89</v>
      </c>
      <c r="G245" s="4">
        <v>3.75</v>
      </c>
      <c r="H245" s="4">
        <v>3.67</v>
      </c>
      <c r="I245" s="4">
        <v>3.82</v>
      </c>
      <c r="J245" s="4">
        <v>3.95</v>
      </c>
      <c r="K245" s="4">
        <v>4.08</v>
      </c>
      <c r="L245" s="4">
        <v>3.89</v>
      </c>
      <c r="M245" s="4">
        <v>4.18</v>
      </c>
      <c r="N245" s="4">
        <v>4.3</v>
      </c>
      <c r="O245" s="4">
        <v>4.43</v>
      </c>
      <c r="P245" s="4">
        <v>4.2699999999999996</v>
      </c>
      <c r="Q245" s="4">
        <v>4.49</v>
      </c>
      <c r="R245" s="4">
        <v>4.24</v>
      </c>
      <c r="S245" s="4">
        <v>4.4800000000000004</v>
      </c>
      <c r="T245" s="4">
        <v>4.5999999999999996</v>
      </c>
      <c r="U245" s="4">
        <v>4.33</v>
      </c>
      <c r="V245" s="4">
        <v>4</v>
      </c>
      <c r="W245" s="4">
        <v>4.0199999999999996</v>
      </c>
      <c r="X245" s="4">
        <v>3.87</v>
      </c>
      <c r="Y245" s="4">
        <v>3.53</v>
      </c>
      <c r="Z245" s="4">
        <v>3.64</v>
      </c>
      <c r="AA245" s="4">
        <v>3.33</v>
      </c>
      <c r="AB245" s="4">
        <v>3.18</v>
      </c>
      <c r="AC245" s="4">
        <v>3.17</v>
      </c>
      <c r="AD245" s="4">
        <v>2.98</v>
      </c>
      <c r="AE245" s="4">
        <v>2.7</v>
      </c>
      <c r="AF245" s="4">
        <v>2.4700000000000002</v>
      </c>
      <c r="AG245" s="4">
        <v>2.61</v>
      </c>
      <c r="AH245" s="4">
        <v>2.25</v>
      </c>
      <c r="AI245" s="4">
        <v>2.21</v>
      </c>
      <c r="AJ245" s="4">
        <v>2.1</v>
      </c>
      <c r="AK245" s="4">
        <v>2.2000000000000002</v>
      </c>
      <c r="AL245" s="4">
        <v>2.2400000000000002</v>
      </c>
      <c r="AM245" s="4">
        <v>2.29</v>
      </c>
      <c r="AN245" s="4">
        <v>2.42</v>
      </c>
      <c r="AO245" s="4">
        <v>2.33</v>
      </c>
      <c r="AP245" s="4">
        <v>2.5099999999999998</v>
      </c>
      <c r="AQ245" s="4">
        <v>2.36</v>
      </c>
      <c r="AR245" s="4">
        <v>2.11</v>
      </c>
      <c r="AS245" s="4">
        <v>2.17</v>
      </c>
      <c r="AT245" s="4">
        <v>2.1800000000000002</v>
      </c>
      <c r="AU245" s="4">
        <v>2.21</v>
      </c>
      <c r="AV245" s="4">
        <v>2.2999999999999998</v>
      </c>
      <c r="AW245" s="4">
        <v>2.13</v>
      </c>
      <c r="AX245" s="4">
        <v>2.2400000000000002</v>
      </c>
      <c r="AY245" s="12">
        <v>2.16</v>
      </c>
      <c r="AZ245" s="12">
        <v>2.41</v>
      </c>
      <c r="BA245" s="12">
        <v>2.3199999999999998</v>
      </c>
      <c r="BB245" s="15">
        <v>2.46</v>
      </c>
      <c r="BC245" s="52">
        <v>42.3</v>
      </c>
      <c r="BD245" s="52">
        <v>42.6</v>
      </c>
      <c r="BE245" s="52">
        <v>42.9</v>
      </c>
      <c r="BF245" s="52">
        <v>39.909999999999997</v>
      </c>
      <c r="BG245" s="67">
        <v>38.49</v>
      </c>
      <c r="BH245" s="52">
        <v>37.42</v>
      </c>
      <c r="BI245" s="52">
        <v>36.270000000000003</v>
      </c>
      <c r="BJ245" s="52">
        <v>35.61</v>
      </c>
      <c r="BK245" s="52">
        <v>32.32</v>
      </c>
      <c r="BL245" s="52">
        <v>32.19</v>
      </c>
      <c r="BM245" s="52">
        <v>32.58</v>
      </c>
      <c r="BN245" s="52">
        <v>32.659999999999997</v>
      </c>
      <c r="BO245" s="52">
        <v>35.67</v>
      </c>
      <c r="BP245" s="52" cm="1">
        <f t="array" aca="1" ref="BP245" ca="1">_FV(ED245,"Preço")</f>
        <v>38.200000000000003</v>
      </c>
      <c r="BQ245" s="69" t="s">
        <v>241</v>
      </c>
      <c r="BR245" s="36" cm="1">
        <f t="array" aca="1" ref="BR245" ca="1">_FV(ED245,"Média de volume",TRUE)</f>
        <v>4945640</v>
      </c>
      <c r="BS245" s="36">
        <v>2812400</v>
      </c>
      <c r="BT245" s="36" cm="1">
        <f t="array" aca="1" ref="BT245" ca="1">_FV(ED245,"Volume")</f>
        <v>5542200</v>
      </c>
      <c r="BU245" s="24" cm="1">
        <f t="array" aca="1" ref="BU245" ca="1">_FV(ED245,"Beta")</f>
        <v>1.649</v>
      </c>
      <c r="BV245" s="71" cm="1">
        <f t="array" aca="1" ref="BV245" ca="1">_FV(ED245,"Variação (%)",TRUE)</f>
        <v>1.1385000000000001E-2</v>
      </c>
      <c r="BX245" s="17" cm="1">
        <f t="array" aca="1" ref="BX245" ca="1">_FV(ED245,"Baixo")</f>
        <v>37.479999999999997</v>
      </c>
      <c r="BY245" s="17" cm="1">
        <f t="array" aca="1" ref="BY245" ca="1">_FV(ED245,"Alto")</f>
        <v>38.659999999999997</v>
      </c>
      <c r="BZ245" s="24"/>
      <c r="CA245" s="63" t="e">
        <f ca="1">SQRT(22.5*(BP245/VLOOKUP(BQ245,Fundamentus!A:U,3,FALSE))*(BP245/VLOOKUP(BQ245,Fundamentus!A:U,4,FALSE)))</f>
        <v>#NUM!</v>
      </c>
      <c r="CC245" s="62">
        <f t="shared" ca="1" si="241"/>
        <v>7.0927950658816963E-2</v>
      </c>
      <c r="CD245" s="8"/>
      <c r="CE245" s="61">
        <f t="shared" si="242"/>
        <v>2.1</v>
      </c>
      <c r="CF245" s="61">
        <f t="shared" si="243"/>
        <v>42.9</v>
      </c>
      <c r="CG245" s="61">
        <f t="shared" si="244"/>
        <v>9.7773134328358218</v>
      </c>
      <c r="CH245" s="14"/>
      <c r="CI245" s="35">
        <f t="shared" si="227"/>
        <v>33.296687135330323</v>
      </c>
      <c r="CJ245" s="15">
        <f t="shared" si="245"/>
        <v>35.904999999999745</v>
      </c>
      <c r="CK245" s="35">
        <f t="shared" si="228"/>
        <v>38.513312864669167</v>
      </c>
      <c r="CM245" s="14"/>
      <c r="CN245" s="17">
        <f t="shared" si="229"/>
        <v>-29.919999999999995</v>
      </c>
      <c r="CO245" s="17">
        <f t="shared" si="230"/>
        <v>-13.909999999999997</v>
      </c>
      <c r="CP245" s="17">
        <f t="shared" si="231"/>
        <v>10.880000000000003</v>
      </c>
      <c r="CQ245" s="38">
        <f t="shared" si="246"/>
        <v>26.89</v>
      </c>
      <c r="CR245" s="17">
        <f t="shared" si="232"/>
        <v>51.68</v>
      </c>
      <c r="CS245" s="17">
        <f t="shared" si="233"/>
        <v>67.69</v>
      </c>
      <c r="CT245" s="17">
        <f t="shared" si="234"/>
        <v>92.47999999999999</v>
      </c>
      <c r="CU245" s="2" cm="1">
        <f t="array" aca="1" ref="CU245" ca="1">MAX(_xlfn._xlws.FILTER(CN245:CT245,CN245:CT245&lt;BP245))</f>
        <v>26.89</v>
      </c>
      <c r="CV245" s="2" cm="1">
        <f t="array" aca="1" ref="CV245" ca="1">MIN(_xlfn._xlws.FILTER($CN245:$CT245,$CN245:$CT245&gt;BP245))</f>
        <v>51.68</v>
      </c>
      <c r="CW245" s="16">
        <f t="shared" ca="1" si="248"/>
        <v>0.92190405355150618</v>
      </c>
      <c r="CX245" s="20">
        <f t="shared" ca="1" si="249"/>
        <v>-0.46095202677575309</v>
      </c>
      <c r="CY245" s="20">
        <f t="shared" ca="1" si="250"/>
        <v>-0.30730135118383539</v>
      </c>
      <c r="CZ245" s="20">
        <f t="shared" ca="1" si="251"/>
        <v>-0.18438081071030124</v>
      </c>
      <c r="DA245" s="20">
        <f t="shared" ca="1" si="252"/>
        <v>-0.10243378372794514</v>
      </c>
      <c r="DB245" s="20">
        <f t="shared" ca="1" si="253"/>
        <v>-5.4229650208912128E-2</v>
      </c>
      <c r="DC245" s="20">
        <f t="shared" ca="1" si="254"/>
        <v>-2.7936486471257762E-2</v>
      </c>
      <c r="DD245" s="20">
        <f t="shared" ca="1" si="255"/>
        <v>-1.4183139285407787E-2</v>
      </c>
      <c r="DE245" s="21">
        <f t="shared" ca="1" si="256"/>
        <v>1.4183139285407787E-2</v>
      </c>
      <c r="DF245" s="21">
        <f t="shared" ca="1" si="257"/>
        <v>2.7936486471257762E-2</v>
      </c>
      <c r="DG245" s="21">
        <f t="shared" ca="1" si="258"/>
        <v>5.4229650208912128E-2</v>
      </c>
      <c r="DH245" s="21">
        <f t="shared" ca="1" si="259"/>
        <v>0.10243378372794514</v>
      </c>
      <c r="DI245" s="21">
        <f t="shared" ca="1" si="260"/>
        <v>0.18438081071030124</v>
      </c>
      <c r="DJ245" s="21">
        <f t="shared" ca="1" si="261"/>
        <v>0.30730135118383539</v>
      </c>
      <c r="DK245" s="21">
        <f t="shared" ca="1" si="262"/>
        <v>0.46095202677575309</v>
      </c>
      <c r="DM245" s="16" cm="1">
        <f t="array" aca="1" ref="DM245" ca="1">MAX(_xlfn._xlws.FILTER(CX245:DK245,CX245:DK245&lt;BV245))</f>
        <v>-1.4183139285407787E-2</v>
      </c>
      <c r="DN245" s="16" cm="1">
        <f t="array" aca="1" ref="DN245" ca="1">MIN(_xlfn._xlws.FILTER(CX245:DK245,CX245:DK245&gt;BV245))</f>
        <v>1.4183139285407787E-2</v>
      </c>
      <c r="DO245" s="2" cm="1">
        <f t="array" aca="1" ref="DO245" ca="1">_FV(ED245,"Fechamento anterior",TRUE)</f>
        <v>37.770000000000003</v>
      </c>
      <c r="DP245" s="28">
        <f t="shared" ca="1" si="235"/>
        <v>0.90134615546871011</v>
      </c>
      <c r="DQ245" s="15">
        <f t="shared" ca="1" si="263"/>
        <v>37.234302829190149</v>
      </c>
      <c r="DR245" s="15">
        <f t="shared" ca="1" si="264"/>
        <v>38.305697170809857</v>
      </c>
      <c r="DS245" s="9"/>
      <c r="DT245" s="9"/>
      <c r="DU245" s="9"/>
      <c r="DV245" s="89">
        <v>2.8366278570815574E-2</v>
      </c>
      <c r="DW245" s="89">
        <f t="shared" ca="1" si="236"/>
        <v>2.8366278570815574E-2</v>
      </c>
      <c r="DX245" s="72">
        <f t="shared" ca="1" si="237"/>
        <v>0.87987910924601687</v>
      </c>
      <c r="DY245" s="37"/>
      <c r="DZ245" s="35">
        <f t="shared" si="247"/>
        <v>1.3041564323347117</v>
      </c>
      <c r="EA245" s="56"/>
      <c r="EB245" s="56"/>
      <c r="ED245" s="2" t="e" vm="247">
        <v>#VALUE!</v>
      </c>
      <c r="EF245" s="10" cm="1">
        <f t="array" aca="1" ref="EF245" ca="1">_FV(ED245,"Ações em circulação",TRUE)</f>
        <v>502630900</v>
      </c>
      <c r="EG245" s="18">
        <f>VLOOKUP(BQ245,Fundamentus!A:U,5,FALSE)</f>
        <v>0.55000000000000004</v>
      </c>
      <c r="EH245" s="2">
        <f t="shared" ca="1" si="238"/>
        <v>34910000690.909088</v>
      </c>
      <c r="EI245" s="17">
        <v>-593281753.62654543</v>
      </c>
      <c r="EJ245" s="17">
        <f t="shared" ca="1" si="239"/>
        <v>-635362012.57454538</v>
      </c>
      <c r="EL245" s="16">
        <f t="shared" ca="1" si="226"/>
        <v>7.0927950658816963E-2</v>
      </c>
      <c r="EM245" s="32" t="str">
        <f>IF(VLOOKUP(BQ245,Fundamentus!A:U,3,FALSE)&lt;15,"Bom",IF(VLOOKUP(BQ245,Fundamentus!A:U,3,FALSE)&gt;15,"Ruim","n/a"))</f>
        <v>Bom</v>
      </c>
      <c r="EN245" s="28" t="str">
        <f>IF(VLOOKUP(BQ245,Fundamentus!A:U,4,FALSE)&lt;1,"Baixo",IF(VLOOKUP(BQ245,Fundamentus!A:U,4,FALSE)&lt;1.5,"Moderado",IF(VLOOKUP(BQ245,Fundamentus!A:U,4,FALSE)&gt;1.5,"Alto","n/a")))</f>
        <v>Baixo</v>
      </c>
      <c r="EO245" s="17" t="str">
        <f>IF(VLOOKUP(BQ245,Fundamentus!A:U,8,FALSE)&lt;0,"Risco elevado",IF(VLOOKUP(BQ245,Fundamentus!A:U,8,FALSE)&lt;1,"Saudável",IF(VLOOKUP(BQ245,Fundamentus!A:U,8,FALSE)&lt;3,"Estável",IF(VLOOKUP(BQ245,Fundamentus!A:U,8,FALSE)&gt;3,"Alerta","n/a"))))</f>
        <v>Estável</v>
      </c>
      <c r="EP245" s="28" t="str">
        <f t="shared" si="240"/>
        <v>Ruim</v>
      </c>
      <c r="EQ245" s="17" t="str">
        <f>IF(VLOOKUP(BQ245,Fundamentus!A:U,12,FALSE)&lt;2,"Subvalorizada",IF(VLOOKUP(BQ245,Fundamentus!A:U,12,FALSE)&lt;6,"Muita barata",IF(VLOOKUP(BQ245,Fundamentus!A:U,12,FALSE)&lt;6,"Barata",IF(VLOOKUP(BQ245,Fundamentus!A:U,12,FALSE)&lt;8,"Atrativa",IF(VLOOKUP(BQ245,Fundamentus!A:U,12,FALSE)&gt;8,"Supervalorizada","n/a")))))</f>
        <v>Supervalorizada</v>
      </c>
      <c r="ES245" s="17" t="str">
        <f>IF(VLOOKUP(BQ245,Fundamentus!A:U,17,FALSE)&lt;0.1,"Fraco retorno",IF(VLOOKUP(BQ245,Fundamentus!A:U,17,FALSE)&gt;0.1,"Bom retorno","n/a"))</f>
        <v>Fraco retorno</v>
      </c>
      <c r="ET245" s="17" t="str">
        <f>IF(VLOOKUP(BQ245,Fundamentus!A:U,16,FALSE)&lt;0.1,"Ineficiente",IF(VLOOKUP(BQ245,Fundamentus!A:U,16,FALSE)&gt;0.1,"Eficiente","n/a"))</f>
        <v>Ineficiente</v>
      </c>
      <c r="EU245" s="33" t="str">
        <f>IF(VLOOKUP(BQ245,Fundamentus!A:U,16,FALSE)&lt;0.1,"Oper. Ineficiente",IF(VLOOKUP(BQ245,Fundamentus!A:U,16,FALSE)&gt;0.1,"Oper.Eficiente","n/a"))</f>
        <v>Oper. Ineficiente</v>
      </c>
      <c r="EV245" s="34">
        <f>VLOOKUP(BQ245,Fundamentus!A:U,14,FALSE)</f>
        <v>-1.8200000000000001E-2</v>
      </c>
      <c r="EW245" s="17" t="str">
        <f>IF(VLOOKUP(BQ245,Fundamentus!A:U,21,FALSE)&lt;0,"Negativo",IF(VLOOKUP(BQ245,Fundamentus!A:U,21,FALSE)&lt;0.05,"Fraco",IF(VLOOKUP(BQ245,Fundamentus!A:U,21,FALSE)&lt;0.1,"Bom",IF(VLOOKUP(BQ245,Fundamentus!A:U,21,FALSE)&gt;0.1,"Muito bom","n/a"))))</f>
        <v>Muito bom</v>
      </c>
      <c r="EY245" s="29" t="str">
        <f>IF(VLOOKUP(BQ245,Fundamentus!A:U,15,FALSE)&gt;1,"Bom",IF(VLOOKUP(BQ245,Fundamentus!A:U,15,FALSE)&lt;1,"Ruim","n/a"))</f>
        <v>Bom</v>
      </c>
      <c r="EZ245" s="17" t="str">
        <f>IF(VLOOKUP(BQ245,Fundamentus!A:U,20,FALSE)&lt;0.5,"Baixa",IF(VLOOKUP(BQ245,Fundamentus!A:U,20,FALSE)&lt;1,"Moderada",IF(VLOOKUP(BQ245,Fundamentus!A:U,20,FALSE)&lt;2,"Alerta",IF(VLOOKUP(BQ245,Fundamentus!A:U,20,FALSE)&gt;2,"Alta","n/a"))))</f>
        <v>Baixa</v>
      </c>
    </row>
    <row r="246" spans="1:156" s="2" customFormat="1" ht="11.25" hidden="1" x14ac:dyDescent="0.2">
      <c r="A246" s="4">
        <v>0.39</v>
      </c>
      <c r="B246" s="4">
        <v>0.38</v>
      </c>
      <c r="C246" s="4">
        <v>0.38</v>
      </c>
      <c r="D246" s="4">
        <v>0.34</v>
      </c>
      <c r="E246" s="4">
        <v>6.39</v>
      </c>
      <c r="F246" s="4">
        <v>6.9</v>
      </c>
      <c r="G246" s="4">
        <v>6.29</v>
      </c>
      <c r="H246" s="4">
        <v>5.15</v>
      </c>
      <c r="I246" s="4">
        <v>4.3899999999999997</v>
      </c>
      <c r="J246" s="4">
        <v>4.7</v>
      </c>
      <c r="K246" s="4">
        <v>4.6399999999999997</v>
      </c>
      <c r="L246" s="4">
        <v>4.18</v>
      </c>
      <c r="M246" s="4">
        <v>3.91</v>
      </c>
      <c r="N246" s="4">
        <v>4.18</v>
      </c>
      <c r="O246" s="4">
        <v>7.27</v>
      </c>
      <c r="P246" s="4">
        <v>5.36</v>
      </c>
      <c r="Q246" s="4">
        <v>6.1</v>
      </c>
      <c r="R246" s="4">
        <v>6.39</v>
      </c>
      <c r="S246" s="4">
        <v>5.77</v>
      </c>
      <c r="T246" s="4">
        <v>5.65</v>
      </c>
      <c r="U246" s="4">
        <v>4.6500000000000004</v>
      </c>
      <c r="V246" s="4">
        <v>4.55</v>
      </c>
      <c r="W246" s="4">
        <v>4.42</v>
      </c>
      <c r="X246" s="4">
        <v>4.49</v>
      </c>
      <c r="Y246" s="4">
        <v>4.84</v>
      </c>
      <c r="Z246" s="4">
        <v>3.99</v>
      </c>
      <c r="AA246" s="4">
        <v>3.77</v>
      </c>
      <c r="AB246" s="4">
        <v>3.74</v>
      </c>
      <c r="AC246" s="4">
        <v>3.37</v>
      </c>
      <c r="AD246" s="4">
        <v>3.53</v>
      </c>
      <c r="AE246" s="4">
        <v>3.55</v>
      </c>
      <c r="AF246" s="4">
        <v>3.23</v>
      </c>
      <c r="AG246" s="4">
        <v>2.89</v>
      </c>
      <c r="AH246" s="4">
        <v>2.2999999999999998</v>
      </c>
      <c r="AI246" s="4">
        <v>2.57</v>
      </c>
      <c r="AJ246" s="4">
        <v>2.7</v>
      </c>
      <c r="AK246" s="4">
        <v>2.65</v>
      </c>
      <c r="AL246" s="4">
        <v>3.32</v>
      </c>
      <c r="AM246" s="4">
        <v>2.67</v>
      </c>
      <c r="AN246" s="4">
        <v>2.65</v>
      </c>
      <c r="AO246" s="4">
        <v>2.41</v>
      </c>
      <c r="AP246" s="4">
        <v>2.31</v>
      </c>
      <c r="AQ246" s="4">
        <v>2.25</v>
      </c>
      <c r="AR246" s="4">
        <v>1.98</v>
      </c>
      <c r="AS246" s="4">
        <v>1.98</v>
      </c>
      <c r="AT246" s="4">
        <v>2.08</v>
      </c>
      <c r="AU246" s="4">
        <v>2.0699999999999998</v>
      </c>
      <c r="AV246" s="4">
        <v>2.0099999999999998</v>
      </c>
      <c r="AW246" s="4">
        <v>2.1</v>
      </c>
      <c r="AX246" s="4">
        <v>2.0099999999999998</v>
      </c>
      <c r="AY246" s="12">
        <v>2.04</v>
      </c>
      <c r="AZ246" s="12">
        <v>2.02</v>
      </c>
      <c r="BA246" s="12">
        <v>1.91</v>
      </c>
      <c r="BB246" s="15">
        <v>2.0099999999999998</v>
      </c>
      <c r="BC246" s="52">
        <v>1.98</v>
      </c>
      <c r="BD246" s="52">
        <v>1.96</v>
      </c>
      <c r="BE246" s="52">
        <v>1.77</v>
      </c>
      <c r="BF246" s="52">
        <v>1.72</v>
      </c>
      <c r="BG246" s="67">
        <v>1.57</v>
      </c>
      <c r="BH246" s="52">
        <v>1.2</v>
      </c>
      <c r="BI246" s="52">
        <v>0.95</v>
      </c>
      <c r="BJ246" s="52">
        <v>1.1200000000000001</v>
      </c>
      <c r="BK246" s="52">
        <v>1.08</v>
      </c>
      <c r="BL246" s="52">
        <v>0.96</v>
      </c>
      <c r="BM246" s="52">
        <v>0.99</v>
      </c>
      <c r="BN246" s="52">
        <v>0.97</v>
      </c>
      <c r="BO246" s="52">
        <v>0.96</v>
      </c>
      <c r="BP246" s="52" cm="1">
        <f t="array" aca="1" ref="BP246" ca="1">_FV(ED246,"Preço")</f>
        <v>0.97</v>
      </c>
      <c r="BQ246" s="69" t="s">
        <v>242</v>
      </c>
      <c r="BR246" s="36" cm="1">
        <f t="array" aca="1" ref="BR246" ca="1">_FV(ED246,"Média de volume",TRUE)</f>
        <v>138630</v>
      </c>
      <c r="BS246" s="36">
        <v>174600</v>
      </c>
      <c r="BT246" s="36" cm="1">
        <f t="array" aca="1" ref="BT246" ca="1">_FV(ED246,"Volume")</f>
        <v>117800</v>
      </c>
      <c r="BU246" s="24" cm="1">
        <f t="array" aca="1" ref="BU246" ca="1">_FV(ED246,"Beta")</f>
        <v>1.7982</v>
      </c>
      <c r="BV246" s="71" cm="1">
        <f t="array" aca="1" ref="BV246" ca="1">_FV(ED246,"Variação (%)",TRUE)</f>
        <v>0</v>
      </c>
      <c r="BX246" s="17" cm="1">
        <f t="array" aca="1" ref="BX246" ca="1">_FV(ED246,"Baixo")</f>
        <v>0.95</v>
      </c>
      <c r="BY246" s="17" cm="1">
        <f t="array" aca="1" ref="BY246" ca="1">_FV(ED246,"Alto")</f>
        <v>0.97</v>
      </c>
      <c r="BZ246" s="24"/>
      <c r="CA246" s="63">
        <f ca="1">SQRT(22.5*(BP246/VLOOKUP(BQ246,Fundamentus!A:U,3,FALSE))*(BP246/VLOOKUP(BQ246,Fundamentus!A:U,4,FALSE)))</f>
        <v>77.773021396515489</v>
      </c>
      <c r="CC246" s="62">
        <f t="shared" ca="1" si="241"/>
        <v>1.0416666666666676E-2</v>
      </c>
      <c r="CD246" s="8"/>
      <c r="CE246" s="61">
        <f t="shared" si="242"/>
        <v>0.34</v>
      </c>
      <c r="CF246" s="61">
        <f t="shared" si="243"/>
        <v>7.27</v>
      </c>
      <c r="CG246" s="61">
        <f t="shared" si="244"/>
        <v>3.0604477611940286</v>
      </c>
      <c r="CH246" s="14"/>
      <c r="CI246" s="35">
        <f t="shared" si="227"/>
        <v>0.87431372760996273</v>
      </c>
      <c r="CJ246" s="15">
        <f t="shared" si="245"/>
        <v>0.96499999999999986</v>
      </c>
      <c r="CK246" s="35">
        <f t="shared" si="228"/>
        <v>1.0556862723900371</v>
      </c>
      <c r="CM246" s="14"/>
      <c r="CN246" s="17">
        <f t="shared" si="229"/>
        <v>-8.4866666666666646</v>
      </c>
      <c r="CO246" s="17">
        <f t="shared" si="230"/>
        <v>-4.0733333333333324</v>
      </c>
      <c r="CP246" s="17">
        <f t="shared" si="231"/>
        <v>-1.5566666666666658</v>
      </c>
      <c r="CQ246" s="38">
        <f t="shared" si="246"/>
        <v>2.8566666666666669</v>
      </c>
      <c r="CR246" s="17">
        <f t="shared" si="232"/>
        <v>5.373333333333334</v>
      </c>
      <c r="CS246" s="17">
        <f t="shared" si="233"/>
        <v>9.7866666666666671</v>
      </c>
      <c r="CT246" s="17">
        <f t="shared" si="234"/>
        <v>12.303333333333335</v>
      </c>
      <c r="CU246" s="2" cm="1">
        <f t="array" aca="1" ref="CU246" ca="1">MAX(_xlfn._xlws.FILTER(CN246:CT246,CN246:CT246&lt;BP246))</f>
        <v>-1.5566666666666658</v>
      </c>
      <c r="CV246" s="2" cm="1">
        <f t="array" aca="1" ref="CV246" ca="1">MIN(_xlfn._xlws.FILTER($CN246:$CT246,$CN246:$CT246&gt;BP246))</f>
        <v>2.8566666666666669</v>
      </c>
      <c r="CW246" s="16">
        <f t="shared" ca="1" si="248"/>
        <v>-2.8351177730192729</v>
      </c>
      <c r="CX246" s="20">
        <f t="shared" ca="1" si="249"/>
        <v>1.4175588865096365</v>
      </c>
      <c r="CY246" s="20">
        <f t="shared" ca="1" si="250"/>
        <v>0.94503925767309094</v>
      </c>
      <c r="CZ246" s="20">
        <f t="shared" ca="1" si="251"/>
        <v>0.56702355460385456</v>
      </c>
      <c r="DA246" s="20">
        <f t="shared" ca="1" si="252"/>
        <v>0.31501308589103033</v>
      </c>
      <c r="DB246" s="20">
        <f t="shared" ca="1" si="253"/>
        <v>0.16677163370701606</v>
      </c>
      <c r="DC246" s="20">
        <f t="shared" ca="1" si="254"/>
        <v>8.5912659788462811E-2</v>
      </c>
      <c r="DD246" s="20">
        <f t="shared" ca="1" si="255"/>
        <v>4.3617196507988815E-2</v>
      </c>
      <c r="DE246" s="21">
        <f t="shared" ca="1" si="256"/>
        <v>-4.3617196507988815E-2</v>
      </c>
      <c r="DF246" s="21">
        <f t="shared" ca="1" si="257"/>
        <v>-8.5912659788462811E-2</v>
      </c>
      <c r="DG246" s="21">
        <f t="shared" ca="1" si="258"/>
        <v>-0.16677163370701606</v>
      </c>
      <c r="DH246" s="21">
        <f t="shared" ca="1" si="259"/>
        <v>-0.31501308589103033</v>
      </c>
      <c r="DI246" s="21">
        <f t="shared" ca="1" si="260"/>
        <v>-0.56702355460385456</v>
      </c>
      <c r="DJ246" s="21">
        <f t="shared" ca="1" si="261"/>
        <v>-0.94503925767309094</v>
      </c>
      <c r="DK246" s="21">
        <f t="shared" ca="1" si="262"/>
        <v>-1.4175588865096365</v>
      </c>
      <c r="DM246" s="16" cm="1">
        <f t="array" aca="1" ref="DM246" ca="1">MAX(_xlfn._xlws.FILTER(CX246:DK246,CX246:DK246&lt;BV246))</f>
        <v>-4.3617196507988815E-2</v>
      </c>
      <c r="DN246" s="16" cm="1">
        <f t="array" aca="1" ref="DN246" ca="1">MIN(_xlfn._xlws.FILTER(CX246:DK246,CX246:DK246&gt;BV246))</f>
        <v>4.3617196507988815E-2</v>
      </c>
      <c r="DO246" s="2" cm="1">
        <f t="array" aca="1" ref="DO246" ca="1">_FV(ED246,"Fechamento anterior",TRUE)</f>
        <v>0.97</v>
      </c>
      <c r="DP246" s="28">
        <f t="shared" ca="1" si="235"/>
        <v>0.50000000000000067</v>
      </c>
      <c r="DQ246" s="15">
        <f t="shared" ca="1" si="263"/>
        <v>0.9276913193872508</v>
      </c>
      <c r="DR246" s="15">
        <f t="shared" ca="1" si="264"/>
        <v>1.012308680612749</v>
      </c>
      <c r="DS246" s="9"/>
      <c r="DT246" s="9"/>
      <c r="DU246" s="9"/>
      <c r="DV246" s="89">
        <v>8.7234393015977629E-2</v>
      </c>
      <c r="DW246" s="89">
        <f t="shared" ca="1" si="236"/>
        <v>8.7234393015977629E-2</v>
      </c>
      <c r="DX246" s="72">
        <f t="shared" ca="1" si="237"/>
        <v>5.51351364239051E-2</v>
      </c>
      <c r="DY246" s="37"/>
      <c r="DZ246" s="35">
        <f t="shared" si="247"/>
        <v>4.5343136195018577E-2</v>
      </c>
      <c r="EA246" s="56"/>
      <c r="EB246" s="56"/>
      <c r="ED246" s="2" t="e" vm="248">
        <v>#VALUE!</v>
      </c>
      <c r="EF246" s="10" cm="1">
        <f t="array" aca="1" ref="EF246" ca="1">_FV(ED246,"Ações em circulação",TRUE)</f>
        <v>50311580</v>
      </c>
      <c r="EG246" s="18">
        <f>VLOOKUP(BQ246,Fundamentus!A:U,5,FALSE)</f>
        <v>6.5000000000000002E-2</v>
      </c>
      <c r="EH246" s="2">
        <f t="shared" ca="1" si="238"/>
        <v>750803578.46153843</v>
      </c>
      <c r="EI246" s="17">
        <v>-1235268488.7433846</v>
      </c>
      <c r="EJ246" s="17">
        <f t="shared" ca="1" si="239"/>
        <v>-1248135868.8344615</v>
      </c>
      <c r="EL246" s="16">
        <f t="shared" ca="1" si="226"/>
        <v>1.0416666666666519E-2</v>
      </c>
      <c r="EM246" s="32" t="str">
        <f>IF(VLOOKUP(BQ246,Fundamentus!A:U,3,FALSE)&lt;15,"Bom",IF(VLOOKUP(BQ246,Fundamentus!A:U,3,FALSE)&gt;15,"Ruim","n/a"))</f>
        <v>Bom</v>
      </c>
      <c r="EN246" s="28" t="str">
        <f>IF(VLOOKUP(BQ246,Fundamentus!A:U,4,FALSE)&lt;1,"Baixo",IF(VLOOKUP(BQ246,Fundamentus!A:U,4,FALSE)&lt;1.5,"Moderado",IF(VLOOKUP(BQ246,Fundamentus!A:U,4,FALSE)&gt;1.5,"Alto","n/a")))</f>
        <v>Baixo</v>
      </c>
      <c r="EO246" s="17" t="str">
        <f>IF(VLOOKUP(BQ246,Fundamentus!A:U,8,FALSE)&lt;0,"Risco elevado",IF(VLOOKUP(BQ246,Fundamentus!A:U,8,FALSE)&lt;1,"Saudável",IF(VLOOKUP(BQ246,Fundamentus!A:U,8,FALSE)&lt;3,"Estável",IF(VLOOKUP(BQ246,Fundamentus!A:U,8,FALSE)&gt;3,"Alerta","n/a"))))</f>
        <v>Risco elevado</v>
      </c>
      <c r="EP246" s="28" t="str">
        <f t="shared" si="240"/>
        <v>Ruim</v>
      </c>
      <c r="EQ246" s="17" t="str">
        <f>IF(VLOOKUP(BQ246,Fundamentus!A:U,12,FALSE)&lt;2,"Subvalorizada",IF(VLOOKUP(BQ246,Fundamentus!A:U,12,FALSE)&lt;6,"Muita barata",IF(VLOOKUP(BQ246,Fundamentus!A:U,12,FALSE)&lt;6,"Barata",IF(VLOOKUP(BQ246,Fundamentus!A:U,12,FALSE)&lt;8,"Atrativa",IF(VLOOKUP(BQ246,Fundamentus!A:U,12,FALSE)&gt;8,"Supervalorizada","n/a")))))</f>
        <v>Subvalorizada</v>
      </c>
      <c r="ES246" s="17" t="str">
        <f>IF(VLOOKUP(BQ246,Fundamentus!A:U,17,FALSE)&lt;0.1,"Fraco retorno",IF(VLOOKUP(BQ246,Fundamentus!A:U,17,FALSE)&gt;0.1,"Bom retorno","n/a"))</f>
        <v>Bom retorno</v>
      </c>
      <c r="ET246" s="17" t="str">
        <f>IF(VLOOKUP(BQ246,Fundamentus!A:U,16,FALSE)&lt;0.1,"Ineficiente",IF(VLOOKUP(BQ246,Fundamentus!A:U,16,FALSE)&gt;0.1,"Eficiente","n/a"))</f>
        <v>Ineficiente</v>
      </c>
      <c r="EU246" s="33" t="str">
        <f>IF(VLOOKUP(BQ246,Fundamentus!A:U,16,FALSE)&lt;0.1,"Oper. Ineficiente",IF(VLOOKUP(BQ246,Fundamentus!A:U,16,FALSE)&gt;0.1,"Oper.Eficiente","n/a"))</f>
        <v>Oper. Ineficiente</v>
      </c>
      <c r="EV246" s="34">
        <f>VLOOKUP(BQ246,Fundamentus!A:U,14,FALSE)</f>
        <v>-1.6624000000000001</v>
      </c>
      <c r="EW246" s="17" t="str">
        <f>IF(VLOOKUP(BQ246,Fundamentus!A:U,21,FALSE)&lt;0,"Negativo",IF(VLOOKUP(BQ246,Fundamentus!A:U,21,FALSE)&lt;0.05,"Fraco",IF(VLOOKUP(BQ246,Fundamentus!A:U,21,FALSE)&lt;0.1,"Bom",IF(VLOOKUP(BQ246,Fundamentus!A:U,21,FALSE)&gt;0.1,"Muito bom","n/a"))))</f>
        <v>Negativo</v>
      </c>
      <c r="EY246" s="29" t="str">
        <f>IF(VLOOKUP(BQ246,Fundamentus!A:U,15,FALSE)&gt;1,"Bom",IF(VLOOKUP(BQ246,Fundamentus!A:U,15,FALSE)&lt;1,"Ruim","n/a"))</f>
        <v>Ruim</v>
      </c>
      <c r="EZ246" s="17" t="str">
        <f>IF(VLOOKUP(BQ246,Fundamentus!A:U,20,FALSE)&lt;0.5,"Baixa",IF(VLOOKUP(BQ246,Fundamentus!A:U,20,FALSE)&lt;1,"Moderada",IF(VLOOKUP(BQ246,Fundamentus!A:U,20,FALSE)&lt;2,"Alerta",IF(VLOOKUP(BQ246,Fundamentus!A:U,20,FALSE)&gt;2,"Alta","n/a"))))</f>
        <v>Baixa</v>
      </c>
    </row>
    <row r="247" spans="1:156" s="2" customFormat="1" ht="11.25" hidden="1" x14ac:dyDescent="0.2">
      <c r="A247" s="4">
        <v>3.9</v>
      </c>
      <c r="B247" s="4">
        <v>3.37</v>
      </c>
      <c r="C247" s="4">
        <v>3.33</v>
      </c>
      <c r="D247" s="4">
        <v>2.99</v>
      </c>
      <c r="E247" s="4">
        <v>3.15</v>
      </c>
      <c r="F247" s="4">
        <v>3.4</v>
      </c>
      <c r="G247" s="4">
        <v>3.55</v>
      </c>
      <c r="H247" s="4">
        <v>3.7</v>
      </c>
      <c r="I247" s="4">
        <v>3.74</v>
      </c>
      <c r="J247" s="4">
        <v>3.91</v>
      </c>
      <c r="K247" s="4">
        <v>3.5</v>
      </c>
      <c r="L247" s="4">
        <v>3.39</v>
      </c>
      <c r="M247" s="4">
        <v>3.5</v>
      </c>
      <c r="N247" s="4">
        <v>3.21</v>
      </c>
      <c r="O247" s="4">
        <v>3.4</v>
      </c>
      <c r="P247" s="4">
        <v>3.4</v>
      </c>
      <c r="Q247" s="4">
        <v>3.47</v>
      </c>
      <c r="R247" s="4">
        <v>3.05</v>
      </c>
      <c r="S247" s="4">
        <v>3.13</v>
      </c>
      <c r="T247" s="4">
        <v>3.05</v>
      </c>
      <c r="U247" s="4">
        <v>2.65</v>
      </c>
      <c r="V247" s="4">
        <v>2.65</v>
      </c>
      <c r="W247" s="4">
        <v>2.66</v>
      </c>
      <c r="X247" s="4">
        <v>2.4900000000000002</v>
      </c>
      <c r="Y247" s="4">
        <v>2.44</v>
      </c>
      <c r="Z247" s="4">
        <v>2.5</v>
      </c>
      <c r="AA247" s="4">
        <v>2.2999999999999998</v>
      </c>
      <c r="AB247" s="4">
        <v>2.62</v>
      </c>
      <c r="AC247" s="4">
        <v>2.8</v>
      </c>
      <c r="AD247" s="4">
        <v>2.93</v>
      </c>
      <c r="AE247" s="4">
        <v>2.99</v>
      </c>
      <c r="AF247" s="4">
        <v>2.57</v>
      </c>
      <c r="AG247" s="4">
        <v>2.64</v>
      </c>
      <c r="AH247" s="4">
        <v>2.2999999999999998</v>
      </c>
      <c r="AI247" s="4">
        <v>2.27</v>
      </c>
      <c r="AJ247" s="4">
        <v>2.15</v>
      </c>
      <c r="AK247" s="4">
        <v>2.61</v>
      </c>
      <c r="AL247" s="4">
        <v>2.6</v>
      </c>
      <c r="AM247" s="4">
        <v>3.05</v>
      </c>
      <c r="AN247" s="4">
        <v>2.91</v>
      </c>
      <c r="AO247" s="4">
        <v>2.59</v>
      </c>
      <c r="AP247" s="4">
        <v>2.5</v>
      </c>
      <c r="AQ247" s="4">
        <v>2.35</v>
      </c>
      <c r="AR247" s="4">
        <v>2.66</v>
      </c>
      <c r="AS247" s="4">
        <v>2.8</v>
      </c>
      <c r="AT247" s="4">
        <v>2.8</v>
      </c>
      <c r="AU247" s="4">
        <v>2.5449999999999999</v>
      </c>
      <c r="AV247" s="4">
        <v>3.02</v>
      </c>
      <c r="AW247" s="4">
        <v>3.01</v>
      </c>
      <c r="AX247" s="4">
        <v>2.89</v>
      </c>
      <c r="AY247" s="12">
        <v>3.03</v>
      </c>
      <c r="AZ247" s="12">
        <v>3.06</v>
      </c>
      <c r="BA247" s="12">
        <v>3.14</v>
      </c>
      <c r="BB247" s="15">
        <v>3</v>
      </c>
      <c r="BC247" s="52">
        <v>3.11</v>
      </c>
      <c r="BD247" s="52">
        <v>3.59</v>
      </c>
      <c r="BE247" s="52">
        <v>3.43</v>
      </c>
      <c r="BF247" s="52">
        <v>3.32</v>
      </c>
      <c r="BG247" s="67">
        <v>3.47</v>
      </c>
      <c r="BH247" s="52">
        <v>3.41</v>
      </c>
      <c r="BI247" s="52">
        <v>3.43</v>
      </c>
      <c r="BJ247" s="52">
        <v>3.4</v>
      </c>
      <c r="BK247" s="52">
        <v>3.38</v>
      </c>
      <c r="BL247" s="52">
        <v>3.4</v>
      </c>
      <c r="BM247" s="52">
        <v>3.47</v>
      </c>
      <c r="BN247" s="52">
        <v>3.48</v>
      </c>
      <c r="BO247" s="52">
        <v>3.46</v>
      </c>
      <c r="BP247" s="52" cm="1">
        <f t="array" aca="1" ref="BP247" ca="1">_FV(ED247,"Preço")</f>
        <v>3.47</v>
      </c>
      <c r="BQ247" s="69" t="s">
        <v>243</v>
      </c>
      <c r="BR247" s="36" cm="1">
        <f t="array" aca="1" ref="BR247" ca="1">_FV(ED247,"Média de volume",TRUE)</f>
        <v>588610</v>
      </c>
      <c r="BS247" s="36">
        <v>725000</v>
      </c>
      <c r="BT247" s="36" cm="1">
        <f t="array" aca="1" ref="BT247" ca="1">_FV(ED247,"Volume")</f>
        <v>630700</v>
      </c>
      <c r="BU247" s="24" cm="1">
        <f t="array" aca="1" ref="BU247" ca="1">_FV(ED247,"Beta")</f>
        <v>1.2012</v>
      </c>
      <c r="BV247" s="71" cm="1">
        <f t="array" aca="1" ref="BV247" ca="1">_FV(ED247,"Variação (%)",TRUE)</f>
        <v>-2.8739999999999998E-3</v>
      </c>
      <c r="BX247" s="17" cm="1">
        <f t="array" aca="1" ref="BX247" ca="1">_FV(ED247,"Baixo")</f>
        <v>3.45</v>
      </c>
      <c r="BY247" s="17" cm="1">
        <f t="array" aca="1" ref="BY247" ca="1">_FV(ED247,"Alto")</f>
        <v>3.49</v>
      </c>
      <c r="BZ247" s="24"/>
      <c r="CA247" s="63" t="e">
        <f ca="1">SQRT(22.5*(BP247/VLOOKUP(BQ247,Fundamentus!A:U,3,FALSE))*(BP247/VLOOKUP(BQ247,Fundamentus!A:U,4,FALSE)))</f>
        <v>#NUM!</v>
      </c>
      <c r="CC247" s="62">
        <f t="shared" ca="1" si="241"/>
        <v>2.8901734104046909E-3</v>
      </c>
      <c r="CD247" s="8"/>
      <c r="CE247" s="61">
        <f t="shared" si="242"/>
        <v>2.15</v>
      </c>
      <c r="CF247" s="61">
        <f t="shared" si="243"/>
        <v>3.91</v>
      </c>
      <c r="CG247" s="61">
        <f t="shared" si="244"/>
        <v>3.0449999999999999</v>
      </c>
      <c r="CH247" s="14"/>
      <c r="CI247" s="35">
        <f t="shared" si="227"/>
        <v>3.4196009950310327</v>
      </c>
      <c r="CJ247" s="15">
        <f t="shared" si="245"/>
        <v>3.5</v>
      </c>
      <c r="CK247" s="35">
        <f t="shared" si="228"/>
        <v>3.5803990049689673</v>
      </c>
      <c r="CM247" s="14"/>
      <c r="CN247" s="17">
        <f t="shared" si="229"/>
        <v>0.67666666666666631</v>
      </c>
      <c r="CO247" s="17">
        <f t="shared" si="230"/>
        <v>1.4133333333333331</v>
      </c>
      <c r="CP247" s="17">
        <f t="shared" si="231"/>
        <v>2.4366666666666665</v>
      </c>
      <c r="CQ247" s="38">
        <f t="shared" si="246"/>
        <v>3.1733333333333333</v>
      </c>
      <c r="CR247" s="17">
        <f t="shared" si="232"/>
        <v>4.1966666666666672</v>
      </c>
      <c r="CS247" s="17">
        <f t="shared" si="233"/>
        <v>4.9333333333333336</v>
      </c>
      <c r="CT247" s="17">
        <f t="shared" si="234"/>
        <v>5.956666666666667</v>
      </c>
      <c r="CU247" s="2" cm="1">
        <f t="array" aca="1" ref="CU247" ca="1">MAX(_xlfn._xlws.FILTER(CN247:CT247,CN247:CT247&lt;BP247))</f>
        <v>3.1733333333333333</v>
      </c>
      <c r="CV247" s="2" cm="1">
        <f t="array" aca="1" ref="CV247" ca="1">MIN(_xlfn._xlws.FILTER($CN247:$CT247,$CN247:$CT247&gt;BP247))</f>
        <v>4.1966666666666672</v>
      </c>
      <c r="CW247" s="16">
        <f t="shared" ca="1" si="248"/>
        <v>0.32247899159663884</v>
      </c>
      <c r="CX247" s="20">
        <f t="shared" ca="1" si="249"/>
        <v>-0.16123949579831942</v>
      </c>
      <c r="CY247" s="20">
        <f t="shared" ca="1" si="250"/>
        <v>-0.10749299719887961</v>
      </c>
      <c r="CZ247" s="20">
        <f t="shared" ca="1" si="251"/>
        <v>-6.4495798319327766E-2</v>
      </c>
      <c r="DA247" s="20">
        <f t="shared" ca="1" si="252"/>
        <v>-3.5830999066293202E-2</v>
      </c>
      <c r="DB247" s="20">
        <f t="shared" ca="1" si="253"/>
        <v>-1.8969352446861109E-2</v>
      </c>
      <c r="DC247" s="20">
        <f t="shared" ca="1" si="254"/>
        <v>-9.7720906544436006E-3</v>
      </c>
      <c r="DD247" s="20">
        <f t="shared" ca="1" si="255"/>
        <v>-4.9612152553329056E-3</v>
      </c>
      <c r="DE247" s="21">
        <f t="shared" ca="1" si="256"/>
        <v>4.9612152553329056E-3</v>
      </c>
      <c r="DF247" s="21">
        <f t="shared" ca="1" si="257"/>
        <v>9.7720906544436006E-3</v>
      </c>
      <c r="DG247" s="21">
        <f t="shared" ca="1" si="258"/>
        <v>1.8969352446861109E-2</v>
      </c>
      <c r="DH247" s="21">
        <f t="shared" ca="1" si="259"/>
        <v>3.5830999066293202E-2</v>
      </c>
      <c r="DI247" s="21">
        <f t="shared" ca="1" si="260"/>
        <v>6.4495798319327766E-2</v>
      </c>
      <c r="DJ247" s="21">
        <f t="shared" ca="1" si="261"/>
        <v>0.10749299719887961</v>
      </c>
      <c r="DK247" s="21">
        <f t="shared" ca="1" si="262"/>
        <v>0.16123949579831942</v>
      </c>
      <c r="DM247" s="16" cm="1">
        <f t="array" aca="1" ref="DM247" ca="1">MAX(_xlfn._xlws.FILTER(CX247:DK247,CX247:DK247&lt;BV247))</f>
        <v>-4.9612152553329056E-3</v>
      </c>
      <c r="DN247" s="16" cm="1">
        <f t="array" aca="1" ref="DN247" ca="1">MIN(_xlfn._xlws.FILTER(CX247:DK247,CX247:DK247&gt;BV247))</f>
        <v>4.9612152553329056E-3</v>
      </c>
      <c r="DO247" s="2" cm="1">
        <f t="array" aca="1" ref="DO247" ca="1">_FV(ED247,"Fechamento anterior",TRUE)</f>
        <v>3.48</v>
      </c>
      <c r="DP247" s="28">
        <f t="shared" ca="1" si="235"/>
        <v>0.21039724437455845</v>
      </c>
      <c r="DQ247" s="15">
        <f t="shared" ca="1" si="263"/>
        <v>3.4627349709114417</v>
      </c>
      <c r="DR247" s="15">
        <f t="shared" ca="1" si="264"/>
        <v>3.4972650290885583</v>
      </c>
      <c r="DS247" s="9"/>
      <c r="DT247" s="9"/>
      <c r="DU247" s="9"/>
      <c r="DV247" s="89">
        <v>4.8108753991106951E-3</v>
      </c>
      <c r="DW247" s="89">
        <f t="shared" ca="1" si="236"/>
        <v>9.9224305106658112E-3</v>
      </c>
      <c r="DX247" s="72">
        <f t="shared" ca="1" si="237"/>
        <v>-0.37313894632874245</v>
      </c>
      <c r="DY247" s="37"/>
      <c r="DZ247" s="35">
        <f t="shared" si="247"/>
        <v>4.0199502484483632E-2</v>
      </c>
      <c r="EA247" s="56"/>
      <c r="EB247" s="56"/>
      <c r="ED247" s="2" t="e" vm="249">
        <v>#VALUE!</v>
      </c>
      <c r="EF247" s="10" cm="1">
        <f t="array" aca="1" ref="EF247" ca="1">_FV(ED247,"Ações em circulação",TRUE)</f>
        <v>406934400</v>
      </c>
      <c r="EG247" s="18">
        <f>VLOOKUP(BQ247,Fundamentus!A:U,5,FALSE)</f>
        <v>0.30199999999999999</v>
      </c>
      <c r="EH247" s="2">
        <f t="shared" ca="1" si="238"/>
        <v>4675703205.2980137</v>
      </c>
      <c r="EI247" s="17">
        <v>-143130416.67814571</v>
      </c>
      <c r="EJ247" s="17">
        <f t="shared" ca="1" si="239"/>
        <v>-143544088.40264902</v>
      </c>
      <c r="EL247" s="16">
        <f t="shared" ca="1" si="226"/>
        <v>2.8901734104045396E-3</v>
      </c>
      <c r="EM247" s="32" t="str">
        <f>IF(VLOOKUP(BQ247,Fundamentus!A:U,3,FALSE)&lt;15,"Bom",IF(VLOOKUP(BQ247,Fundamentus!A:U,3,FALSE)&gt;15,"Ruim","n/a"))</f>
        <v>Bom</v>
      </c>
      <c r="EN247" s="28" t="str">
        <f>IF(VLOOKUP(BQ247,Fundamentus!A:U,4,FALSE)&lt;1,"Baixo",IF(VLOOKUP(BQ247,Fundamentus!A:U,4,FALSE)&lt;1.5,"Moderado",IF(VLOOKUP(BQ247,Fundamentus!A:U,4,FALSE)&gt;1.5,"Alto","n/a")))</f>
        <v>Baixo</v>
      </c>
      <c r="EO247" s="17" t="str">
        <f>IF(VLOOKUP(BQ247,Fundamentus!A:U,8,FALSE)&lt;0,"Risco elevado",IF(VLOOKUP(BQ247,Fundamentus!A:U,8,FALSE)&lt;1,"Saudável",IF(VLOOKUP(BQ247,Fundamentus!A:U,8,FALSE)&lt;3,"Estável",IF(VLOOKUP(BQ247,Fundamentus!A:U,8,FALSE)&gt;3,"Alerta","n/a"))))</f>
        <v>Alerta</v>
      </c>
      <c r="EP247" s="28" t="str">
        <f t="shared" si="240"/>
        <v>Ruim</v>
      </c>
      <c r="EQ247" s="17" t="str">
        <f>IF(VLOOKUP(BQ247,Fundamentus!A:U,12,FALSE)&lt;2,"Subvalorizada",IF(VLOOKUP(BQ247,Fundamentus!A:U,12,FALSE)&lt;6,"Muita barata",IF(VLOOKUP(BQ247,Fundamentus!A:U,12,FALSE)&lt;6,"Barata",IF(VLOOKUP(BQ247,Fundamentus!A:U,12,FALSE)&lt;8,"Atrativa",IF(VLOOKUP(BQ247,Fundamentus!A:U,12,FALSE)&gt;8,"Supervalorizada","n/a")))))</f>
        <v>Muita barata</v>
      </c>
      <c r="ES247" s="17" t="str">
        <f>IF(VLOOKUP(BQ247,Fundamentus!A:U,17,FALSE)&lt;0.1,"Fraco retorno",IF(VLOOKUP(BQ247,Fundamentus!A:U,17,FALSE)&gt;0.1,"Bom retorno","n/a"))</f>
        <v>Fraco retorno</v>
      </c>
      <c r="ET247" s="17" t="str">
        <f>IF(VLOOKUP(BQ247,Fundamentus!A:U,16,FALSE)&lt;0.1,"Ineficiente",IF(VLOOKUP(BQ247,Fundamentus!A:U,16,FALSE)&gt;0.1,"Eficiente","n/a"))</f>
        <v>Ineficiente</v>
      </c>
      <c r="EU247" s="33" t="str">
        <f>IF(VLOOKUP(BQ247,Fundamentus!A:U,16,FALSE)&lt;0.1,"Oper. Ineficiente",IF(VLOOKUP(BQ247,Fundamentus!A:U,16,FALSE)&gt;0.1,"Oper.Eficiente","n/a"))</f>
        <v>Oper. Ineficiente</v>
      </c>
      <c r="EV247" s="34">
        <f>VLOOKUP(BQ247,Fundamentus!A:U,14,FALSE)</f>
        <v>-3.0700000000000002E-2</v>
      </c>
      <c r="EW247" s="17" t="str">
        <f>IF(VLOOKUP(BQ247,Fundamentus!A:U,21,FALSE)&lt;0,"Negativo",IF(VLOOKUP(BQ247,Fundamentus!A:U,21,FALSE)&lt;0.05,"Fraco",IF(VLOOKUP(BQ247,Fundamentus!A:U,21,FALSE)&lt;0.1,"Bom",IF(VLOOKUP(BQ247,Fundamentus!A:U,21,FALSE)&gt;0.1,"Muito bom","n/a"))))</f>
        <v>Muito bom</v>
      </c>
      <c r="EY247" s="29" t="str">
        <f>IF(VLOOKUP(BQ247,Fundamentus!A:U,15,FALSE)&gt;1,"Bom",IF(VLOOKUP(BQ247,Fundamentus!A:U,15,FALSE)&lt;1,"Ruim","n/a"))</f>
        <v>Bom</v>
      </c>
      <c r="EZ247" s="17" t="str">
        <f>IF(VLOOKUP(BQ247,Fundamentus!A:U,20,FALSE)&lt;0.5,"Baixa",IF(VLOOKUP(BQ247,Fundamentus!A:U,20,FALSE)&lt;1,"Moderada",IF(VLOOKUP(BQ247,Fundamentus!A:U,20,FALSE)&lt;2,"Alerta",IF(VLOOKUP(BQ247,Fundamentus!A:U,20,FALSE)&gt;2,"Alta","n/a"))))</f>
        <v>Moderada</v>
      </c>
    </row>
    <row r="248" spans="1:156" s="2" customFormat="1" ht="11.25" hidden="1" x14ac:dyDescent="0.2">
      <c r="A248" s="4">
        <v>3.03</v>
      </c>
      <c r="B248" s="4">
        <v>2.71</v>
      </c>
      <c r="C248" s="4">
        <v>2.5099999999999998</v>
      </c>
      <c r="D248" s="4">
        <v>1.95</v>
      </c>
      <c r="E248" s="4">
        <v>1.87</v>
      </c>
      <c r="F248" s="4">
        <v>1.65</v>
      </c>
      <c r="G248" s="4">
        <v>1.7</v>
      </c>
      <c r="H248" s="4">
        <v>1.79</v>
      </c>
      <c r="I248" s="4">
        <v>1.87</v>
      </c>
      <c r="J248" s="4">
        <v>1.88</v>
      </c>
      <c r="K248" s="4">
        <v>1.85</v>
      </c>
      <c r="L248" s="4">
        <v>1.81</v>
      </c>
      <c r="M248" s="4">
        <v>2.0299999999999998</v>
      </c>
      <c r="N248" s="4">
        <v>1.86</v>
      </c>
      <c r="O248" s="4">
        <v>1.92</v>
      </c>
      <c r="P248" s="4">
        <v>2.2000000000000002</v>
      </c>
      <c r="Q248" s="4">
        <v>2.2599999999999998</v>
      </c>
      <c r="R248" s="4">
        <v>2.12</v>
      </c>
      <c r="S248" s="4">
        <v>1.93</v>
      </c>
      <c r="T248" s="4">
        <v>1.85</v>
      </c>
      <c r="U248" s="4">
        <v>1.9</v>
      </c>
      <c r="V248" s="4">
        <v>1.82</v>
      </c>
      <c r="W248" s="4">
        <v>1.89</v>
      </c>
      <c r="X248" s="4">
        <v>1.7</v>
      </c>
      <c r="Y248" s="4">
        <v>1.7</v>
      </c>
      <c r="Z248" s="4">
        <v>1.68</v>
      </c>
      <c r="AA248" s="4">
        <v>1.48</v>
      </c>
      <c r="AB248" s="4">
        <v>1.41</v>
      </c>
      <c r="AC248" s="4">
        <v>1.31</v>
      </c>
      <c r="AD248" s="4">
        <v>1.25</v>
      </c>
      <c r="AE248" s="4">
        <v>1.26</v>
      </c>
      <c r="AF248" s="4">
        <v>1.28</v>
      </c>
      <c r="AG248" s="4">
        <v>1.51</v>
      </c>
      <c r="AH248" s="4">
        <v>1.34</v>
      </c>
      <c r="AI248" s="4">
        <v>1.27</v>
      </c>
      <c r="AJ248" s="4">
        <v>1.29</v>
      </c>
      <c r="AK248" s="4">
        <v>1.33</v>
      </c>
      <c r="AL248" s="4">
        <v>1.44</v>
      </c>
      <c r="AM248" s="4">
        <v>1.49</v>
      </c>
      <c r="AN248" s="4">
        <v>1.4</v>
      </c>
      <c r="AO248" s="4">
        <v>1.44</v>
      </c>
      <c r="AP248" s="4">
        <v>1.55</v>
      </c>
      <c r="AQ248" s="4">
        <v>1.51</v>
      </c>
      <c r="AR248" s="4">
        <v>1.46</v>
      </c>
      <c r="AS248" s="4">
        <v>1.4</v>
      </c>
      <c r="AT248" s="4">
        <v>1.38</v>
      </c>
      <c r="AU248" s="4">
        <v>1.41</v>
      </c>
      <c r="AV248" s="4">
        <v>1.44</v>
      </c>
      <c r="AW248" s="4">
        <v>1.34</v>
      </c>
      <c r="AX248" s="4">
        <v>1.34</v>
      </c>
      <c r="AY248" s="12">
        <v>1.45</v>
      </c>
      <c r="AZ248" s="12">
        <v>1.44</v>
      </c>
      <c r="BA248" s="12">
        <v>1.38</v>
      </c>
      <c r="BB248" s="15">
        <v>2</v>
      </c>
      <c r="BC248" s="52">
        <v>1.81</v>
      </c>
      <c r="BD248" s="52">
        <v>1.65</v>
      </c>
      <c r="BE248" s="52">
        <v>1.62</v>
      </c>
      <c r="BF248" s="52">
        <v>1.66</v>
      </c>
      <c r="BG248" s="67">
        <v>1.75</v>
      </c>
      <c r="BH248" s="52">
        <v>1.68</v>
      </c>
      <c r="BI248" s="52">
        <v>1.64</v>
      </c>
      <c r="BJ248" s="52">
        <v>1.69</v>
      </c>
      <c r="BK248" s="52">
        <v>1.65</v>
      </c>
      <c r="BL248" s="52">
        <v>1.59</v>
      </c>
      <c r="BM248" s="52">
        <v>1.51</v>
      </c>
      <c r="BN248" s="52">
        <v>1.4</v>
      </c>
      <c r="BO248" s="52">
        <v>1.43</v>
      </c>
      <c r="BP248" s="52" cm="1">
        <f t="array" aca="1" ref="BP248" ca="1">_FV(ED248,"Preço")</f>
        <v>1.57</v>
      </c>
      <c r="BQ248" s="69" t="s">
        <v>244</v>
      </c>
      <c r="BR248" s="36" cm="1">
        <f t="array" aca="1" ref="BR248" ca="1">_FV(ED248,"Média de volume",TRUE)</f>
        <v>8380</v>
      </c>
      <c r="BS248" s="36">
        <v>3700</v>
      </c>
      <c r="BT248" s="36" cm="1">
        <f t="array" aca="1" ref="BT248" ca="1">_FV(ED248,"Volume")</f>
        <v>20500</v>
      </c>
      <c r="BU248" s="24" cm="1">
        <f t="array" aca="1" ref="BU248" ca="1">_FV(ED248,"Beta")</f>
        <v>1.9681999999999999</v>
      </c>
      <c r="BV248" s="71" cm="1">
        <f t="array" aca="1" ref="BV248" ca="1">_FV(ED248,"Variação (%)",TRUE)</f>
        <v>0.137681</v>
      </c>
      <c r="BX248" s="17" cm="1">
        <f t="array" aca="1" ref="BX248" ca="1">_FV(ED248,"Baixo")</f>
        <v>1.37</v>
      </c>
      <c r="BY248" s="17" cm="1">
        <f t="array" aca="1" ref="BY248" ca="1">_FV(ED248,"Alto")</f>
        <v>1.58</v>
      </c>
      <c r="BZ248" s="24"/>
      <c r="CA248" s="63">
        <f ca="1">SQRT(22.5*(BP248/VLOOKUP(BQ248,Fundamentus!A:U,3,FALSE))*(BP248/VLOOKUP(BQ248,Fundamentus!A:U,4,FALSE)))</f>
        <v>61.845329876929327</v>
      </c>
      <c r="CC248" s="62">
        <f t="shared" ca="1" si="241"/>
        <v>9.7902097902097987E-2</v>
      </c>
      <c r="CD248" s="8"/>
      <c r="CE248" s="61">
        <f t="shared" si="242"/>
        <v>1.25</v>
      </c>
      <c r="CF248" s="61">
        <f t="shared" si="243"/>
        <v>3.03</v>
      </c>
      <c r="CG248" s="61">
        <f t="shared" si="244"/>
        <v>1.6740298507462692</v>
      </c>
      <c r="CH248" s="14"/>
      <c r="CI248" s="35">
        <f t="shared" si="227"/>
        <v>1.1467023632649993</v>
      </c>
      <c r="CJ248" s="15">
        <f t="shared" si="245"/>
        <v>1.3350000000000364</v>
      </c>
      <c r="CK248" s="35">
        <f t="shared" si="228"/>
        <v>1.5232976367350735</v>
      </c>
      <c r="CM248" s="14"/>
      <c r="CN248" s="17">
        <f t="shared" si="229"/>
        <v>-1.0033333333333334</v>
      </c>
      <c r="CO248" s="17">
        <f t="shared" si="230"/>
        <v>0.12333333333333329</v>
      </c>
      <c r="CP248" s="17">
        <f t="shared" si="231"/>
        <v>0.77666666666666639</v>
      </c>
      <c r="CQ248" s="38">
        <f t="shared" si="246"/>
        <v>1.9033333333333331</v>
      </c>
      <c r="CR248" s="17">
        <f t="shared" si="232"/>
        <v>2.5566666666666662</v>
      </c>
      <c r="CS248" s="17">
        <f t="shared" si="233"/>
        <v>3.6833333333333327</v>
      </c>
      <c r="CT248" s="17">
        <f t="shared" si="234"/>
        <v>4.336666666666666</v>
      </c>
      <c r="CU248" s="2" cm="1">
        <f t="array" aca="1" ref="CU248" ca="1">MAX(_xlfn._xlws.FILTER(CN248:CT248,CN248:CT248&lt;BP248))</f>
        <v>0.77666666666666639</v>
      </c>
      <c r="CV248" s="2" cm="1">
        <f t="array" aca="1" ref="CV248" ca="1">MIN(_xlfn._xlws.FILTER($CN248:$CT248,$CN248:$CT248&gt;BP248))</f>
        <v>1.9033333333333331</v>
      </c>
      <c r="CW248" s="16">
        <f t="shared" ca="1" si="248"/>
        <v>1.4506437768240348</v>
      </c>
      <c r="CX248" s="20">
        <f t="shared" ca="1" si="249"/>
        <v>-0.72532188841201739</v>
      </c>
      <c r="CY248" s="20">
        <f t="shared" ca="1" si="250"/>
        <v>-0.48354792560801158</v>
      </c>
      <c r="CZ248" s="20">
        <f t="shared" ca="1" si="251"/>
        <v>-0.29012875536480698</v>
      </c>
      <c r="DA248" s="20">
        <f t="shared" ca="1" si="252"/>
        <v>-0.1611826418693372</v>
      </c>
      <c r="DB248" s="20">
        <f t="shared" ca="1" si="253"/>
        <v>-8.5331986872002052E-2</v>
      </c>
      <c r="DC248" s="20">
        <f t="shared" ca="1" si="254"/>
        <v>-4.3958902328001051E-2</v>
      </c>
      <c r="DD248" s="20">
        <f t="shared" ca="1" si="255"/>
        <v>-2.2317596566523611E-2</v>
      </c>
      <c r="DE248" s="21">
        <f t="shared" ca="1" si="256"/>
        <v>2.2317596566523611E-2</v>
      </c>
      <c r="DF248" s="21">
        <f t="shared" ca="1" si="257"/>
        <v>4.3958902328001051E-2</v>
      </c>
      <c r="DG248" s="21">
        <f t="shared" ca="1" si="258"/>
        <v>8.5331986872002052E-2</v>
      </c>
      <c r="DH248" s="21">
        <f t="shared" ca="1" si="259"/>
        <v>0.1611826418693372</v>
      </c>
      <c r="DI248" s="21">
        <f t="shared" ca="1" si="260"/>
        <v>0.29012875536480698</v>
      </c>
      <c r="DJ248" s="21">
        <f t="shared" ca="1" si="261"/>
        <v>0.48354792560801158</v>
      </c>
      <c r="DK248" s="21">
        <f t="shared" ca="1" si="262"/>
        <v>0.72532188841201739</v>
      </c>
      <c r="DM248" s="16" cm="1">
        <f t="array" aca="1" ref="DM248" ca="1">MAX(_xlfn._xlws.FILTER(CX248:DK248,CX248:DK248&lt;BV248))</f>
        <v>8.5331986872002052E-2</v>
      </c>
      <c r="DN248" s="16" cm="1">
        <f t="array" aca="1" ref="DN248" ca="1">MIN(_xlfn._xlws.FILTER(CX248:DK248,CX248:DK248&gt;BV248))</f>
        <v>0.1611826418693372</v>
      </c>
      <c r="DO248" s="2" cm="1">
        <f t="array" aca="1" ref="DO248" ca="1">_FV(ED248,"Fechamento anterior",TRUE)</f>
        <v>1.38</v>
      </c>
      <c r="DP248" s="28">
        <f t="shared" ca="1" si="235"/>
        <v>0.6901611139696433</v>
      </c>
      <c r="DQ248" s="15">
        <f t="shared" ca="1" si="263"/>
        <v>1.4977581418833628</v>
      </c>
      <c r="DR248" s="15">
        <f t="shared" ca="1" si="264"/>
        <v>1.6024320457796852</v>
      </c>
      <c r="DS248" s="9"/>
      <c r="DT248" s="9"/>
      <c r="DU248" s="9"/>
      <c r="DV248" s="89">
        <v>2.164130576147744E-2</v>
      </c>
      <c r="DW248" s="89">
        <f t="shared" ca="1" si="236"/>
        <v>7.5850654997335148E-2</v>
      </c>
      <c r="DX248" s="72">
        <f t="shared" ca="1" si="237"/>
        <v>1.2480241604446891</v>
      </c>
      <c r="DY248" s="37"/>
      <c r="DZ248" s="35">
        <f t="shared" si="247"/>
        <v>9.414881836751858E-2</v>
      </c>
      <c r="EA248" s="56"/>
      <c r="EB248" s="56"/>
      <c r="ED248" s="2" t="e" vm="250">
        <v>#VALUE!</v>
      </c>
      <c r="EF248" s="10" cm="1">
        <f t="array" aca="1" ref="EF248" ca="1">_FV(ED248,"Ações em circulação",TRUE)</f>
        <v>44895590</v>
      </c>
      <c r="EG248" s="18">
        <f>VLOOKUP(BQ248,Fundamentus!A:U,5,FALSE)</f>
        <v>15.2</v>
      </c>
      <c r="EH248" s="2">
        <f t="shared" ca="1" si="238"/>
        <v>4637241.8618421052</v>
      </c>
      <c r="EI248" s="17">
        <v>-227184291.60908681</v>
      </c>
      <c r="EJ248" s="17">
        <f t="shared" ca="1" si="239"/>
        <v>-249426110.36801842</v>
      </c>
      <c r="EL248" s="16">
        <f t="shared" ca="1" si="226"/>
        <v>9.790209790209814E-2</v>
      </c>
      <c r="EM248" s="32" t="str">
        <f>IF(VLOOKUP(BQ248,Fundamentus!A:U,3,FALSE)&lt;15,"Bom",IF(VLOOKUP(BQ248,Fundamentus!A:U,3,FALSE)&gt;15,"Ruim","n/a"))</f>
        <v>Bom</v>
      </c>
      <c r="EN248" s="28" t="str">
        <f>IF(VLOOKUP(BQ248,Fundamentus!A:U,4,FALSE)&lt;1,"Baixo",IF(VLOOKUP(BQ248,Fundamentus!A:U,4,FALSE)&lt;1.5,"Moderado",IF(VLOOKUP(BQ248,Fundamentus!A:U,4,FALSE)&gt;1.5,"Alto","n/a")))</f>
        <v>Baixo</v>
      </c>
      <c r="EO248" s="17" t="str">
        <f>IF(VLOOKUP(BQ248,Fundamentus!A:U,8,FALSE)&lt;0,"Risco elevado",IF(VLOOKUP(BQ248,Fundamentus!A:U,8,FALSE)&lt;1,"Saudável",IF(VLOOKUP(BQ248,Fundamentus!A:U,8,FALSE)&lt;3,"Estável",IF(VLOOKUP(BQ248,Fundamentus!A:U,8,FALSE)&gt;3,"Alerta","n/a"))))</f>
        <v>Risco elevado</v>
      </c>
      <c r="EP248" s="28" t="str">
        <f t="shared" si="240"/>
        <v>Bom</v>
      </c>
      <c r="EQ248" s="17" t="str">
        <f>IF(VLOOKUP(BQ248,Fundamentus!A:U,12,FALSE)&lt;2,"Subvalorizada",IF(VLOOKUP(BQ248,Fundamentus!A:U,12,FALSE)&lt;6,"Muita barata",IF(VLOOKUP(BQ248,Fundamentus!A:U,12,FALSE)&lt;6,"Barata",IF(VLOOKUP(BQ248,Fundamentus!A:U,12,FALSE)&lt;8,"Atrativa",IF(VLOOKUP(BQ248,Fundamentus!A:U,12,FALSE)&gt;8,"Supervalorizada","n/a")))))</f>
        <v>Subvalorizada</v>
      </c>
      <c r="ES248" s="17" t="str">
        <f>IF(VLOOKUP(BQ248,Fundamentus!A:U,17,FALSE)&lt;0.1,"Fraco retorno",IF(VLOOKUP(BQ248,Fundamentus!A:U,17,FALSE)&gt;0.1,"Bom retorno","n/a"))</f>
        <v>Bom retorno</v>
      </c>
      <c r="ET248" s="17" t="str">
        <f>IF(VLOOKUP(BQ248,Fundamentus!A:U,16,FALSE)&lt;0.1,"Ineficiente",IF(VLOOKUP(BQ248,Fundamentus!A:U,16,FALSE)&gt;0.1,"Eficiente","n/a"))</f>
        <v>Ineficiente</v>
      </c>
      <c r="EU248" s="33" t="str">
        <f>IF(VLOOKUP(BQ248,Fundamentus!A:U,16,FALSE)&lt;0.1,"Oper. Ineficiente",IF(VLOOKUP(BQ248,Fundamentus!A:U,16,FALSE)&gt;0.1,"Oper.Eficiente","n/a"))</f>
        <v>Oper. Ineficiente</v>
      </c>
      <c r="EV248" s="34">
        <f>VLOOKUP(BQ248,Fundamentus!A:U,14,FALSE)</f>
        <v>-53.787599999999998</v>
      </c>
      <c r="EW248" s="17" t="str">
        <f>IF(VLOOKUP(BQ248,Fundamentus!A:U,21,FALSE)&lt;0,"Negativo",IF(VLOOKUP(BQ248,Fundamentus!A:U,21,FALSE)&lt;0.05,"Fraco",IF(VLOOKUP(BQ248,Fundamentus!A:U,21,FALSE)&lt;0.1,"Bom",IF(VLOOKUP(BQ248,Fundamentus!A:U,21,FALSE)&gt;0.1,"Muito bom","n/a"))))</f>
        <v>Negativo</v>
      </c>
      <c r="EY248" s="29" t="str">
        <f>IF(VLOOKUP(BQ248,Fundamentus!A:U,15,FALSE)&gt;1,"Bom",IF(VLOOKUP(BQ248,Fundamentus!A:U,15,FALSE)&lt;1,"Ruim","n/a"))</f>
        <v>Ruim</v>
      </c>
      <c r="EZ248" s="17" t="str">
        <f>IF(VLOOKUP(BQ248,Fundamentus!A:U,20,FALSE)&lt;0.5,"Baixa",IF(VLOOKUP(BQ248,Fundamentus!A:U,20,FALSE)&lt;1,"Moderada",IF(VLOOKUP(BQ248,Fundamentus!A:U,20,FALSE)&lt;2,"Alerta",IF(VLOOKUP(BQ248,Fundamentus!A:U,20,FALSE)&gt;2,"Alta","n/a"))))</f>
        <v>Baixa</v>
      </c>
    </row>
    <row r="249" spans="1:156" s="2" customFormat="1" ht="11.25" hidden="1" x14ac:dyDescent="0.2">
      <c r="A249" s="4">
        <v>0.73</v>
      </c>
      <c r="B249" s="4">
        <v>0.71</v>
      </c>
      <c r="C249" s="4">
        <v>0.63</v>
      </c>
      <c r="D249" s="4">
        <v>0.59</v>
      </c>
      <c r="E249" s="4">
        <v>0.6</v>
      </c>
      <c r="F249" s="4">
        <v>0.57999999999999996</v>
      </c>
      <c r="G249" s="4">
        <v>0.5</v>
      </c>
      <c r="H249" s="4">
        <v>4.34</v>
      </c>
      <c r="I249" s="4">
        <v>5.34</v>
      </c>
      <c r="J249" s="4">
        <v>6.24</v>
      </c>
      <c r="K249" s="4">
        <v>5.91</v>
      </c>
      <c r="L249" s="4">
        <v>4.3899999999999997</v>
      </c>
      <c r="M249" s="4">
        <v>4.4000000000000004</v>
      </c>
      <c r="N249" s="4">
        <v>4.1900000000000004</v>
      </c>
      <c r="O249" s="4">
        <v>4.25</v>
      </c>
      <c r="P249" s="4">
        <v>4.4800000000000004</v>
      </c>
      <c r="Q249" s="4">
        <v>4.6500000000000004</v>
      </c>
      <c r="R249" s="4">
        <v>4.95</v>
      </c>
      <c r="S249" s="4">
        <v>5.09</v>
      </c>
      <c r="T249" s="4">
        <v>5.23</v>
      </c>
      <c r="U249" s="4">
        <v>5.2</v>
      </c>
      <c r="V249" s="4">
        <v>5.26</v>
      </c>
      <c r="W249" s="4">
        <v>4.83</v>
      </c>
      <c r="X249" s="4">
        <v>4.71</v>
      </c>
      <c r="Y249" s="4">
        <v>4.38</v>
      </c>
      <c r="Z249" s="4">
        <v>4.41</v>
      </c>
      <c r="AA249" s="4">
        <v>4.4800000000000004</v>
      </c>
      <c r="AB249" s="4">
        <v>4.0999999999999996</v>
      </c>
      <c r="AC249" s="4">
        <v>1</v>
      </c>
      <c r="AD249" s="4">
        <v>1.46</v>
      </c>
      <c r="AE249" s="4">
        <v>1.6</v>
      </c>
      <c r="AF249" s="4">
        <v>1.46</v>
      </c>
      <c r="AG249" s="4">
        <v>1.39</v>
      </c>
      <c r="AH249" s="4">
        <v>1.35</v>
      </c>
      <c r="AI249" s="4">
        <v>1.33</v>
      </c>
      <c r="AJ249" s="4">
        <v>1.34</v>
      </c>
      <c r="AK249" s="4">
        <v>1.47</v>
      </c>
      <c r="AL249" s="4">
        <v>1.43</v>
      </c>
      <c r="AM249" s="4">
        <v>1.55</v>
      </c>
      <c r="AN249" s="4">
        <v>1.65</v>
      </c>
      <c r="AO249" s="4">
        <v>1.45</v>
      </c>
      <c r="AP249" s="4">
        <v>1.28</v>
      </c>
      <c r="AQ249" s="4">
        <v>1.22</v>
      </c>
      <c r="AR249" s="4">
        <v>1.1299999999999999</v>
      </c>
      <c r="AS249" s="4">
        <v>1.1599999999999999</v>
      </c>
      <c r="AT249" s="4">
        <v>1.19</v>
      </c>
      <c r="AU249" s="4">
        <v>1.2749999999999999</v>
      </c>
      <c r="AV249" s="4">
        <v>1.06</v>
      </c>
      <c r="AW249" s="4">
        <v>0.91</v>
      </c>
      <c r="AX249" s="4">
        <v>0.48</v>
      </c>
      <c r="AY249" s="12">
        <v>0.61</v>
      </c>
      <c r="AZ249" s="12">
        <v>0.6</v>
      </c>
      <c r="BA249" s="12">
        <v>0.56999999999999995</v>
      </c>
      <c r="BB249" s="15">
        <v>0.65</v>
      </c>
      <c r="BC249" s="52">
        <v>0.66</v>
      </c>
      <c r="BD249" s="52">
        <v>0.63</v>
      </c>
      <c r="BE249" s="52">
        <v>0.63</v>
      </c>
      <c r="BF249" s="52">
        <v>0.67</v>
      </c>
      <c r="BG249" s="67">
        <v>0.71</v>
      </c>
      <c r="BH249" s="52">
        <v>0.63</v>
      </c>
      <c r="BI249" s="52">
        <v>0.64</v>
      </c>
      <c r="BJ249" s="52">
        <v>0.63</v>
      </c>
      <c r="BK249" s="52">
        <v>0.56999999999999995</v>
      </c>
      <c r="BL249" s="52">
        <v>0.56999999999999995</v>
      </c>
      <c r="BM249" s="52">
        <v>0.5</v>
      </c>
      <c r="BN249" s="52">
        <v>0.51</v>
      </c>
      <c r="BO249" s="52">
        <v>0.54</v>
      </c>
      <c r="BP249" s="52" cm="1">
        <f t="array" aca="1" ref="BP249" ca="1">_FV(ED249,"Preço")</f>
        <v>0.56000000000000005</v>
      </c>
      <c r="BQ249" s="69" t="s">
        <v>245</v>
      </c>
      <c r="BR249" s="36" cm="1">
        <f t="array" aca="1" ref="BR249" ca="1">_FV(ED249,"Média de volume",TRUE)</f>
        <v>17980</v>
      </c>
      <c r="BS249" s="36">
        <v>1109800</v>
      </c>
      <c r="BT249" s="36" cm="1">
        <f t="array" aca="1" ref="BT249" ca="1">_FV(ED249,"Volume")</f>
        <v>2475600</v>
      </c>
      <c r="BU249" s="24" cm="1">
        <f t="array" aca="1" ref="BU249" ca="1">_FV(ED249,"Beta")</f>
        <v>1.3743000000000001</v>
      </c>
      <c r="BV249" s="71" cm="1">
        <f t="array" aca="1" ref="BV249" ca="1">_FV(ED249,"Variação (%)",TRUE)</f>
        <v>0</v>
      </c>
      <c r="BX249" s="17" cm="1">
        <f t="array" aca="1" ref="BX249" ca="1">_FV(ED249,"Baixo")</f>
        <v>0.53</v>
      </c>
      <c r="BY249" s="17" cm="1">
        <f t="array" aca="1" ref="BY249" ca="1">_FV(ED249,"Alto")</f>
        <v>0.56999999999999995</v>
      </c>
      <c r="BZ249" s="24"/>
      <c r="CA249" s="63" t="e">
        <f ca="1">SQRT(22.5*(BP249/VLOOKUP(BQ249,Fundamentus!A:U,3,FALSE))*(BP249/VLOOKUP(BQ249,Fundamentus!A:U,4,FALSE)))</f>
        <v>#NUM!</v>
      </c>
      <c r="CC249" s="62">
        <f t="shared" ca="1" si="241"/>
        <v>3.703703703703707E-2</v>
      </c>
      <c r="CD249" s="8"/>
      <c r="CE249" s="61">
        <f t="shared" si="242"/>
        <v>0.48</v>
      </c>
      <c r="CF249" s="61">
        <f t="shared" si="243"/>
        <v>6.24</v>
      </c>
      <c r="CG249" s="61">
        <f t="shared" si="244"/>
        <v>2.1444029850746253</v>
      </c>
      <c r="CH249" s="14"/>
      <c r="CI249" s="35">
        <f t="shared" si="227"/>
        <v>0.45148504464668687</v>
      </c>
      <c r="CJ249" s="15">
        <f t="shared" si="245"/>
        <v>0.50999999999999801</v>
      </c>
      <c r="CK249" s="35">
        <f t="shared" si="228"/>
        <v>0.56851495535330909</v>
      </c>
      <c r="CM249" s="14"/>
      <c r="CN249" s="17">
        <f t="shared" si="229"/>
        <v>-7.16</v>
      </c>
      <c r="CO249" s="17">
        <f t="shared" si="230"/>
        <v>-3.3399999999999994</v>
      </c>
      <c r="CP249" s="17">
        <f t="shared" si="231"/>
        <v>-1.3999999999999995</v>
      </c>
      <c r="CQ249" s="38">
        <f t="shared" si="246"/>
        <v>2.4200000000000004</v>
      </c>
      <c r="CR249" s="17">
        <f t="shared" si="232"/>
        <v>4.3600000000000012</v>
      </c>
      <c r="CS249" s="17">
        <f t="shared" si="233"/>
        <v>8.18</v>
      </c>
      <c r="CT249" s="17">
        <f t="shared" si="234"/>
        <v>10.120000000000001</v>
      </c>
      <c r="CU249" s="2" cm="1">
        <f t="array" aca="1" ref="CU249" ca="1">MAX(_xlfn._xlws.FILTER(CN249:CT249,CN249:CT249&lt;BP249))</f>
        <v>-1.3999999999999995</v>
      </c>
      <c r="CV249" s="2" cm="1">
        <f t="array" aca="1" ref="CV249" ca="1">MIN(_xlfn._xlws.FILTER($CN249:$CT249,$CN249:$CT249&gt;BP249))</f>
        <v>2.4200000000000004</v>
      </c>
      <c r="CW249" s="16">
        <f t="shared" ca="1" si="248"/>
        <v>-2.7285714285714295</v>
      </c>
      <c r="CX249" s="20">
        <f t="shared" ca="1" si="249"/>
        <v>1.3642857142857148</v>
      </c>
      <c r="CY249" s="20">
        <f t="shared" ca="1" si="250"/>
        <v>0.90952380952380985</v>
      </c>
      <c r="CZ249" s="20">
        <f t="shared" ca="1" si="251"/>
        <v>0.54571428571428593</v>
      </c>
      <c r="DA249" s="20">
        <f t="shared" ca="1" si="252"/>
        <v>0.30317460317460326</v>
      </c>
      <c r="DB249" s="20">
        <f t="shared" ca="1" si="253"/>
        <v>0.16050420168067234</v>
      </c>
      <c r="DC249" s="20">
        <f t="shared" ca="1" si="254"/>
        <v>8.2683982683982707E-2</v>
      </c>
      <c r="DD249" s="20">
        <f t="shared" ca="1" si="255"/>
        <v>4.1978021978021994E-2</v>
      </c>
      <c r="DE249" s="21">
        <f t="shared" ca="1" si="256"/>
        <v>-4.1978021978021994E-2</v>
      </c>
      <c r="DF249" s="21">
        <f t="shared" ca="1" si="257"/>
        <v>-8.2683982683982707E-2</v>
      </c>
      <c r="DG249" s="21">
        <f t="shared" ca="1" si="258"/>
        <v>-0.16050420168067234</v>
      </c>
      <c r="DH249" s="21">
        <f t="shared" ca="1" si="259"/>
        <v>-0.30317460317460326</v>
      </c>
      <c r="DI249" s="21">
        <f t="shared" ca="1" si="260"/>
        <v>-0.54571428571428593</v>
      </c>
      <c r="DJ249" s="21">
        <f t="shared" ca="1" si="261"/>
        <v>-0.90952380952380985</v>
      </c>
      <c r="DK249" s="21">
        <f t="shared" ca="1" si="262"/>
        <v>-1.3642857142857148</v>
      </c>
      <c r="DM249" s="16" cm="1">
        <f t="array" aca="1" ref="DM249" ca="1">MAX(_xlfn._xlws.FILTER(CX249:DK249,CX249:DK249&lt;BV249))</f>
        <v>-4.1978021978021994E-2</v>
      </c>
      <c r="DN249" s="16" cm="1">
        <f t="array" aca="1" ref="DN249" ca="1">MIN(_xlfn._xlws.FILTER(CX249:DK249,CX249:DK249&gt;BV249))</f>
        <v>4.1978021978021994E-2</v>
      </c>
      <c r="DO249" s="2" cm="1">
        <f t="array" aca="1" ref="DO249" ca="1">_FV(ED249,"Fechamento anterior",TRUE)</f>
        <v>0.56000000000000005</v>
      </c>
      <c r="DP249" s="28">
        <f t="shared" ca="1" si="235"/>
        <v>0.5</v>
      </c>
      <c r="DQ249" s="15">
        <f t="shared" ca="1" si="263"/>
        <v>0.53649230769230771</v>
      </c>
      <c r="DR249" s="15">
        <f t="shared" ca="1" si="264"/>
        <v>0.58350769230769239</v>
      </c>
      <c r="DS249" s="9"/>
      <c r="DT249" s="9"/>
      <c r="DU249" s="9"/>
      <c r="DV249" s="89">
        <v>8.3956043956043988E-2</v>
      </c>
      <c r="DW249" s="89">
        <f t="shared" ca="1" si="236"/>
        <v>8.3956043956043988E-2</v>
      </c>
      <c r="DX249" s="72">
        <f t="shared" ca="1" si="237"/>
        <v>0.85448240878086446</v>
      </c>
      <c r="DY249" s="37"/>
      <c r="DZ249" s="35">
        <f t="shared" si="247"/>
        <v>2.9257477676655562E-2</v>
      </c>
      <c r="EA249" s="56"/>
      <c r="EB249" s="56"/>
      <c r="ED249" s="2" t="e" vm="251">
        <v>#VALUE!</v>
      </c>
      <c r="EF249" s="10" cm="1">
        <f t="array" aca="1" ref="EF249" ca="1">_FV(ED249,"Ações em circulação",TRUE)</f>
        <v>330121700</v>
      </c>
      <c r="EG249" s="18">
        <f>VLOOKUP(BQ249,Fundamentus!A:U,5,FALSE)</f>
        <v>9.8000000000000004E-2</v>
      </c>
      <c r="EH249" s="2">
        <f t="shared" ca="1" si="238"/>
        <v>1886409714.2857146</v>
      </c>
      <c r="EI249" s="17">
        <v>15415073204.565304</v>
      </c>
      <c r="EJ249" s="17">
        <f t="shared" ca="1" si="239"/>
        <v>15986001841.771431</v>
      </c>
      <c r="EL249" s="16">
        <f t="shared" ca="1" si="226"/>
        <v>3.7037037037037424E-2</v>
      </c>
      <c r="EM249" s="32" t="str">
        <f>IF(VLOOKUP(BQ249,Fundamentus!A:U,3,FALSE)&lt;15,"Bom",IF(VLOOKUP(BQ249,Fundamentus!A:U,3,FALSE)&gt;15,"Ruim","n/a"))</f>
        <v>Bom</v>
      </c>
      <c r="EN249" s="28" t="str">
        <f>IF(VLOOKUP(BQ249,Fundamentus!A:U,4,FALSE)&lt;1,"Baixo",IF(VLOOKUP(BQ249,Fundamentus!A:U,4,FALSE)&lt;1.5,"Moderado",IF(VLOOKUP(BQ249,Fundamentus!A:U,4,FALSE)&gt;1.5,"Alto","n/a")))</f>
        <v>Baixo</v>
      </c>
      <c r="EO249" s="17" t="str">
        <f>IF(VLOOKUP(BQ249,Fundamentus!A:U,8,FALSE)&lt;0,"Risco elevado",IF(VLOOKUP(BQ249,Fundamentus!A:U,8,FALSE)&lt;1,"Saudável",IF(VLOOKUP(BQ249,Fundamentus!A:U,8,FALSE)&lt;3,"Estável",IF(VLOOKUP(BQ249,Fundamentus!A:U,8,FALSE)&gt;3,"Alerta","n/a"))))</f>
        <v>Risco elevado</v>
      </c>
      <c r="EP249" s="28" t="str">
        <f t="shared" si="240"/>
        <v>Ruim</v>
      </c>
      <c r="EQ249" s="17" t="str">
        <f>IF(VLOOKUP(BQ249,Fundamentus!A:U,12,FALSE)&lt;2,"Subvalorizada",IF(VLOOKUP(BQ249,Fundamentus!A:U,12,FALSE)&lt;6,"Muita barata",IF(VLOOKUP(BQ249,Fundamentus!A:U,12,FALSE)&lt;6,"Barata",IF(VLOOKUP(BQ249,Fundamentus!A:U,12,FALSE)&lt;8,"Atrativa",IF(VLOOKUP(BQ249,Fundamentus!A:U,12,FALSE)&gt;8,"Supervalorizada","n/a")))))</f>
        <v>Subvalorizada</v>
      </c>
      <c r="ES249" s="17" t="str">
        <f>IF(VLOOKUP(BQ249,Fundamentus!A:U,17,FALSE)&lt;0.1,"Fraco retorno",IF(VLOOKUP(BQ249,Fundamentus!A:U,17,FALSE)&gt;0.1,"Bom retorno","n/a"))</f>
        <v>Fraco retorno</v>
      </c>
      <c r="ET249" s="17" t="str">
        <f>IF(VLOOKUP(BQ249,Fundamentus!A:U,16,FALSE)&lt;0.1,"Ineficiente",IF(VLOOKUP(BQ249,Fundamentus!A:U,16,FALSE)&gt;0.1,"Eficiente","n/a"))</f>
        <v>Ineficiente</v>
      </c>
      <c r="EU249" s="33" t="str">
        <f>IF(VLOOKUP(BQ249,Fundamentus!A:U,16,FALSE)&lt;0.1,"Oper. Ineficiente",IF(VLOOKUP(BQ249,Fundamentus!A:U,16,FALSE)&gt;0.1,"Oper.Eficiente","n/a"))</f>
        <v>Oper. Ineficiente</v>
      </c>
      <c r="EV249" s="34">
        <f>VLOOKUP(BQ249,Fundamentus!A:U,14,FALSE)</f>
        <v>8.4742999999999995</v>
      </c>
      <c r="EW249" s="17" t="str">
        <f>IF(VLOOKUP(BQ249,Fundamentus!A:U,21,FALSE)&lt;0,"Negativo",IF(VLOOKUP(BQ249,Fundamentus!A:U,21,FALSE)&lt;0.05,"Fraco",IF(VLOOKUP(BQ249,Fundamentus!A:U,21,FALSE)&lt;0.1,"Bom",IF(VLOOKUP(BQ249,Fundamentus!A:U,21,FALSE)&gt;0.1,"Muito bom","n/a"))))</f>
        <v>Negativo</v>
      </c>
      <c r="EY249" s="29" t="str">
        <f>IF(VLOOKUP(BQ249,Fundamentus!A:U,15,FALSE)&gt;1,"Bom",IF(VLOOKUP(BQ249,Fundamentus!A:U,15,FALSE)&lt;1,"Ruim","n/a"))</f>
        <v>Ruim</v>
      </c>
      <c r="EZ249" s="17" t="str">
        <f>IF(VLOOKUP(BQ249,Fundamentus!A:U,20,FALSE)&lt;0.5,"Baixa",IF(VLOOKUP(BQ249,Fundamentus!A:U,20,FALSE)&lt;1,"Moderada",IF(VLOOKUP(BQ249,Fundamentus!A:U,20,FALSE)&lt;2,"Alerta",IF(VLOOKUP(BQ249,Fundamentus!A:U,20,FALSE)&gt;2,"Alta","n/a"))))</f>
        <v>Baixa</v>
      </c>
    </row>
    <row r="250" spans="1:156" s="2" customFormat="1" ht="11.25" hidden="1" x14ac:dyDescent="0.2">
      <c r="A250" s="4">
        <v>14.74</v>
      </c>
      <c r="B250" s="4">
        <v>14.54</v>
      </c>
      <c r="C250" s="4">
        <v>14.33</v>
      </c>
      <c r="D250" s="4">
        <v>13.98</v>
      </c>
      <c r="E250" s="4">
        <v>13.63</v>
      </c>
      <c r="F250" s="4">
        <v>12.72</v>
      </c>
      <c r="G250" s="4">
        <v>12.67</v>
      </c>
      <c r="H250" s="4">
        <v>12.89</v>
      </c>
      <c r="I250" s="4">
        <v>13.52</v>
      </c>
      <c r="J250" s="4">
        <v>14.1</v>
      </c>
      <c r="K250" s="4">
        <v>14.28</v>
      </c>
      <c r="L250" s="4">
        <v>14.03</v>
      </c>
      <c r="M250" s="4">
        <v>13.7</v>
      </c>
      <c r="N250" s="4">
        <v>13</v>
      </c>
      <c r="O250" s="4">
        <v>13.61</v>
      </c>
      <c r="P250" s="4">
        <v>13.42</v>
      </c>
      <c r="Q250" s="4">
        <v>13.97</v>
      </c>
      <c r="R250" s="4">
        <v>13.36</v>
      </c>
      <c r="S250" s="4">
        <v>12.89</v>
      </c>
      <c r="T250" s="4">
        <v>13.04</v>
      </c>
      <c r="U250" s="4">
        <v>12.56</v>
      </c>
      <c r="V250" s="4">
        <v>13.15</v>
      </c>
      <c r="W250" s="4">
        <v>13.25</v>
      </c>
      <c r="X250" s="4">
        <v>12.1</v>
      </c>
      <c r="Y250" s="4">
        <v>11.52</v>
      </c>
      <c r="Z250" s="4">
        <v>11.75</v>
      </c>
      <c r="AA250" s="4">
        <v>11.5</v>
      </c>
      <c r="AB250" s="4">
        <v>11.73</v>
      </c>
      <c r="AC250" s="4">
        <v>11.3</v>
      </c>
      <c r="AD250" s="4">
        <v>11.13</v>
      </c>
      <c r="AE250" s="4">
        <v>10.199999999999999</v>
      </c>
      <c r="AF250" s="4">
        <v>9.4</v>
      </c>
      <c r="AG250" s="4">
        <v>8.91</v>
      </c>
      <c r="AH250" s="4">
        <v>8.5399999999999991</v>
      </c>
      <c r="AI250" s="4">
        <v>8.16</v>
      </c>
      <c r="AJ250" s="4">
        <v>8.0500000000000007</v>
      </c>
      <c r="AK250" s="4">
        <v>8.11</v>
      </c>
      <c r="AL250" s="4">
        <v>8.1999999999999993</v>
      </c>
      <c r="AM250" s="4">
        <v>7.56</v>
      </c>
      <c r="AN250" s="4">
        <v>7.74</v>
      </c>
      <c r="AO250" s="4">
        <v>7.18</v>
      </c>
      <c r="AP250" s="4">
        <v>7.58</v>
      </c>
      <c r="AQ250" s="4">
        <v>7.29</v>
      </c>
      <c r="AR250" s="4">
        <v>7.09</v>
      </c>
      <c r="AS250" s="4">
        <v>7.27</v>
      </c>
      <c r="AT250" s="4">
        <v>7.47</v>
      </c>
      <c r="AU250" s="4">
        <v>7.77</v>
      </c>
      <c r="AV250" s="4">
        <v>7.63</v>
      </c>
      <c r="AW250" s="4">
        <v>7.24</v>
      </c>
      <c r="AX250" s="4">
        <v>7.04</v>
      </c>
      <c r="AY250" s="12">
        <v>7.17</v>
      </c>
      <c r="AZ250" s="12">
        <v>7.71</v>
      </c>
      <c r="BA250" s="12">
        <v>7.77</v>
      </c>
      <c r="BB250" s="15">
        <v>7.99</v>
      </c>
      <c r="BC250" s="52">
        <v>7.72</v>
      </c>
      <c r="BD250" s="52">
        <v>8.02</v>
      </c>
      <c r="BE250" s="52">
        <v>8.23</v>
      </c>
      <c r="BF250" s="52">
        <v>8.06</v>
      </c>
      <c r="BG250" s="67">
        <v>8.1199999999999992</v>
      </c>
      <c r="BH250" s="52">
        <v>7.28</v>
      </c>
      <c r="BI250" s="52">
        <v>6.74</v>
      </c>
      <c r="BJ250" s="52">
        <v>7.14</v>
      </c>
      <c r="BK250" s="52">
        <v>6.38</v>
      </c>
      <c r="BL250" s="52">
        <v>5.96</v>
      </c>
      <c r="BM250" s="52">
        <v>6.02</v>
      </c>
      <c r="BN250" s="52">
        <v>5.82</v>
      </c>
      <c r="BO250" s="52">
        <v>5.83</v>
      </c>
      <c r="BP250" s="52" cm="1">
        <f t="array" aca="1" ref="BP250" ca="1">_FV(ED250,"Preço")</f>
        <v>5.48</v>
      </c>
      <c r="BQ250" s="69" t="s">
        <v>246</v>
      </c>
      <c r="BR250" s="36" cm="1">
        <f t="array" aca="1" ref="BR250" ca="1">_FV(ED250,"Média de volume",TRUE)</f>
        <v>19760530</v>
      </c>
      <c r="BS250" s="36">
        <v>14857800</v>
      </c>
      <c r="BT250" s="36" cm="1">
        <f t="array" aca="1" ref="BT250" ca="1">_FV(ED250,"Volume")</f>
        <v>15408000</v>
      </c>
      <c r="BU250" s="24" cm="1">
        <f t="array" aca="1" ref="BU250" ca="1">_FV(ED250,"Beta")</f>
        <v>1.1494</v>
      </c>
      <c r="BV250" s="71" cm="1">
        <f t="array" aca="1" ref="BV250" ca="1">_FV(ED250,"Variação (%)",TRUE)</f>
        <v>1.4815E-2</v>
      </c>
      <c r="BX250" s="17" cm="1">
        <f t="array" aca="1" ref="BX250" ca="1">_FV(ED250,"Baixo")</f>
        <v>5.29</v>
      </c>
      <c r="BY250" s="17" cm="1">
        <f t="array" aca="1" ref="BY250" ca="1">_FV(ED250,"Alto")</f>
        <v>5.58</v>
      </c>
      <c r="BZ250" s="24"/>
      <c r="CA250" s="63" t="e">
        <f ca="1">SQRT(22.5*(BP250/VLOOKUP(BQ250,Fundamentus!A:U,3,FALSE))*(BP250/VLOOKUP(BQ250,Fundamentus!A:U,4,FALSE)))</f>
        <v>#NUM!</v>
      </c>
      <c r="CC250" s="62">
        <f t="shared" ca="1" si="241"/>
        <v>-6.0034305317324121E-2</v>
      </c>
      <c r="CD250" s="8"/>
      <c r="CE250" s="61">
        <f t="shared" si="242"/>
        <v>5.82</v>
      </c>
      <c r="CF250" s="61">
        <f t="shared" si="243"/>
        <v>14.74</v>
      </c>
      <c r="CG250" s="61">
        <f t="shared" si="244"/>
        <v>10.041791044776121</v>
      </c>
      <c r="CH250" s="14"/>
      <c r="CI250" s="35">
        <f t="shared" si="227"/>
        <v>5.3523923455086244</v>
      </c>
      <c r="CJ250" s="15">
        <f t="shared" si="245"/>
        <v>5.7600000000000477</v>
      </c>
      <c r="CK250" s="35">
        <f t="shared" si="228"/>
        <v>6.1676076544914711</v>
      </c>
      <c r="CM250" s="14"/>
      <c r="CN250" s="17">
        <f t="shared" si="229"/>
        <v>-6.0666666666666664</v>
      </c>
      <c r="CO250" s="17">
        <f t="shared" si="230"/>
        <v>-0.12333333333333307</v>
      </c>
      <c r="CP250" s="17">
        <f t="shared" si="231"/>
        <v>2.8533333333333335</v>
      </c>
      <c r="CQ250" s="38">
        <f t="shared" si="246"/>
        <v>8.7966666666666669</v>
      </c>
      <c r="CR250" s="17">
        <f t="shared" si="232"/>
        <v>11.773333333333333</v>
      </c>
      <c r="CS250" s="17">
        <f t="shared" si="233"/>
        <v>17.716666666666669</v>
      </c>
      <c r="CT250" s="17">
        <f t="shared" si="234"/>
        <v>20.693333333333335</v>
      </c>
      <c r="CU250" s="2" cm="1">
        <f t="array" aca="1" ref="CU250" ca="1">MAX(_xlfn._xlws.FILTER(CN250:CT250,CN250:CT250&lt;BP250))</f>
        <v>2.8533333333333335</v>
      </c>
      <c r="CV250" s="2" cm="1">
        <f t="array" aca="1" ref="CV250" ca="1">MIN(_xlfn._xlws.FILTER($CN250:$CT250,$CN250:$CT250&gt;BP250))</f>
        <v>8.7966666666666669</v>
      </c>
      <c r="CW250" s="16">
        <f t="shared" ca="1" si="248"/>
        <v>2.0829439252336446</v>
      </c>
      <c r="CX250" s="20">
        <f t="shared" ca="1" si="249"/>
        <v>-1.0414719626168223</v>
      </c>
      <c r="CY250" s="20">
        <f t="shared" ca="1" si="250"/>
        <v>-0.69431464174454816</v>
      </c>
      <c r="CZ250" s="20">
        <f t="shared" ca="1" si="251"/>
        <v>-0.41658878504672892</v>
      </c>
      <c r="DA250" s="20">
        <f t="shared" ca="1" si="252"/>
        <v>-0.23143821391484939</v>
      </c>
      <c r="DB250" s="20">
        <f t="shared" ca="1" si="253"/>
        <v>-0.12252611324903792</v>
      </c>
      <c r="DC250" s="20">
        <f t="shared" ca="1" si="254"/>
        <v>-6.311951288586802E-2</v>
      </c>
      <c r="DD250" s="20">
        <f t="shared" ca="1" si="255"/>
        <v>-3.2045291157440689E-2</v>
      </c>
      <c r="DE250" s="21">
        <f t="shared" ca="1" si="256"/>
        <v>3.2045291157440689E-2</v>
      </c>
      <c r="DF250" s="21">
        <f t="shared" ca="1" si="257"/>
        <v>6.311951288586802E-2</v>
      </c>
      <c r="DG250" s="21">
        <f t="shared" ca="1" si="258"/>
        <v>0.12252611324903792</v>
      </c>
      <c r="DH250" s="21">
        <f t="shared" ca="1" si="259"/>
        <v>0.23143821391484939</v>
      </c>
      <c r="DI250" s="21">
        <f t="shared" ca="1" si="260"/>
        <v>0.41658878504672892</v>
      </c>
      <c r="DJ250" s="21">
        <f t="shared" ca="1" si="261"/>
        <v>0.69431464174454816</v>
      </c>
      <c r="DK250" s="21">
        <f t="shared" ca="1" si="262"/>
        <v>1.0414719626168223</v>
      </c>
      <c r="DM250" s="16" cm="1">
        <f t="array" aca="1" ref="DM250" ca="1">MAX(_xlfn._xlws.FILTER(CX250:DK250,CX250:DK250&lt;BV250))</f>
        <v>-3.2045291157440689E-2</v>
      </c>
      <c r="DN250" s="16" cm="1">
        <f t="array" aca="1" ref="DN250" ca="1">MIN(_xlfn._xlws.FILTER(CX250:DK250,CX250:DK250&gt;BV250))</f>
        <v>3.2045291157440689E-2</v>
      </c>
      <c r="DO250" s="2" cm="1">
        <f t="array" aca="1" ref="DO250" ca="1">_FV(ED250,"Fechamento anterior",TRUE)</f>
        <v>5.4</v>
      </c>
      <c r="DP250" s="28">
        <f t="shared" ca="1" si="235"/>
        <v>0.73115431752560212</v>
      </c>
      <c r="DQ250" s="15">
        <f t="shared" ca="1" si="263"/>
        <v>5.2269554277498207</v>
      </c>
      <c r="DR250" s="15">
        <f t="shared" ca="1" si="264"/>
        <v>5.57304457225018</v>
      </c>
      <c r="DS250" s="9"/>
      <c r="DT250" s="9"/>
      <c r="DU250" s="9"/>
      <c r="DV250" s="89">
        <v>6.4090582314881378E-2</v>
      </c>
      <c r="DW250" s="89">
        <f t="shared" ca="1" si="236"/>
        <v>6.4090582314881378E-2</v>
      </c>
      <c r="DX250" s="72">
        <f t="shared" ca="1" si="237"/>
        <v>-0.68693508798161917</v>
      </c>
      <c r="DY250" s="37"/>
      <c r="DZ250" s="35">
        <f t="shared" si="247"/>
        <v>0.20380382724571183</v>
      </c>
      <c r="EA250" s="56"/>
      <c r="EB250" s="56"/>
      <c r="ED250" s="2" t="e" vm="252">
        <v>#VALUE!</v>
      </c>
      <c r="EF250" s="10" cm="1">
        <f t="array" aca="1" ref="EF250" ca="1">_FV(ED250,"Ações em circulação",TRUE)</f>
        <v>1866571000</v>
      </c>
      <c r="EG250" s="18">
        <f>VLOOKUP(BQ250,Fundamentus!A:U,5,FALSE)</f>
        <v>0.25</v>
      </c>
      <c r="EH250" s="2">
        <f t="shared" ca="1" si="238"/>
        <v>40915236320</v>
      </c>
      <c r="EI250" s="17">
        <v>-10303180734.924</v>
      </c>
      <c r="EJ250" s="17">
        <f t="shared" ca="1" si="239"/>
        <v>-9684636436.9440002</v>
      </c>
      <c r="EL250" s="16">
        <f t="shared" ca="1" si="226"/>
        <v>-6.0034305317324121E-2</v>
      </c>
      <c r="EM250" s="32" t="str">
        <f>IF(VLOOKUP(BQ250,Fundamentus!A:U,3,FALSE)&lt;15,"Bom",IF(VLOOKUP(BQ250,Fundamentus!A:U,3,FALSE)&gt;15,"Ruim","n/a"))</f>
        <v>Bom</v>
      </c>
      <c r="EN250" s="28" t="str">
        <f>IF(VLOOKUP(BQ250,Fundamentus!A:U,4,FALSE)&lt;1,"Baixo",IF(VLOOKUP(BQ250,Fundamentus!A:U,4,FALSE)&lt;1.5,"Moderado",IF(VLOOKUP(BQ250,Fundamentus!A:U,4,FALSE)&gt;1.5,"Alto","n/a")))</f>
        <v>Moderado</v>
      </c>
      <c r="EO250" s="17" t="str">
        <f>IF(VLOOKUP(BQ250,Fundamentus!A:U,8,FALSE)&lt;0,"Risco elevado",IF(VLOOKUP(BQ250,Fundamentus!A:U,8,FALSE)&lt;1,"Saudável",IF(VLOOKUP(BQ250,Fundamentus!A:U,8,FALSE)&lt;3,"Estável",IF(VLOOKUP(BQ250,Fundamentus!A:U,8,FALSE)&gt;3,"Alerta","n/a"))))</f>
        <v>Saudável</v>
      </c>
      <c r="EP250" s="28" t="str">
        <f t="shared" si="240"/>
        <v>Ruim</v>
      </c>
      <c r="EQ250" s="17" t="str">
        <f>IF(VLOOKUP(BQ250,Fundamentus!A:U,12,FALSE)&lt;2,"Subvalorizada",IF(VLOOKUP(BQ250,Fundamentus!A:U,12,FALSE)&lt;6,"Muita barata",IF(VLOOKUP(BQ250,Fundamentus!A:U,12,FALSE)&lt;6,"Barata",IF(VLOOKUP(BQ250,Fundamentus!A:U,12,FALSE)&lt;8,"Atrativa",IF(VLOOKUP(BQ250,Fundamentus!A:U,12,FALSE)&gt;8,"Supervalorizada","n/a")))))</f>
        <v>Muita barata</v>
      </c>
      <c r="ES250" s="17" t="str">
        <f>IF(VLOOKUP(BQ250,Fundamentus!A:U,17,FALSE)&lt;0.1,"Fraco retorno",IF(VLOOKUP(BQ250,Fundamentus!A:U,17,FALSE)&gt;0.1,"Bom retorno","n/a"))</f>
        <v>Fraco retorno</v>
      </c>
      <c r="ET250" s="17" t="str">
        <f>IF(VLOOKUP(BQ250,Fundamentus!A:U,16,FALSE)&lt;0.1,"Ineficiente",IF(VLOOKUP(BQ250,Fundamentus!A:U,16,FALSE)&gt;0.1,"Eficiente","n/a"))</f>
        <v>Ineficiente</v>
      </c>
      <c r="EU250" s="33" t="str">
        <f>IF(VLOOKUP(BQ250,Fundamentus!A:U,16,FALSE)&lt;0.1,"Oper. Ineficiente",IF(VLOOKUP(BQ250,Fundamentus!A:U,16,FALSE)&gt;0.1,"Oper.Eficiente","n/a"))</f>
        <v>Oper. Ineficiente</v>
      </c>
      <c r="EV250" s="34">
        <f>VLOOKUP(BQ250,Fundamentus!A:U,14,FALSE)</f>
        <v>-0.23669999999999999</v>
      </c>
      <c r="EW250" s="17" t="str">
        <f>IF(VLOOKUP(BQ250,Fundamentus!A:U,21,FALSE)&lt;0,"Negativo",IF(VLOOKUP(BQ250,Fundamentus!A:U,21,FALSE)&lt;0.05,"Fraco",IF(VLOOKUP(BQ250,Fundamentus!A:U,21,FALSE)&lt;0.1,"Bom",IF(VLOOKUP(BQ250,Fundamentus!A:U,21,FALSE)&gt;0.1,"Muito bom","n/a"))))</f>
        <v>Muito bom</v>
      </c>
      <c r="EY250" s="29" t="str">
        <f>IF(VLOOKUP(BQ250,Fundamentus!A:U,15,FALSE)&gt;1,"Bom",IF(VLOOKUP(BQ250,Fundamentus!A:U,15,FALSE)&lt;1,"Ruim","n/a"))</f>
        <v>Bom</v>
      </c>
      <c r="EZ250" s="17" t="str">
        <f>IF(VLOOKUP(BQ250,Fundamentus!A:U,20,FALSE)&lt;0.5,"Baixa",IF(VLOOKUP(BQ250,Fundamentus!A:U,20,FALSE)&lt;1,"Moderada",IF(VLOOKUP(BQ250,Fundamentus!A:U,20,FALSE)&lt;2,"Alerta",IF(VLOOKUP(BQ250,Fundamentus!A:U,20,FALSE)&gt;2,"Alta","n/a"))))</f>
        <v>Alta</v>
      </c>
    </row>
    <row r="251" spans="1:156" s="2" customFormat="1" ht="11.25" hidden="1" x14ac:dyDescent="0.2">
      <c r="A251" s="4">
        <v>22.31</v>
      </c>
      <c r="B251" s="4">
        <v>19.52</v>
      </c>
      <c r="C251" s="4">
        <v>19.8</v>
      </c>
      <c r="D251" s="4">
        <v>19.2</v>
      </c>
      <c r="E251" s="4">
        <v>19</v>
      </c>
      <c r="F251" s="4">
        <v>17.86</v>
      </c>
      <c r="G251" s="4">
        <v>18.739999999999998</v>
      </c>
      <c r="H251" s="4">
        <v>18.329999999999998</v>
      </c>
      <c r="I251" s="4">
        <v>18.12</v>
      </c>
      <c r="J251" s="4">
        <v>18.45</v>
      </c>
      <c r="K251" s="4">
        <v>19.440000000000001</v>
      </c>
      <c r="L251" s="4">
        <v>18.260000000000002</v>
      </c>
      <c r="M251" s="4">
        <v>18.13</v>
      </c>
      <c r="N251" s="4">
        <v>16.97</v>
      </c>
      <c r="O251" s="4">
        <v>17.72</v>
      </c>
      <c r="P251" s="4">
        <v>17.7</v>
      </c>
      <c r="Q251" s="4">
        <v>17.649999999999999</v>
      </c>
      <c r="R251" s="4">
        <v>17.920000000000002</v>
      </c>
      <c r="S251" s="4">
        <v>18.98</v>
      </c>
      <c r="T251" s="4">
        <v>18.920000000000002</v>
      </c>
      <c r="U251" s="4">
        <v>18.829999999999998</v>
      </c>
      <c r="V251" s="4">
        <v>20.29</v>
      </c>
      <c r="W251" s="4">
        <v>19.690000000000001</v>
      </c>
      <c r="X251" s="4">
        <v>18.36</v>
      </c>
      <c r="Y251" s="4">
        <v>17.61</v>
      </c>
      <c r="Z251" s="4">
        <v>17.02</v>
      </c>
      <c r="AA251" s="4">
        <v>17.07</v>
      </c>
      <c r="AB251" s="4">
        <v>15.79</v>
      </c>
      <c r="AC251" s="4">
        <v>15.2</v>
      </c>
      <c r="AD251" s="4">
        <v>15.51</v>
      </c>
      <c r="AE251" s="4">
        <v>15.26</v>
      </c>
      <c r="AF251" s="4">
        <v>15</v>
      </c>
      <c r="AG251" s="4">
        <v>13.28</v>
      </c>
      <c r="AH251" s="4">
        <v>12.53</v>
      </c>
      <c r="AI251" s="4">
        <v>12.35</v>
      </c>
      <c r="AJ251" s="4">
        <v>12.08</v>
      </c>
      <c r="AK251" s="4">
        <v>11.5</v>
      </c>
      <c r="AL251" s="4">
        <v>12.69</v>
      </c>
      <c r="AM251" s="4">
        <v>14.29</v>
      </c>
      <c r="AN251" s="4">
        <v>13.28</v>
      </c>
      <c r="AO251" s="4">
        <v>13.28</v>
      </c>
      <c r="AP251" s="4">
        <v>12.9</v>
      </c>
      <c r="AQ251" s="4">
        <v>12.82</v>
      </c>
      <c r="AR251" s="4">
        <v>10.86</v>
      </c>
      <c r="AS251" s="4">
        <v>10.8</v>
      </c>
      <c r="AT251" s="4">
        <v>11.19</v>
      </c>
      <c r="AU251" s="4">
        <v>11.01</v>
      </c>
      <c r="AV251" s="4">
        <v>11.8</v>
      </c>
      <c r="AW251" s="4">
        <v>10.35</v>
      </c>
      <c r="AX251" s="4">
        <v>10.43</v>
      </c>
      <c r="AY251" s="12">
        <v>10.31</v>
      </c>
      <c r="AZ251" s="12">
        <v>11.36</v>
      </c>
      <c r="BA251" s="12">
        <v>10.8</v>
      </c>
      <c r="BB251" s="15">
        <v>11.18</v>
      </c>
      <c r="BC251" s="52">
        <v>10.65</v>
      </c>
      <c r="BD251" s="52">
        <v>10.99</v>
      </c>
      <c r="BE251" s="52">
        <v>11.65</v>
      </c>
      <c r="BF251" s="52">
        <v>10.97</v>
      </c>
      <c r="BG251" s="67">
        <v>11.01</v>
      </c>
      <c r="BH251" s="52">
        <v>10.4</v>
      </c>
      <c r="BI251" s="52">
        <v>9.5</v>
      </c>
      <c r="BJ251" s="52">
        <v>9.8000000000000007</v>
      </c>
      <c r="BK251" s="52">
        <v>10.02</v>
      </c>
      <c r="BL251" s="52">
        <v>9</v>
      </c>
      <c r="BM251" s="52">
        <v>9.32</v>
      </c>
      <c r="BN251" s="52">
        <v>8.91</v>
      </c>
      <c r="BO251" s="52">
        <v>9.26</v>
      </c>
      <c r="BP251" s="52" cm="1">
        <f t="array" aca="1" ref="BP251" ca="1">_FV(ED251,"Preço")</f>
        <v>8.57</v>
      </c>
      <c r="BQ251" s="69" t="s">
        <v>247</v>
      </c>
      <c r="BR251" s="36" cm="1">
        <f t="array" aca="1" ref="BR251" ca="1">_FV(ED251,"Média de volume",TRUE)</f>
        <v>4577240</v>
      </c>
      <c r="BS251" s="36">
        <v>31700</v>
      </c>
      <c r="BT251" s="36" cm="1">
        <f t="array" aca="1" ref="BT251" ca="1">_FV(ED251,"Volume")</f>
        <v>19100</v>
      </c>
      <c r="BU251" s="24" cm="1">
        <f t="array" aca="1" ref="BU251" ca="1">_FV(ED251,"Beta")</f>
        <v>1.0592999999999999</v>
      </c>
      <c r="BV251" s="71" cm="1">
        <f t="array" aca="1" ref="BV251" ca="1">_FV(ED251,"Variação (%)",TRUE)</f>
        <v>-2.0571000000000002E-2</v>
      </c>
      <c r="BX251" s="17" cm="1">
        <f t="array" aca="1" ref="BX251" ca="1">_FV(ED251,"Baixo")</f>
        <v>8.5</v>
      </c>
      <c r="BY251" s="17" cm="1">
        <f t="array" aca="1" ref="BY251" ca="1">_FV(ED251,"Alto")</f>
        <v>8.74</v>
      </c>
      <c r="BZ251" s="24"/>
      <c r="CA251" s="63">
        <f ca="1">SQRT(22.5*(BP251/VLOOKUP(BQ251,Fundamentus!A:U,3,FALSE))*(BP251/VLOOKUP(BQ251,Fundamentus!A:U,4,FALSE)))</f>
        <v>34.873401660316851</v>
      </c>
      <c r="CC251" s="62">
        <f t="shared" ca="1" si="241"/>
        <v>-7.4514038876889802E-2</v>
      </c>
      <c r="CD251" s="8"/>
      <c r="CE251" s="61">
        <f t="shared" si="242"/>
        <v>8.91</v>
      </c>
      <c r="CF251" s="61">
        <f t="shared" si="243"/>
        <v>22.31</v>
      </c>
      <c r="CG251" s="61">
        <f t="shared" si="244"/>
        <v>14.495820895522385</v>
      </c>
      <c r="CH251" s="14"/>
      <c r="CI251" s="35">
        <f t="shared" si="227"/>
        <v>8.4339852754268723</v>
      </c>
      <c r="CJ251" s="15">
        <f t="shared" si="245"/>
        <v>9.214999999999975</v>
      </c>
      <c r="CK251" s="35">
        <f t="shared" si="228"/>
        <v>9.9960147245730777</v>
      </c>
      <c r="CM251" s="14"/>
      <c r="CN251" s="17">
        <f t="shared" si="229"/>
        <v>-8.7233333333333327</v>
      </c>
      <c r="CO251" s="17">
        <f t="shared" si="230"/>
        <v>9.3333333333333712E-2</v>
      </c>
      <c r="CP251" s="17">
        <f t="shared" si="231"/>
        <v>4.6766666666666659</v>
      </c>
      <c r="CQ251" s="38">
        <f t="shared" si="246"/>
        <v>13.493333333333332</v>
      </c>
      <c r="CR251" s="17">
        <f t="shared" si="232"/>
        <v>18.076666666666664</v>
      </c>
      <c r="CS251" s="17">
        <f t="shared" si="233"/>
        <v>26.893333333333331</v>
      </c>
      <c r="CT251" s="17">
        <f t="shared" si="234"/>
        <v>31.476666666666663</v>
      </c>
      <c r="CU251" s="2" cm="1">
        <f t="array" aca="1" ref="CU251" ca="1">MAX(_xlfn._xlws.FILTER(CN251:CT251,CN251:CT251&lt;BP251))</f>
        <v>4.6766666666666659</v>
      </c>
      <c r="CV251" s="2" cm="1">
        <f t="array" aca="1" ref="CV251" ca="1">MIN(_xlfn._xlws.FILTER($CN251:$CT251,$CN251:$CT251&gt;BP251))</f>
        <v>13.493333333333332</v>
      </c>
      <c r="CW251" s="16">
        <f t="shared" ca="1" si="248"/>
        <v>1.8852459016393444</v>
      </c>
      <c r="CX251" s="20">
        <f t="shared" ca="1" si="249"/>
        <v>-0.94262295081967218</v>
      </c>
      <c r="CY251" s="20">
        <f t="shared" ca="1" si="250"/>
        <v>-0.62841530054644812</v>
      </c>
      <c r="CZ251" s="20">
        <f t="shared" ca="1" si="251"/>
        <v>-0.37704918032786888</v>
      </c>
      <c r="DA251" s="20">
        <f t="shared" ca="1" si="252"/>
        <v>-0.20947176684881605</v>
      </c>
      <c r="DB251" s="20">
        <f t="shared" ca="1" si="253"/>
        <v>-0.11089681774349085</v>
      </c>
      <c r="DC251" s="20">
        <f t="shared" ca="1" si="254"/>
        <v>-5.7128663686040741E-2</v>
      </c>
      <c r="DD251" s="20">
        <f t="shared" ca="1" si="255"/>
        <v>-2.900378310214376E-2</v>
      </c>
      <c r="DE251" s="21">
        <f t="shared" ca="1" si="256"/>
        <v>2.900378310214376E-2</v>
      </c>
      <c r="DF251" s="21">
        <f t="shared" ca="1" si="257"/>
        <v>5.7128663686040741E-2</v>
      </c>
      <c r="DG251" s="21">
        <f t="shared" ca="1" si="258"/>
        <v>0.11089681774349085</v>
      </c>
      <c r="DH251" s="21">
        <f t="shared" ca="1" si="259"/>
        <v>0.20947176684881605</v>
      </c>
      <c r="DI251" s="21">
        <f t="shared" ca="1" si="260"/>
        <v>0.37704918032786888</v>
      </c>
      <c r="DJ251" s="21">
        <f t="shared" ca="1" si="261"/>
        <v>0.62841530054644812</v>
      </c>
      <c r="DK251" s="21">
        <f t="shared" ca="1" si="262"/>
        <v>0.94262295081967218</v>
      </c>
      <c r="DM251" s="16" cm="1">
        <f t="array" aca="1" ref="DM251" ca="1">MAX(_xlfn._xlws.FILTER(CX251:DK251,CX251:DK251&lt;BV251))</f>
        <v>-2.900378310214376E-2</v>
      </c>
      <c r="DN251" s="16" cm="1">
        <f t="array" aca="1" ref="DN251" ca="1">MIN(_xlfn._xlws.FILTER(CX251:DK251,CX251:DK251&gt;BV251))</f>
        <v>2.900378310214376E-2</v>
      </c>
      <c r="DO251" s="2" cm="1">
        <f t="array" aca="1" ref="DO251" ca="1">_FV(ED251,"Fechamento anterior",TRUE)</f>
        <v>8.75</v>
      </c>
      <c r="DP251" s="28">
        <f t="shared" ca="1" si="235"/>
        <v>0.14536645962733083</v>
      </c>
      <c r="DQ251" s="15">
        <f t="shared" ca="1" si="263"/>
        <v>8.4962168978562413</v>
      </c>
      <c r="DR251" s="15">
        <f t="shared" ca="1" si="264"/>
        <v>9.0037831021437587</v>
      </c>
      <c r="DS251" s="9"/>
      <c r="DT251" s="9"/>
      <c r="DU251" s="9"/>
      <c r="DV251" s="89">
        <v>5.8007566204287521E-2</v>
      </c>
      <c r="DW251" s="89">
        <f t="shared" ca="1" si="236"/>
        <v>5.8007566204287521E-2</v>
      </c>
      <c r="DX251" s="72">
        <f t="shared" ca="1" si="237"/>
        <v>-0.82584870644087693</v>
      </c>
      <c r="DY251" s="37"/>
      <c r="DZ251" s="35">
        <f t="shared" si="247"/>
        <v>0.39050736228655131</v>
      </c>
      <c r="EA251" s="56"/>
      <c r="EB251" s="56"/>
      <c r="ED251" s="2" t="e" vm="253">
        <v>#VALUE!</v>
      </c>
      <c r="EF251" s="10" cm="1">
        <f t="array" aca="1" ref="EF251" ca="1">_FV(ED251,"Ações em circulação",TRUE)</f>
        <v>797207800</v>
      </c>
      <c r="EG251" s="18">
        <f>VLOOKUP(BQ251,Fundamentus!A:U,5,FALSE)</f>
        <v>9.1999999999999998E-2</v>
      </c>
      <c r="EH251" s="2">
        <f t="shared" ca="1" si="238"/>
        <v>74261639630.434784</v>
      </c>
      <c r="EI251" s="17">
        <v>-10190568662.565218</v>
      </c>
      <c r="EJ251" s="17">
        <f t="shared" ca="1" si="239"/>
        <v>-9431228233.065218</v>
      </c>
      <c r="EL251" s="16">
        <f t="shared" ca="1" si="226"/>
        <v>-7.4514038876889899E-2</v>
      </c>
      <c r="EM251" s="32" t="str">
        <f>IF(VLOOKUP(BQ251,Fundamentus!A:U,3,FALSE)&lt;15,"Bom",IF(VLOOKUP(BQ251,Fundamentus!A:U,3,FALSE)&gt;15,"Ruim","n/a"))</f>
        <v>Bom</v>
      </c>
      <c r="EN251" s="28" t="str">
        <f>IF(VLOOKUP(BQ251,Fundamentus!A:U,4,FALSE)&lt;1,"Baixo",IF(VLOOKUP(BQ251,Fundamentus!A:U,4,FALSE)&lt;1.5,"Moderado",IF(VLOOKUP(BQ251,Fundamentus!A:U,4,FALSE)&gt;1.5,"Alto","n/a")))</f>
        <v>Baixo</v>
      </c>
      <c r="EO251" s="17" t="str">
        <f>IF(VLOOKUP(BQ251,Fundamentus!A:U,8,FALSE)&lt;0,"Risco elevado",IF(VLOOKUP(BQ251,Fundamentus!A:U,8,FALSE)&lt;1,"Saudável",IF(VLOOKUP(BQ251,Fundamentus!A:U,8,FALSE)&lt;3,"Estável",IF(VLOOKUP(BQ251,Fundamentus!A:U,8,FALSE)&gt;3,"Alerta","n/a"))))</f>
        <v>Saudável</v>
      </c>
      <c r="EP251" s="28" t="str">
        <f t="shared" si="240"/>
        <v>Ruim</v>
      </c>
      <c r="EQ251" s="17" t="str">
        <f>IF(VLOOKUP(BQ251,Fundamentus!A:U,12,FALSE)&lt;2,"Subvalorizada",IF(VLOOKUP(BQ251,Fundamentus!A:U,12,FALSE)&lt;6,"Muita barata",IF(VLOOKUP(BQ251,Fundamentus!A:U,12,FALSE)&lt;6,"Barata",IF(VLOOKUP(BQ251,Fundamentus!A:U,12,FALSE)&lt;8,"Atrativa",IF(VLOOKUP(BQ251,Fundamentus!A:U,12,FALSE)&gt;8,"Supervalorizada","n/a")))))</f>
        <v>Atrativa</v>
      </c>
      <c r="ES251" s="17" t="str">
        <f>IF(VLOOKUP(BQ251,Fundamentus!A:U,17,FALSE)&lt;0.1,"Fraco retorno",IF(VLOOKUP(BQ251,Fundamentus!A:U,17,FALSE)&gt;0.1,"Bom retorno","n/a"))</f>
        <v>Bom retorno</v>
      </c>
      <c r="ET251" s="17" t="str">
        <f>IF(VLOOKUP(BQ251,Fundamentus!A:U,16,FALSE)&lt;0.1,"Ineficiente",IF(VLOOKUP(BQ251,Fundamentus!A:U,16,FALSE)&gt;0.1,"Eficiente","n/a"))</f>
        <v>Ineficiente</v>
      </c>
      <c r="EU251" s="33" t="str">
        <f>IF(VLOOKUP(BQ251,Fundamentus!A:U,16,FALSE)&lt;0.1,"Oper. Ineficiente",IF(VLOOKUP(BQ251,Fundamentus!A:U,16,FALSE)&gt;0.1,"Oper.Eficiente","n/a"))</f>
        <v>Oper. Ineficiente</v>
      </c>
      <c r="EV251" s="34">
        <f>VLOOKUP(BQ251,Fundamentus!A:U,14,FALSE)</f>
        <v>-0.127</v>
      </c>
      <c r="EW251" s="17" t="str">
        <f>IF(VLOOKUP(BQ251,Fundamentus!A:U,21,FALSE)&lt;0,"Negativo",IF(VLOOKUP(BQ251,Fundamentus!A:U,21,FALSE)&lt;0.05,"Fraco",IF(VLOOKUP(BQ251,Fundamentus!A:U,21,FALSE)&lt;0.1,"Bom",IF(VLOOKUP(BQ251,Fundamentus!A:U,21,FALSE)&gt;0.1,"Muito bom","n/a"))))</f>
        <v>Negativo</v>
      </c>
      <c r="EY251" s="29" t="str">
        <f>IF(VLOOKUP(BQ251,Fundamentus!A:U,15,FALSE)&gt;1,"Bom",IF(VLOOKUP(BQ251,Fundamentus!A:U,15,FALSE)&lt;1,"Ruim","n/a"))</f>
        <v>Bom</v>
      </c>
      <c r="EZ251" s="17" t="str">
        <f>IF(VLOOKUP(BQ251,Fundamentus!A:U,20,FALSE)&lt;0.5,"Baixa",IF(VLOOKUP(BQ251,Fundamentus!A:U,20,FALSE)&lt;1,"Moderada",IF(VLOOKUP(BQ251,Fundamentus!A:U,20,FALSE)&lt;2,"Alerta",IF(VLOOKUP(BQ251,Fundamentus!A:U,20,FALSE)&gt;2,"Alta","n/a"))))</f>
        <v>Baixa</v>
      </c>
    </row>
    <row r="252" spans="1:156" s="2" customFormat="1" ht="11.25" hidden="1" x14ac:dyDescent="0.2">
      <c r="A252" s="4">
        <v>2.5499999999999998</v>
      </c>
      <c r="B252" s="4">
        <v>1.98</v>
      </c>
      <c r="C252" s="4">
        <v>2</v>
      </c>
      <c r="D252" s="4">
        <v>1.93</v>
      </c>
      <c r="E252" s="4">
        <v>1.8</v>
      </c>
      <c r="F252" s="4">
        <v>1.7</v>
      </c>
      <c r="G252" s="4">
        <v>1.56</v>
      </c>
      <c r="H252" s="4">
        <v>1.52</v>
      </c>
      <c r="I252" s="4">
        <v>1.48</v>
      </c>
      <c r="J252" s="4">
        <v>1.65</v>
      </c>
      <c r="K252" s="4">
        <v>1.7</v>
      </c>
      <c r="L252" s="4">
        <v>1.62</v>
      </c>
      <c r="M252" s="4">
        <v>1.54</v>
      </c>
      <c r="N252" s="4">
        <v>1.53</v>
      </c>
      <c r="O252" s="4">
        <v>1.32</v>
      </c>
      <c r="P252" s="4">
        <v>1.23</v>
      </c>
      <c r="Q252" s="4">
        <v>1.2</v>
      </c>
      <c r="R252" s="4">
        <v>1.0900000000000001</v>
      </c>
      <c r="S252" s="4">
        <v>0.98</v>
      </c>
      <c r="T252" s="4">
        <v>0.96</v>
      </c>
      <c r="U252" s="4">
        <v>1.01</v>
      </c>
      <c r="V252" s="4">
        <v>1.05</v>
      </c>
      <c r="W252" s="4">
        <v>0.98</v>
      </c>
      <c r="X252" s="4">
        <v>0.95</v>
      </c>
      <c r="Y252" s="4">
        <v>0.96</v>
      </c>
      <c r="Z252" s="4">
        <v>0.93</v>
      </c>
      <c r="AA252" s="4">
        <v>0.9</v>
      </c>
      <c r="AB252" s="4">
        <v>0.89</v>
      </c>
      <c r="AC252" s="4">
        <v>0.84</v>
      </c>
      <c r="AD252" s="4">
        <v>0.76</v>
      </c>
      <c r="AE252" s="4">
        <v>0.8</v>
      </c>
      <c r="AF252" s="4">
        <v>0.71</v>
      </c>
      <c r="AG252" s="4">
        <v>0.72</v>
      </c>
      <c r="AH252" s="4">
        <v>0.69</v>
      </c>
      <c r="AI252" s="4">
        <v>0.68</v>
      </c>
      <c r="AJ252" s="4">
        <v>0.71</v>
      </c>
      <c r="AK252" s="4">
        <v>0.76</v>
      </c>
      <c r="AL252" s="4">
        <v>0.75</v>
      </c>
      <c r="AM252" s="4">
        <v>0.72</v>
      </c>
      <c r="AN252" s="4">
        <v>0.74</v>
      </c>
      <c r="AO252" s="4">
        <v>0.71</v>
      </c>
      <c r="AP252" s="4">
        <v>0.71</v>
      </c>
      <c r="AQ252" s="4">
        <v>0.7</v>
      </c>
      <c r="AR252" s="4">
        <v>0.77</v>
      </c>
      <c r="AS252" s="4">
        <v>0.73</v>
      </c>
      <c r="AT252" s="4">
        <v>0.72</v>
      </c>
      <c r="AU252" s="4">
        <v>0.75</v>
      </c>
      <c r="AV252" s="4">
        <v>0.68</v>
      </c>
      <c r="AW252" s="4">
        <v>0.66</v>
      </c>
      <c r="AX252" s="4">
        <v>0.63</v>
      </c>
      <c r="AY252" s="12">
        <v>0.64</v>
      </c>
      <c r="AZ252" s="12">
        <v>0.67</v>
      </c>
      <c r="BA252" s="12">
        <v>0.67</v>
      </c>
      <c r="BB252" s="15">
        <v>0.72</v>
      </c>
      <c r="BC252" s="52">
        <v>0.74</v>
      </c>
      <c r="BD252" s="52">
        <v>0.7</v>
      </c>
      <c r="BE252" s="52">
        <v>7</v>
      </c>
      <c r="BF252" s="52">
        <v>6.41</v>
      </c>
      <c r="BG252" s="67">
        <v>6.5</v>
      </c>
      <c r="BH252" s="52">
        <v>6.7</v>
      </c>
      <c r="BI252" s="52">
        <v>6.44</v>
      </c>
      <c r="BJ252" s="52">
        <v>6.74</v>
      </c>
      <c r="BK252" s="52">
        <v>6.44</v>
      </c>
      <c r="BL252" s="52">
        <v>6.66</v>
      </c>
      <c r="BM252" s="52">
        <v>6.43</v>
      </c>
      <c r="BN252" s="52">
        <v>6.31</v>
      </c>
      <c r="BO252" s="52">
        <v>6.41</v>
      </c>
      <c r="BP252" s="52" cm="1">
        <f t="array" aca="1" ref="BP252" ca="1">_FV(ED252,"Preço")</f>
        <v>6.22</v>
      </c>
      <c r="BQ252" s="69" t="s">
        <v>248</v>
      </c>
      <c r="BR252" s="36" cm="1">
        <f t="array" aca="1" ref="BR252" ca="1">_FV(ED252,"Média de volume",TRUE)</f>
        <v>21170</v>
      </c>
      <c r="BS252" s="36">
        <v>19600</v>
      </c>
      <c r="BT252" s="36" cm="1">
        <f t="array" aca="1" ref="BT252" ca="1">_FV(ED252,"Volume")</f>
        <v>40800</v>
      </c>
      <c r="BU252" s="24" cm="1">
        <f t="array" aca="1" ref="BU252" ca="1">_FV(ED252,"Beta")</f>
        <v>1.8861000000000001</v>
      </c>
      <c r="BV252" s="71" cm="1">
        <f t="array" aca="1" ref="BV252" ca="1">_FV(ED252,"Variação (%)",TRUE)</f>
        <v>-1.1129E-2</v>
      </c>
      <c r="BX252" s="17" cm="1">
        <f t="array" aca="1" ref="BX252" ca="1">_FV(ED252,"Baixo")</f>
        <v>6.22</v>
      </c>
      <c r="BY252" s="17" cm="1">
        <f t="array" aca="1" ref="BY252" ca="1">_FV(ED252,"Alto")</f>
        <v>6.36</v>
      </c>
      <c r="BZ252" s="24"/>
      <c r="CA252" s="63" t="e">
        <f ca="1">SQRT(22.5*(BP252/VLOOKUP(BQ252,Fundamentus!A:U,3,FALSE))*(BP252/VLOOKUP(BQ252,Fundamentus!A:U,4,FALSE)))</f>
        <v>#NUM!</v>
      </c>
      <c r="CC252" s="62">
        <f t="shared" ca="1" si="241"/>
        <v>-2.9641185647425957E-2</v>
      </c>
      <c r="CD252" s="8"/>
      <c r="CE252" s="61">
        <f t="shared" si="242"/>
        <v>0.63</v>
      </c>
      <c r="CF252" s="61">
        <f t="shared" si="243"/>
        <v>7</v>
      </c>
      <c r="CG252" s="61">
        <f t="shared" si="244"/>
        <v>1.9571641791044776</v>
      </c>
      <c r="CH252" s="14"/>
      <c r="CI252" s="35">
        <f t="shared" si="227"/>
        <v>6.0055659136048138</v>
      </c>
      <c r="CJ252" s="15">
        <f t="shared" si="245"/>
        <v>6.2350000000000136</v>
      </c>
      <c r="CK252" s="35">
        <f t="shared" si="228"/>
        <v>6.4644340863952134</v>
      </c>
      <c r="CM252" s="14"/>
      <c r="CN252" s="17">
        <f t="shared" si="229"/>
        <v>-4.0100000000000007</v>
      </c>
      <c r="CO252" s="17">
        <f t="shared" si="230"/>
        <v>-1.6900000000000004</v>
      </c>
      <c r="CP252" s="17">
        <f t="shared" si="231"/>
        <v>2.3599999999999994</v>
      </c>
      <c r="CQ252" s="38">
        <f t="shared" si="246"/>
        <v>4.68</v>
      </c>
      <c r="CR252" s="17">
        <f t="shared" si="232"/>
        <v>8.7299999999999986</v>
      </c>
      <c r="CS252" s="17">
        <f t="shared" si="233"/>
        <v>11.05</v>
      </c>
      <c r="CT252" s="17">
        <f t="shared" si="234"/>
        <v>15.1</v>
      </c>
      <c r="CU252" s="2" cm="1">
        <f t="array" aca="1" ref="CU252" ca="1">MAX(_xlfn._xlws.FILTER(CN252:CT252,CN252:CT252&lt;BP252))</f>
        <v>4.68</v>
      </c>
      <c r="CV252" s="2" cm="1">
        <f t="array" aca="1" ref="CV252" ca="1">MIN(_xlfn._xlws.FILTER($CN252:$CT252,$CN252:$CT252&gt;BP252))</f>
        <v>8.7299999999999986</v>
      </c>
      <c r="CW252" s="16">
        <f t="shared" ca="1" si="248"/>
        <v>0.8653846153846152</v>
      </c>
      <c r="CX252" s="20">
        <f t="shared" ca="1" si="249"/>
        <v>-0.4326923076923076</v>
      </c>
      <c r="CY252" s="20">
        <f t="shared" ca="1" si="250"/>
        <v>-0.28846153846153838</v>
      </c>
      <c r="CZ252" s="20">
        <f t="shared" ca="1" si="251"/>
        <v>-0.17307692307692304</v>
      </c>
      <c r="DA252" s="20">
        <f t="shared" ca="1" si="252"/>
        <v>-9.6153846153846131E-2</v>
      </c>
      <c r="DB252" s="20">
        <f t="shared" ca="1" si="253"/>
        <v>-5.0904977375565597E-2</v>
      </c>
      <c r="DC252" s="20">
        <f t="shared" ca="1" si="254"/>
        <v>-2.6223776223776217E-2</v>
      </c>
      <c r="DD252" s="20">
        <f t="shared" ca="1" si="255"/>
        <v>-1.3313609467455618E-2</v>
      </c>
      <c r="DE252" s="21">
        <f t="shared" ca="1" si="256"/>
        <v>1.3313609467455618E-2</v>
      </c>
      <c r="DF252" s="21">
        <f t="shared" ca="1" si="257"/>
        <v>2.6223776223776217E-2</v>
      </c>
      <c r="DG252" s="21">
        <f t="shared" ca="1" si="258"/>
        <v>5.0904977375565597E-2</v>
      </c>
      <c r="DH252" s="21">
        <f t="shared" ca="1" si="259"/>
        <v>9.6153846153846131E-2</v>
      </c>
      <c r="DI252" s="21">
        <f t="shared" ca="1" si="260"/>
        <v>0.17307692307692304</v>
      </c>
      <c r="DJ252" s="21">
        <f t="shared" ca="1" si="261"/>
        <v>0.28846153846153838</v>
      </c>
      <c r="DK252" s="21">
        <f t="shared" ca="1" si="262"/>
        <v>0.4326923076923076</v>
      </c>
      <c r="DM252" s="16" cm="1">
        <f t="array" aca="1" ref="DM252" ca="1">MAX(_xlfn._xlws.FILTER(CX252:DK252,CX252:DK252&lt;BV252))</f>
        <v>-1.3313609467455618E-2</v>
      </c>
      <c r="DN252" s="16" cm="1">
        <f t="array" aca="1" ref="DN252" ca="1">MIN(_xlfn._xlws.FILTER(CX252:DK252,CX252:DK252&gt;BV252))</f>
        <v>1.3313609467455618E-2</v>
      </c>
      <c r="DO252" s="2" cm="1">
        <f t="array" aca="1" ref="DO252" ca="1">_FV(ED252,"Fechamento anterior",TRUE)</f>
        <v>6.29</v>
      </c>
      <c r="DP252" s="28">
        <f t="shared" ca="1" si="235"/>
        <v>8.2052640876169036E-2</v>
      </c>
      <c r="DQ252" s="15">
        <f t="shared" ca="1" si="263"/>
        <v>6.2062573964497041</v>
      </c>
      <c r="DR252" s="15">
        <f t="shared" ca="1" si="264"/>
        <v>6.373742603550296</v>
      </c>
      <c r="DS252" s="9"/>
      <c r="DT252" s="9"/>
      <c r="DU252" s="9"/>
      <c r="DV252" s="89">
        <v>2.6627218934911236E-2</v>
      </c>
      <c r="DW252" s="89">
        <f t="shared" ca="1" si="236"/>
        <v>2.6627218934911236E-2</v>
      </c>
      <c r="DX252" s="72">
        <f t="shared" ca="1" si="237"/>
        <v>-6.5378254102036168E-2</v>
      </c>
      <c r="DY252" s="37"/>
      <c r="DZ252" s="35">
        <f t="shared" si="247"/>
        <v>0.11471704319760004</v>
      </c>
      <c r="EA252" s="56"/>
      <c r="EB252" s="56"/>
      <c r="ED252" s="2" t="e" vm="254">
        <v>#VALUE!</v>
      </c>
      <c r="EF252" s="10" cm="1">
        <f t="array" aca="1" ref="EF252" ca="1">_FV(ED252,"Ações em circulação",TRUE)</f>
        <v>67412640</v>
      </c>
      <c r="EG252" s="18">
        <f>VLOOKUP(BQ252,Fundamentus!A:U,5,FALSE)</f>
        <v>0.29199999999999998</v>
      </c>
      <c r="EH252" s="2">
        <f t="shared" ca="1" si="238"/>
        <v>1435981578.0821919</v>
      </c>
      <c r="EI252" s="17">
        <v>-738887091.38465774</v>
      </c>
      <c r="EJ252" s="17">
        <f t="shared" ca="1" si="239"/>
        <v>-716985601.93643844</v>
      </c>
      <c r="EL252" s="16">
        <f t="shared" ca="1" si="226"/>
        <v>-2.9641185647426016E-2</v>
      </c>
      <c r="EM252" s="32" t="str">
        <f>IF(VLOOKUP(BQ252,Fundamentus!A:U,3,FALSE)&lt;15,"Bom",IF(VLOOKUP(BQ252,Fundamentus!A:U,3,FALSE)&gt;15,"Ruim","n/a"))</f>
        <v>Bom</v>
      </c>
      <c r="EN252" s="28" t="str">
        <f>IF(VLOOKUP(BQ252,Fundamentus!A:U,4,FALSE)&lt;1,"Baixo",IF(VLOOKUP(BQ252,Fundamentus!A:U,4,FALSE)&lt;1.5,"Moderado",IF(VLOOKUP(BQ252,Fundamentus!A:U,4,FALSE)&gt;1.5,"Alto","n/a")))</f>
        <v>Baixo</v>
      </c>
      <c r="EO252" s="17" t="str">
        <f>IF(VLOOKUP(BQ252,Fundamentus!A:U,8,FALSE)&lt;0,"Risco elevado",IF(VLOOKUP(BQ252,Fundamentus!A:U,8,FALSE)&lt;1,"Saudável",IF(VLOOKUP(BQ252,Fundamentus!A:U,8,FALSE)&lt;3,"Estável",IF(VLOOKUP(BQ252,Fundamentus!A:U,8,FALSE)&gt;3,"Alerta","n/a"))))</f>
        <v>Saudável</v>
      </c>
      <c r="EP252" s="28" t="str">
        <f t="shared" si="240"/>
        <v>Ruim</v>
      </c>
      <c r="EQ252" s="17" t="str">
        <f>IF(VLOOKUP(BQ252,Fundamentus!A:U,12,FALSE)&lt;2,"Subvalorizada",IF(VLOOKUP(BQ252,Fundamentus!A:U,12,FALSE)&lt;6,"Muita barata",IF(VLOOKUP(BQ252,Fundamentus!A:U,12,FALSE)&lt;6,"Barata",IF(VLOOKUP(BQ252,Fundamentus!A:U,12,FALSE)&lt;8,"Atrativa",IF(VLOOKUP(BQ252,Fundamentus!A:U,12,FALSE)&gt;8,"Supervalorizada","n/a")))))</f>
        <v>Subvalorizada</v>
      </c>
      <c r="ES252" s="17" t="str">
        <f>IF(VLOOKUP(BQ252,Fundamentus!A:U,17,FALSE)&lt;0.1,"Fraco retorno",IF(VLOOKUP(BQ252,Fundamentus!A:U,17,FALSE)&gt;0.1,"Bom retorno","n/a"))</f>
        <v>Fraco retorno</v>
      </c>
      <c r="ET252" s="17" t="str">
        <f>IF(VLOOKUP(BQ252,Fundamentus!A:U,16,FALSE)&lt;0.1,"Ineficiente",IF(VLOOKUP(BQ252,Fundamentus!A:U,16,FALSE)&gt;0.1,"Eficiente","n/a"))</f>
        <v>Ineficiente</v>
      </c>
      <c r="EU252" s="33" t="str">
        <f>IF(VLOOKUP(BQ252,Fundamentus!A:U,16,FALSE)&lt;0.1,"Oper. Ineficiente",IF(VLOOKUP(BQ252,Fundamentus!A:U,16,FALSE)&gt;0.1,"Oper.Eficiente","n/a"))</f>
        <v>Oper. Ineficiente</v>
      </c>
      <c r="EV252" s="34">
        <f>VLOOKUP(BQ252,Fundamentus!A:U,14,FALSE)</f>
        <v>-0.49930000000000002</v>
      </c>
      <c r="EW252" s="17" t="str">
        <f>IF(VLOOKUP(BQ252,Fundamentus!A:U,21,FALSE)&lt;0,"Negativo",IF(VLOOKUP(BQ252,Fundamentus!A:U,21,FALSE)&lt;0.05,"Fraco",IF(VLOOKUP(BQ252,Fundamentus!A:U,21,FALSE)&lt;0.1,"Bom",IF(VLOOKUP(BQ252,Fundamentus!A:U,21,FALSE)&gt;0.1,"Muito bom","n/a"))))</f>
        <v>Muito bom</v>
      </c>
      <c r="EY252" s="29" t="str">
        <f>IF(VLOOKUP(BQ252,Fundamentus!A:U,15,FALSE)&gt;1,"Bom",IF(VLOOKUP(BQ252,Fundamentus!A:U,15,FALSE)&lt;1,"Ruim","n/a"))</f>
        <v>Bom</v>
      </c>
      <c r="EZ252" s="17" t="str">
        <f>IF(VLOOKUP(BQ252,Fundamentus!A:U,20,FALSE)&lt;0.5,"Baixa",IF(VLOOKUP(BQ252,Fundamentus!A:U,20,FALSE)&lt;1,"Moderada",IF(VLOOKUP(BQ252,Fundamentus!A:U,20,FALSE)&lt;2,"Alerta",IF(VLOOKUP(BQ252,Fundamentus!A:U,20,FALSE)&gt;2,"Alta","n/a"))))</f>
        <v>Moderada</v>
      </c>
    </row>
    <row r="253" spans="1:156" s="2" customFormat="1" ht="11.25" hidden="1" x14ac:dyDescent="0.2">
      <c r="A253" s="4">
        <v>1.49</v>
      </c>
      <c r="B253" s="4">
        <v>1.36</v>
      </c>
      <c r="C253" s="4">
        <v>1.38</v>
      </c>
      <c r="D253" s="4">
        <v>1.31</v>
      </c>
      <c r="E253" s="4">
        <v>1.24</v>
      </c>
      <c r="F253" s="4">
        <v>1.23</v>
      </c>
      <c r="G253" s="4">
        <v>1.28</v>
      </c>
      <c r="H253" s="4">
        <v>1.42</v>
      </c>
      <c r="I253" s="4">
        <v>1.59</v>
      </c>
      <c r="J253" s="4">
        <v>1.62</v>
      </c>
      <c r="K253" s="4">
        <v>1.69</v>
      </c>
      <c r="L253" s="4">
        <v>1.59</v>
      </c>
      <c r="M253" s="4">
        <v>1.43</v>
      </c>
      <c r="N253" s="4">
        <v>1.45</v>
      </c>
      <c r="O253" s="4">
        <v>1.53</v>
      </c>
      <c r="P253" s="4">
        <v>1.46</v>
      </c>
      <c r="Q253" s="4">
        <v>1.46</v>
      </c>
      <c r="R253" s="4">
        <v>1.5</v>
      </c>
      <c r="S253" s="4">
        <v>1.41</v>
      </c>
      <c r="T253" s="4">
        <v>1.32</v>
      </c>
      <c r="U253" s="4">
        <v>1.19</v>
      </c>
      <c r="V253" s="4">
        <v>1.36</v>
      </c>
      <c r="W253" s="4">
        <v>1.28</v>
      </c>
      <c r="X253" s="4">
        <v>1.25</v>
      </c>
      <c r="Y253" s="4">
        <v>1.24</v>
      </c>
      <c r="Z253" s="4">
        <v>1.21</v>
      </c>
      <c r="AA253" s="4">
        <v>1.1299999999999999</v>
      </c>
      <c r="AB253" s="4">
        <v>1.1599999999999999</v>
      </c>
      <c r="AC253" s="4">
        <v>1.1599999999999999</v>
      </c>
      <c r="AD253" s="4">
        <v>1.06</v>
      </c>
      <c r="AE253" s="4">
        <v>0.91</v>
      </c>
      <c r="AF253" s="4">
        <v>0.81</v>
      </c>
      <c r="AG253" s="4">
        <v>1.02</v>
      </c>
      <c r="AH253" s="4">
        <v>1.03</v>
      </c>
      <c r="AI253" s="4">
        <v>1.05</v>
      </c>
      <c r="AJ253" s="4">
        <v>1.01</v>
      </c>
      <c r="AK253" s="4">
        <v>0.98</v>
      </c>
      <c r="AL253" s="4">
        <v>1.07</v>
      </c>
      <c r="AM253" s="4">
        <v>1.23</v>
      </c>
      <c r="AN253" s="4">
        <v>1.28</v>
      </c>
      <c r="AO253" s="4">
        <v>1.6</v>
      </c>
      <c r="AP253" s="4">
        <v>0.8</v>
      </c>
      <c r="AQ253" s="4">
        <v>0.92</v>
      </c>
      <c r="AR253" s="4">
        <v>1.1399999999999999</v>
      </c>
      <c r="AS253" s="4">
        <v>1.04</v>
      </c>
      <c r="AT253" s="4">
        <v>0.89</v>
      </c>
      <c r="AU253" s="4">
        <v>0.91</v>
      </c>
      <c r="AV253" s="4">
        <v>0.91</v>
      </c>
      <c r="AW253" s="4">
        <v>0.8</v>
      </c>
      <c r="AX253" s="4">
        <v>0.77</v>
      </c>
      <c r="AY253" s="12">
        <v>0.72</v>
      </c>
      <c r="AZ253" s="12">
        <v>0.7</v>
      </c>
      <c r="BA253" s="12">
        <v>0.67</v>
      </c>
      <c r="BB253" s="15">
        <v>0.74</v>
      </c>
      <c r="BC253" s="52">
        <v>0.71</v>
      </c>
      <c r="BD253" s="52">
        <v>0.59</v>
      </c>
      <c r="BE253" s="52">
        <v>0.56000000000000005</v>
      </c>
      <c r="BF253" s="52">
        <v>0.56999999999999995</v>
      </c>
      <c r="BG253" s="67">
        <v>0.5</v>
      </c>
      <c r="BH253" s="52">
        <v>0.46</v>
      </c>
      <c r="BI253" s="52">
        <v>0.46</v>
      </c>
      <c r="BJ253" s="52">
        <v>0.46</v>
      </c>
      <c r="BK253" s="52">
        <v>0.61</v>
      </c>
      <c r="BL253" s="52">
        <v>0.55000000000000004</v>
      </c>
      <c r="BM253" s="52">
        <v>0.52</v>
      </c>
      <c r="BN253" s="52">
        <v>0.54</v>
      </c>
      <c r="BO253" s="52">
        <v>0.53</v>
      </c>
      <c r="BP253" s="52" cm="1">
        <f t="array" aca="1" ref="BP253" ca="1">_FV(ED253,"Preço")</f>
        <v>0.55000000000000004</v>
      </c>
      <c r="BQ253" s="69" t="s">
        <v>249</v>
      </c>
      <c r="BR253" s="36" cm="1">
        <f t="array" aca="1" ref="BR253" ca="1">_FV(ED253,"Média de volume",TRUE)</f>
        <v>1519960</v>
      </c>
      <c r="BS253" s="36">
        <v>783300</v>
      </c>
      <c r="BT253" s="36" cm="1">
        <f t="array" aca="1" ref="BT253" ca="1">_FV(ED253,"Volume")</f>
        <v>2857700</v>
      </c>
      <c r="BU253" s="24" cm="1">
        <f t="array" aca="1" ref="BU253" ca="1">_FV(ED253,"Beta")</f>
        <v>1.0687</v>
      </c>
      <c r="BV253" s="71" cm="1">
        <f t="array" aca="1" ref="BV253" ca="1">_FV(ED253,"Variação (%)",TRUE)</f>
        <v>-8.333299999999999E-2</v>
      </c>
      <c r="BX253" s="17" cm="1">
        <f t="array" aca="1" ref="BX253" ca="1">_FV(ED253,"Baixo")</f>
        <v>0.55000000000000004</v>
      </c>
      <c r="BY253" s="17" cm="1">
        <f t="array" aca="1" ref="BY253" ca="1">_FV(ED253,"Alto")</f>
        <v>0.64</v>
      </c>
      <c r="BZ253" s="24"/>
      <c r="CA253" s="63" t="e">
        <f ca="1">SQRT(22.5*(BP253/VLOOKUP(BQ253,Fundamentus!A:U,3,FALSE))*(BP253/VLOOKUP(BQ253,Fundamentus!A:U,4,FALSE)))</f>
        <v>#NUM!</v>
      </c>
      <c r="CC253" s="62">
        <f t="shared" ca="1" si="241"/>
        <v>3.7735849056603807E-2</v>
      </c>
      <c r="CD253" s="8"/>
      <c r="CE253" s="61">
        <f t="shared" si="242"/>
        <v>0.46</v>
      </c>
      <c r="CF253" s="61">
        <f t="shared" si="243"/>
        <v>1.69</v>
      </c>
      <c r="CG253" s="61">
        <f t="shared" si="244"/>
        <v>1.0576119402985071</v>
      </c>
      <c r="CH253" s="14"/>
      <c r="CI253" s="35">
        <f t="shared" si="227"/>
        <v>0.46175444679663102</v>
      </c>
      <c r="CJ253" s="15">
        <f t="shared" si="245"/>
        <v>0.52499999999999858</v>
      </c>
      <c r="CK253" s="35">
        <f t="shared" si="228"/>
        <v>0.58824555320336613</v>
      </c>
      <c r="CM253" s="14"/>
      <c r="CN253" s="17">
        <f t="shared" si="229"/>
        <v>-1.1333333333333335</v>
      </c>
      <c r="CO253" s="17">
        <f t="shared" si="230"/>
        <v>-0.33666666666666678</v>
      </c>
      <c r="CP253" s="17">
        <f t="shared" si="231"/>
        <v>9.6666666666666456E-2</v>
      </c>
      <c r="CQ253" s="38">
        <f t="shared" si="246"/>
        <v>0.8933333333333332</v>
      </c>
      <c r="CR253" s="17">
        <f t="shared" si="232"/>
        <v>1.3266666666666664</v>
      </c>
      <c r="CS253" s="17">
        <f t="shared" si="233"/>
        <v>2.1233333333333331</v>
      </c>
      <c r="CT253" s="17">
        <f t="shared" si="234"/>
        <v>2.5566666666666662</v>
      </c>
      <c r="CU253" s="2" cm="1">
        <f t="array" aca="1" ref="CU253" ca="1">MAX(_xlfn._xlws.FILTER(CN253:CT253,CN253:CT253&lt;BP253))</f>
        <v>9.6666666666666456E-2</v>
      </c>
      <c r="CV253" s="2" cm="1">
        <f t="array" aca="1" ref="CV253" ca="1">MIN(_xlfn._xlws.FILTER($CN253:$CT253,$CN253:$CT253&gt;BP253))</f>
        <v>0.8933333333333332</v>
      </c>
      <c r="CW253" s="16">
        <f t="shared" ca="1" si="248"/>
        <v>8.2413793103448469</v>
      </c>
      <c r="CX253" s="20">
        <f t="shared" ca="1" si="249"/>
        <v>-4.1206896551724235</v>
      </c>
      <c r="CY253" s="20">
        <f t="shared" ca="1" si="250"/>
        <v>-2.7471264367816155</v>
      </c>
      <c r="CZ253" s="20">
        <f t="shared" ca="1" si="251"/>
        <v>-1.6482758620689695</v>
      </c>
      <c r="DA253" s="20">
        <f t="shared" ca="1" si="252"/>
        <v>-0.91570881226053857</v>
      </c>
      <c r="DB253" s="20">
        <f t="shared" ca="1" si="253"/>
        <v>-0.48478701825557924</v>
      </c>
      <c r="DC253" s="20">
        <f t="shared" ca="1" si="254"/>
        <v>-0.24973876698014688</v>
      </c>
      <c r="DD253" s="20">
        <f t="shared" ca="1" si="255"/>
        <v>-0.12679045092838226</v>
      </c>
      <c r="DE253" s="21">
        <f t="shared" ca="1" si="256"/>
        <v>0.12679045092838226</v>
      </c>
      <c r="DF253" s="21">
        <f t="shared" ca="1" si="257"/>
        <v>0.24973876698014688</v>
      </c>
      <c r="DG253" s="21">
        <f t="shared" ca="1" si="258"/>
        <v>0.48478701825557924</v>
      </c>
      <c r="DH253" s="21">
        <f t="shared" ca="1" si="259"/>
        <v>0.91570881226053857</v>
      </c>
      <c r="DI253" s="21">
        <f t="shared" ca="1" si="260"/>
        <v>1.6482758620689695</v>
      </c>
      <c r="DJ253" s="21">
        <f t="shared" ca="1" si="261"/>
        <v>2.7471264367816155</v>
      </c>
      <c r="DK253" s="21">
        <f t="shared" ca="1" si="262"/>
        <v>4.1206896551724235</v>
      </c>
      <c r="DM253" s="16" cm="1">
        <f t="array" aca="1" ref="DM253" ca="1">MAX(_xlfn._xlws.FILTER(CX253:DK253,CX253:DK253&lt;BV253))</f>
        <v>-0.12679045092838226</v>
      </c>
      <c r="DN253" s="16" cm="1">
        <f t="array" aca="1" ref="DN253" ca="1">MIN(_xlfn._xlws.FILTER(CX253:DK253,CX253:DK253&gt;BV253))</f>
        <v>0.12679045092838226</v>
      </c>
      <c r="DO253" s="2" cm="1">
        <f t="array" aca="1" ref="DO253" ca="1">_FV(ED253,"Fechamento anterior",TRUE)</f>
        <v>0.6</v>
      </c>
      <c r="DP253" s="28">
        <f t="shared" ca="1" si="235"/>
        <v>0.17137377963737899</v>
      </c>
      <c r="DQ253" s="15">
        <f t="shared" ca="1" si="263"/>
        <v>0.52392572944297067</v>
      </c>
      <c r="DR253" s="15">
        <f t="shared" ca="1" si="264"/>
        <v>0.67607427055702929</v>
      </c>
      <c r="DS253" s="9"/>
      <c r="DT253" s="9"/>
      <c r="DU253" s="9"/>
      <c r="DV253" s="89">
        <v>0.25358090185676452</v>
      </c>
      <c r="DW253" s="89">
        <f t="shared" ca="1" si="236"/>
        <v>0.25358090185676452</v>
      </c>
      <c r="DX253" s="72">
        <f t="shared" ca="1" si="237"/>
        <v>0.39528470752107081</v>
      </c>
      <c r="DY253" s="37"/>
      <c r="DZ253" s="35">
        <f t="shared" si="247"/>
        <v>3.1622776601683777E-2</v>
      </c>
      <c r="EA253" s="56"/>
      <c r="EB253" s="56"/>
      <c r="ED253" s="2" t="e" vm="255">
        <v>#VALUE!</v>
      </c>
      <c r="EF253" s="10" cm="1">
        <f t="array" aca="1" ref="EF253" ca="1">_FV(ED253,"Ações em circulação",TRUE)</f>
        <v>592753700</v>
      </c>
      <c r="EG253" s="18">
        <f>VLOOKUP(BQ253,Fundamentus!A:U,5,FALSE)</f>
        <v>2.044</v>
      </c>
      <c r="EH253" s="2">
        <f t="shared" ca="1" si="238"/>
        <v>159498304.79452056</v>
      </c>
      <c r="EI253" s="17">
        <v>-263146973.17910957</v>
      </c>
      <c r="EJ253" s="17">
        <f t="shared" ca="1" si="239"/>
        <v>-273077047.63869864</v>
      </c>
      <c r="EL253" s="16">
        <f t="shared" ca="1" si="226"/>
        <v>3.7735849056603765E-2</v>
      </c>
      <c r="EM253" s="32" t="str">
        <f>IF(VLOOKUP(BQ253,Fundamentus!A:U,3,FALSE)&lt;15,"Bom",IF(VLOOKUP(BQ253,Fundamentus!A:U,3,FALSE)&gt;15,"Ruim","n/a"))</f>
        <v>Bom</v>
      </c>
      <c r="EN253" s="28" t="str">
        <f>IF(VLOOKUP(BQ253,Fundamentus!A:U,4,FALSE)&lt;1,"Baixo",IF(VLOOKUP(BQ253,Fundamentus!A:U,4,FALSE)&lt;1.5,"Moderado",IF(VLOOKUP(BQ253,Fundamentus!A:U,4,FALSE)&gt;1.5,"Alto","n/a")))</f>
        <v>Baixo</v>
      </c>
      <c r="EO253" s="17" t="str">
        <f>IF(VLOOKUP(BQ253,Fundamentus!A:U,8,FALSE)&lt;0,"Risco elevado",IF(VLOOKUP(BQ253,Fundamentus!A:U,8,FALSE)&lt;1,"Saudável",IF(VLOOKUP(BQ253,Fundamentus!A:U,8,FALSE)&lt;3,"Estável",IF(VLOOKUP(BQ253,Fundamentus!A:U,8,FALSE)&gt;3,"Alerta","n/a"))))</f>
        <v>Risco elevado</v>
      </c>
      <c r="EP253" s="28" t="str">
        <f t="shared" si="240"/>
        <v>Bom</v>
      </c>
      <c r="EQ253" s="17" t="str">
        <f>IF(VLOOKUP(BQ253,Fundamentus!A:U,12,FALSE)&lt;2,"Subvalorizada",IF(VLOOKUP(BQ253,Fundamentus!A:U,12,FALSE)&lt;6,"Muita barata",IF(VLOOKUP(BQ253,Fundamentus!A:U,12,FALSE)&lt;6,"Barata",IF(VLOOKUP(BQ253,Fundamentus!A:U,12,FALSE)&lt;8,"Atrativa",IF(VLOOKUP(BQ253,Fundamentus!A:U,12,FALSE)&gt;8,"Supervalorizada","n/a")))))</f>
        <v>Subvalorizada</v>
      </c>
      <c r="ES253" s="17" t="str">
        <f>IF(VLOOKUP(BQ253,Fundamentus!A:U,17,FALSE)&lt;0.1,"Fraco retorno",IF(VLOOKUP(BQ253,Fundamentus!A:U,17,FALSE)&gt;0.1,"Bom retorno","n/a"))</f>
        <v>Fraco retorno</v>
      </c>
      <c r="ET253" s="17" t="str">
        <f>IF(VLOOKUP(BQ253,Fundamentus!A:U,16,FALSE)&lt;0.1,"Ineficiente",IF(VLOOKUP(BQ253,Fundamentus!A:U,16,FALSE)&gt;0.1,"Eficiente","n/a"))</f>
        <v>Ineficiente</v>
      </c>
      <c r="EU253" s="33" t="str">
        <f>IF(VLOOKUP(BQ253,Fundamentus!A:U,16,FALSE)&lt;0.1,"Oper. Ineficiente",IF(VLOOKUP(BQ253,Fundamentus!A:U,16,FALSE)&gt;0.1,"Oper.Eficiente","n/a"))</f>
        <v>Oper. Ineficiente</v>
      </c>
      <c r="EV253" s="34">
        <f>VLOOKUP(BQ253,Fundamentus!A:U,14,FALSE)</f>
        <v>-1.7121</v>
      </c>
      <c r="EW253" s="17" t="str">
        <f>IF(VLOOKUP(BQ253,Fundamentus!A:U,21,FALSE)&lt;0,"Negativo",IF(VLOOKUP(BQ253,Fundamentus!A:U,21,FALSE)&lt;0.05,"Fraco",IF(VLOOKUP(BQ253,Fundamentus!A:U,21,FALSE)&lt;0.1,"Bom",IF(VLOOKUP(BQ253,Fundamentus!A:U,21,FALSE)&gt;0.1,"Muito bom","n/a"))))</f>
        <v>Muito bom</v>
      </c>
      <c r="EY253" s="29" t="str">
        <f>IF(VLOOKUP(BQ253,Fundamentus!A:U,15,FALSE)&gt;1,"Bom",IF(VLOOKUP(BQ253,Fundamentus!A:U,15,FALSE)&lt;1,"Ruim","n/a"))</f>
        <v>Ruim</v>
      </c>
      <c r="EZ253" s="17" t="str">
        <f>IF(VLOOKUP(BQ253,Fundamentus!A:U,20,FALSE)&lt;0.5,"Baixa",IF(VLOOKUP(BQ253,Fundamentus!A:U,20,FALSE)&lt;1,"Moderada",IF(VLOOKUP(BQ253,Fundamentus!A:U,20,FALSE)&lt;2,"Alerta",IF(VLOOKUP(BQ253,Fundamentus!A:U,20,FALSE)&gt;2,"Alta","n/a"))))</f>
        <v>Baixa</v>
      </c>
    </row>
    <row r="254" spans="1:156" s="2" customFormat="1" ht="11.25" hidden="1" x14ac:dyDescent="0.2">
      <c r="A254" s="4">
        <v>1.37</v>
      </c>
      <c r="B254" s="4">
        <v>1.24</v>
      </c>
      <c r="C254" s="4">
        <v>1.26</v>
      </c>
      <c r="D254" s="4">
        <v>1.41</v>
      </c>
      <c r="E254" s="4">
        <v>1.1100000000000001</v>
      </c>
      <c r="F254" s="4">
        <v>1.1000000000000001</v>
      </c>
      <c r="G254" s="4">
        <v>1.08</v>
      </c>
      <c r="H254" s="4">
        <v>1.02</v>
      </c>
      <c r="I254" s="4">
        <v>1.03</v>
      </c>
      <c r="J254" s="4">
        <v>1.18</v>
      </c>
      <c r="K254" s="4">
        <v>1.25</v>
      </c>
      <c r="L254" s="4">
        <v>1.18</v>
      </c>
      <c r="M254" s="4">
        <v>1.1599999999999999</v>
      </c>
      <c r="N254" s="4">
        <v>1.0900000000000001</v>
      </c>
      <c r="O254" s="4">
        <v>1.1000000000000001</v>
      </c>
      <c r="P254" s="4">
        <v>1.08</v>
      </c>
      <c r="Q254" s="4">
        <v>1.1100000000000001</v>
      </c>
      <c r="R254" s="4">
        <v>1.08</v>
      </c>
      <c r="S254" s="4">
        <v>1.05</v>
      </c>
      <c r="T254" s="4">
        <v>1.0900000000000001</v>
      </c>
      <c r="U254" s="4">
        <v>1.0900000000000001</v>
      </c>
      <c r="V254" s="4">
        <v>1.1000000000000001</v>
      </c>
      <c r="W254" s="4">
        <v>1.05</v>
      </c>
      <c r="X254" s="4">
        <v>1.08</v>
      </c>
      <c r="Y254" s="4">
        <v>1.1000000000000001</v>
      </c>
      <c r="Z254" s="4">
        <v>1.1000000000000001</v>
      </c>
      <c r="AA254" s="4">
        <v>1.1100000000000001</v>
      </c>
      <c r="AB254" s="4">
        <v>1.1299999999999999</v>
      </c>
      <c r="AC254" s="4">
        <v>1.17</v>
      </c>
      <c r="AD254" s="4">
        <v>1.47</v>
      </c>
      <c r="AE254" s="4">
        <v>1.34</v>
      </c>
      <c r="AF254" s="4">
        <v>1.26</v>
      </c>
      <c r="AG254" s="4">
        <v>1.29</v>
      </c>
      <c r="AH254" s="4">
        <v>1.3</v>
      </c>
      <c r="AI254" s="4">
        <v>1.28</v>
      </c>
      <c r="AJ254" s="4">
        <v>1.38</v>
      </c>
      <c r="AK254" s="4">
        <v>1.59</v>
      </c>
      <c r="AL254" s="4">
        <v>1.7</v>
      </c>
      <c r="AM254" s="4">
        <v>1.71</v>
      </c>
      <c r="AN254" s="4">
        <v>1.7</v>
      </c>
      <c r="AO254" s="4">
        <v>1.52</v>
      </c>
      <c r="AP254" s="4">
        <v>1.51</v>
      </c>
      <c r="AQ254" s="4">
        <v>1.42</v>
      </c>
      <c r="AR254" s="4">
        <v>1.39</v>
      </c>
      <c r="AS254" s="4">
        <v>1.38</v>
      </c>
      <c r="AT254" s="4">
        <v>1.41</v>
      </c>
      <c r="AU254" s="4">
        <v>1.405</v>
      </c>
      <c r="AV254" s="4">
        <v>1.4</v>
      </c>
      <c r="AW254" s="4">
        <v>1.39</v>
      </c>
      <c r="AX254" s="4">
        <v>1.39</v>
      </c>
      <c r="AY254" s="12">
        <v>1.45</v>
      </c>
      <c r="AZ254" s="12">
        <v>1.33</v>
      </c>
      <c r="BA254" s="12">
        <v>1.23</v>
      </c>
      <c r="BB254" s="15">
        <v>1.19</v>
      </c>
      <c r="BC254" s="52">
        <v>0.95</v>
      </c>
      <c r="BD254" s="52">
        <v>1.3</v>
      </c>
      <c r="BE254" s="52">
        <v>1.47</v>
      </c>
      <c r="BF254" s="52">
        <v>1.1000000000000001</v>
      </c>
      <c r="BG254" s="67">
        <v>701</v>
      </c>
      <c r="BH254" s="52">
        <v>162.16</v>
      </c>
      <c r="BI254" s="52">
        <v>118</v>
      </c>
      <c r="BJ254" s="52">
        <v>151.31</v>
      </c>
      <c r="BK254" s="52">
        <v>40.380000000000003</v>
      </c>
      <c r="BL254" s="52">
        <v>3.57</v>
      </c>
      <c r="BM254" s="52">
        <v>6.8</v>
      </c>
      <c r="BN254" s="52">
        <v>6.57</v>
      </c>
      <c r="BO254" s="52">
        <v>5.37</v>
      </c>
      <c r="BP254" s="52" cm="1">
        <f t="array" aca="1" ref="BP254" ca="1">_FV(ED254,"Preço")</f>
        <v>4.92</v>
      </c>
      <c r="BQ254" s="69" t="s">
        <v>250</v>
      </c>
      <c r="BR254" s="36" cm="1">
        <f t="array" aca="1" ref="BR254" ca="1">_FV(ED254,"Média de volume",TRUE)</f>
        <v>2045290320</v>
      </c>
      <c r="BS254" s="36">
        <v>1576055</v>
      </c>
      <c r="BT254" s="36" cm="1">
        <f t="array" aca="1" ref="BT254" ca="1">_FV(ED254,"Volume")</f>
        <v>575347</v>
      </c>
      <c r="BU254" s="24" cm="1">
        <f t="array" aca="1" ref="BU254" ca="1">_FV(ED254,"Beta")</f>
        <v>2.0024999999999999</v>
      </c>
      <c r="BV254" s="71" cm="1">
        <f t="array" aca="1" ref="BV254" ca="1">_FV(ED254,"Variação (%)",TRUE)</f>
        <v>-5.3845999999999998E-2</v>
      </c>
      <c r="BX254" s="17" cm="1">
        <f t="array" aca="1" ref="BX254" ca="1">_FV(ED254,"Baixo")</f>
        <v>4.8499999999999996</v>
      </c>
      <c r="BY254" s="17" cm="1">
        <f t="array" aca="1" ref="BY254" ca="1">_FV(ED254,"Alto")</f>
        <v>5.44</v>
      </c>
      <c r="BZ254" s="24"/>
      <c r="CA254" s="63">
        <f ca="1">SQRT(22.5*(BP254/VLOOKUP(BQ254,Fundamentus!A:U,3,FALSE))*(BP254/VLOOKUP(BQ254,Fundamentus!A:U,4,FALSE)))</f>
        <v>0.37609304772193808</v>
      </c>
      <c r="CC254" s="62">
        <f t="shared" ca="1" si="241"/>
        <v>-8.3798882681564282E-2</v>
      </c>
      <c r="CD254" s="8"/>
      <c r="CE254" s="61">
        <f t="shared" si="242"/>
        <v>0.95</v>
      </c>
      <c r="CF254" s="61">
        <f t="shared" si="243"/>
        <v>701</v>
      </c>
      <c r="CG254" s="61">
        <f t="shared" si="244"/>
        <v>18.930373134328356</v>
      </c>
      <c r="CH254" s="14"/>
      <c r="CI254" s="35">
        <f t="shared" si="227"/>
        <v>-21.0659822451262</v>
      </c>
      <c r="CJ254" s="15">
        <f t="shared" si="245"/>
        <v>6.8699999999998909</v>
      </c>
      <c r="CK254" s="35">
        <f t="shared" si="228"/>
        <v>34.805982245125982</v>
      </c>
      <c r="CM254" s="14"/>
      <c r="CN254" s="17">
        <f t="shared" si="229"/>
        <v>-929.50333333333333</v>
      </c>
      <c r="CO254" s="17">
        <f t="shared" si="230"/>
        <v>-464.27666666666664</v>
      </c>
      <c r="CP254" s="17">
        <f t="shared" si="231"/>
        <v>-229.45333333333332</v>
      </c>
      <c r="CQ254" s="38">
        <f t="shared" si="246"/>
        <v>235.77333333333334</v>
      </c>
      <c r="CR254" s="17">
        <f t="shared" si="232"/>
        <v>470.59666666666669</v>
      </c>
      <c r="CS254" s="17">
        <f t="shared" si="233"/>
        <v>935.82333333333327</v>
      </c>
      <c r="CT254" s="17">
        <f t="shared" si="234"/>
        <v>1170.6466666666668</v>
      </c>
      <c r="CU254" s="2" cm="1">
        <f t="array" aca="1" ref="CU254" ca="1">MAX(_xlfn._xlws.FILTER(CN254:CT254,CN254:CT254&lt;BP254))</f>
        <v>-229.45333333333332</v>
      </c>
      <c r="CV254" s="2" cm="1">
        <f t="array" aca="1" ref="CV254" ca="1">MIN(_xlfn._xlws.FILTER($CN254:$CT254,$CN254:$CT254&gt;BP254))</f>
        <v>235.77333333333334</v>
      </c>
      <c r="CW254" s="16">
        <f t="shared" ca="1" si="248"/>
        <v>-2.0275437271195305</v>
      </c>
      <c r="CX254" s="20">
        <f t="shared" ca="1" si="249"/>
        <v>1.0137718635597652</v>
      </c>
      <c r="CY254" s="20">
        <f t="shared" ca="1" si="250"/>
        <v>0.67584790903984349</v>
      </c>
      <c r="CZ254" s="20">
        <f t="shared" ca="1" si="251"/>
        <v>0.40550874542390608</v>
      </c>
      <c r="DA254" s="20">
        <f t="shared" ca="1" si="252"/>
        <v>0.2252826363466145</v>
      </c>
      <c r="DB254" s="20">
        <f t="shared" ca="1" si="253"/>
        <v>0.11926727806585473</v>
      </c>
      <c r="DC254" s="20">
        <f t="shared" ca="1" si="254"/>
        <v>6.1440719003622135E-2</v>
      </c>
      <c r="DD254" s="20">
        <f t="shared" ca="1" si="255"/>
        <v>3.1192980417223546E-2</v>
      </c>
      <c r="DE254" s="21">
        <f t="shared" ca="1" si="256"/>
        <v>-3.1192980417223546E-2</v>
      </c>
      <c r="DF254" s="21">
        <f t="shared" ca="1" si="257"/>
        <v>-6.1440719003622135E-2</v>
      </c>
      <c r="DG254" s="21">
        <f t="shared" ca="1" si="258"/>
        <v>-0.11926727806585473</v>
      </c>
      <c r="DH254" s="21">
        <f t="shared" ca="1" si="259"/>
        <v>-0.2252826363466145</v>
      </c>
      <c r="DI254" s="21">
        <f t="shared" ca="1" si="260"/>
        <v>-0.40550874542390608</v>
      </c>
      <c r="DJ254" s="21">
        <f t="shared" ca="1" si="261"/>
        <v>-0.67584790903984349</v>
      </c>
      <c r="DK254" s="21">
        <f t="shared" ca="1" si="262"/>
        <v>-1.0137718635597652</v>
      </c>
      <c r="DM254" s="16" cm="1">
        <f t="array" aca="1" ref="DM254" ca="1">MAX(_xlfn._xlws.FILTER(CX254:DK254,CX254:DK254&lt;BV254))</f>
        <v>-6.1440719003622135E-2</v>
      </c>
      <c r="DN254" s="16" cm="1">
        <f t="array" aca="1" ref="DN254" ca="1">MIN(_xlfn._xlws.FILTER(CX254:DK254,CX254:DK254&gt;BV254))</f>
        <v>-3.1192980417223546E-2</v>
      </c>
      <c r="DO254" s="2" cm="1">
        <f t="array" aca="1" ref="DO254" ca="1">_FV(ED254,"Fechamento anterior",TRUE)</f>
        <v>5.2</v>
      </c>
      <c r="DP254" s="28">
        <f t="shared" ca="1" si="235"/>
        <v>0.25107877522067756</v>
      </c>
      <c r="DQ254" s="15">
        <f t="shared" ca="1" si="263"/>
        <v>4.8805082611811654</v>
      </c>
      <c r="DR254" s="15">
        <f t="shared" ca="1" si="264"/>
        <v>5.0377965018304378</v>
      </c>
      <c r="DS254" s="9"/>
      <c r="DT254" s="9"/>
      <c r="DU254" s="9"/>
      <c r="DV254" s="89">
        <v>5.7826559062232594E-2</v>
      </c>
      <c r="DW254" s="89">
        <f t="shared" ca="1" si="236"/>
        <v>3.0247738586398589E-2</v>
      </c>
      <c r="DX254" s="72">
        <f t="shared" ca="1" si="237"/>
        <v>-6.9802449861597463E-2</v>
      </c>
      <c r="DY254" s="37"/>
      <c r="DZ254" s="35">
        <f t="shared" si="247"/>
        <v>13.967991122563046</v>
      </c>
      <c r="EA254" s="56"/>
      <c r="EB254" s="56"/>
      <c r="ED254" s="2" t="e" vm="256">
        <v>#VALUE!</v>
      </c>
      <c r="EF254" s="10" cm="1">
        <f t="array" aca="1" ref="EF254" ca="1">_FV(ED254,"Ações em circulação",TRUE)</f>
        <v>3202277000000</v>
      </c>
      <c r="EG254" s="18">
        <f>VLOOKUP(BQ254,Fundamentus!A:U,5,FALSE)</f>
        <v>47.427</v>
      </c>
      <c r="EH254" s="2">
        <f t="shared" ca="1" si="238"/>
        <v>332199018280.7262</v>
      </c>
      <c r="EI254" s="17">
        <v>-153372640653.42526</v>
      </c>
      <c r="EJ254" s="17">
        <f t="shared" ca="1" si="239"/>
        <v>-140520184732.74716</v>
      </c>
      <c r="EL254" s="16">
        <f t="shared" ca="1" si="226"/>
        <v>-8.3798882681564324E-2</v>
      </c>
      <c r="EM254" s="32" t="str">
        <f>IF(VLOOKUP(BQ254,Fundamentus!A:U,3,FALSE)&lt;15,"Bom",IF(VLOOKUP(BQ254,Fundamentus!A:U,3,FALSE)&gt;15,"Ruim","n/a"))</f>
        <v>Bom</v>
      </c>
      <c r="EN254" s="28" t="str">
        <f>IF(VLOOKUP(BQ254,Fundamentus!A:U,4,FALSE)&lt;1,"Baixo",IF(VLOOKUP(BQ254,Fundamentus!A:U,4,FALSE)&lt;1.5,"Moderado",IF(VLOOKUP(BQ254,Fundamentus!A:U,4,FALSE)&gt;1.5,"Alto","n/a")))</f>
        <v>Baixo</v>
      </c>
      <c r="EO254" s="17" t="str">
        <f>IF(VLOOKUP(BQ254,Fundamentus!A:U,8,FALSE)&lt;0,"Risco elevado",IF(VLOOKUP(BQ254,Fundamentus!A:U,8,FALSE)&lt;1,"Saudável",IF(VLOOKUP(BQ254,Fundamentus!A:U,8,FALSE)&lt;3,"Estável",IF(VLOOKUP(BQ254,Fundamentus!A:U,8,FALSE)&gt;3,"Alerta","n/a"))))</f>
        <v>Risco elevado</v>
      </c>
      <c r="EP254" s="28" t="str">
        <f t="shared" si="240"/>
        <v>Bom</v>
      </c>
      <c r="EQ254" s="17" t="str">
        <f>IF(VLOOKUP(BQ254,Fundamentus!A:U,12,FALSE)&lt;2,"Subvalorizada",IF(VLOOKUP(BQ254,Fundamentus!A:U,12,FALSE)&lt;6,"Muita barata",IF(VLOOKUP(BQ254,Fundamentus!A:U,12,FALSE)&lt;6,"Barata",IF(VLOOKUP(BQ254,Fundamentus!A:U,12,FALSE)&lt;8,"Atrativa",IF(VLOOKUP(BQ254,Fundamentus!A:U,12,FALSE)&gt;8,"Supervalorizada","n/a")))))</f>
        <v>Supervalorizada</v>
      </c>
      <c r="ES254" s="17" t="str">
        <f>IF(VLOOKUP(BQ254,Fundamentus!A:U,17,FALSE)&lt;0.1,"Fraco retorno",IF(VLOOKUP(BQ254,Fundamentus!A:U,17,FALSE)&gt;0.1,"Bom retorno","n/a"))</f>
        <v>Bom retorno</v>
      </c>
      <c r="ET254" s="17" t="str">
        <f>IF(VLOOKUP(BQ254,Fundamentus!A:U,16,FALSE)&lt;0.1,"Ineficiente",IF(VLOOKUP(BQ254,Fundamentus!A:U,16,FALSE)&gt;0.1,"Eficiente","n/a"))</f>
        <v>Ineficiente</v>
      </c>
      <c r="EU254" s="33" t="str">
        <f>IF(VLOOKUP(BQ254,Fundamentus!A:U,16,FALSE)&lt;0.1,"Oper. Ineficiente",IF(VLOOKUP(BQ254,Fundamentus!A:U,16,FALSE)&gt;0.1,"Oper.Eficiente","n/a"))</f>
        <v>Oper. Ineficiente</v>
      </c>
      <c r="EV254" s="34">
        <f>VLOOKUP(BQ254,Fundamentus!A:U,14,FALSE)</f>
        <v>-0.42299999999999999</v>
      </c>
      <c r="EW254" s="17" t="str">
        <f>IF(VLOOKUP(BQ254,Fundamentus!A:U,21,FALSE)&lt;0,"Negativo",IF(VLOOKUP(BQ254,Fundamentus!A:U,21,FALSE)&lt;0.05,"Fraco",IF(VLOOKUP(BQ254,Fundamentus!A:U,21,FALSE)&lt;0.1,"Bom",IF(VLOOKUP(BQ254,Fundamentus!A:U,21,FALSE)&gt;0.1,"Muito bom","n/a"))))</f>
        <v>Muito bom</v>
      </c>
      <c r="EY254" s="29" t="str">
        <f>IF(VLOOKUP(BQ254,Fundamentus!A:U,15,FALSE)&gt;1,"Bom",IF(VLOOKUP(BQ254,Fundamentus!A:U,15,FALSE)&lt;1,"Ruim","n/a"))</f>
        <v>Ruim</v>
      </c>
      <c r="EZ254" s="17" t="str">
        <f>IF(VLOOKUP(BQ254,Fundamentus!A:U,20,FALSE)&lt;0.5,"Baixa",IF(VLOOKUP(BQ254,Fundamentus!A:U,20,FALSE)&lt;1,"Moderada",IF(VLOOKUP(BQ254,Fundamentus!A:U,20,FALSE)&lt;2,"Alerta",IF(VLOOKUP(BQ254,Fundamentus!A:U,20,FALSE)&gt;2,"Alta","n/a"))))</f>
        <v>Baixa</v>
      </c>
    </row>
    <row r="255" spans="1:156" s="2" customFormat="1" ht="11.25" hidden="1" x14ac:dyDescent="0.2">
      <c r="A255" s="4">
        <v>5.93</v>
      </c>
      <c r="B255" s="4">
        <v>5.5</v>
      </c>
      <c r="C255" s="4">
        <v>4.8</v>
      </c>
      <c r="D255" s="4">
        <v>4.78</v>
      </c>
      <c r="E255" s="4">
        <v>4.9400000000000004</v>
      </c>
      <c r="F255" s="4">
        <v>4.7699999999999996</v>
      </c>
      <c r="G255" s="4">
        <v>5.26</v>
      </c>
      <c r="H255" s="4">
        <v>5.0999999999999996</v>
      </c>
      <c r="I255" s="4">
        <v>4.8899999999999997</v>
      </c>
      <c r="J255" s="4">
        <v>5.6</v>
      </c>
      <c r="K255" s="4">
        <v>5.54</v>
      </c>
      <c r="L255" s="4">
        <v>5.16</v>
      </c>
      <c r="M255" s="4">
        <v>5.31</v>
      </c>
      <c r="N255" s="4">
        <v>5.27</v>
      </c>
      <c r="O255" s="4">
        <v>5.18</v>
      </c>
      <c r="P255" s="4">
        <v>5.74</v>
      </c>
      <c r="Q255" s="4">
        <v>6.25</v>
      </c>
      <c r="R255" s="4">
        <v>6.45</v>
      </c>
      <c r="S255" s="4">
        <v>6.21</v>
      </c>
      <c r="T255" s="4">
        <v>6.89</v>
      </c>
      <c r="U255" s="4">
        <v>6.26</v>
      </c>
      <c r="V255" s="4">
        <v>6.06</v>
      </c>
      <c r="W255" s="4">
        <v>6.15</v>
      </c>
      <c r="X255" s="4">
        <v>5.78</v>
      </c>
      <c r="Y255" s="4">
        <v>5.66</v>
      </c>
      <c r="Z255" s="4">
        <v>5.93</v>
      </c>
      <c r="AA255" s="4">
        <v>6.87</v>
      </c>
      <c r="AB255" s="4">
        <v>7.13</v>
      </c>
      <c r="AC255" s="4">
        <v>6.6</v>
      </c>
      <c r="AD255" s="4">
        <v>6.9</v>
      </c>
      <c r="AE255" s="4">
        <v>6.15</v>
      </c>
      <c r="AF255" s="4">
        <v>5.77</v>
      </c>
      <c r="AG255" s="4">
        <v>5.15</v>
      </c>
      <c r="AH255" s="4">
        <v>4.5599999999999996</v>
      </c>
      <c r="AI255" s="4">
        <v>4.4800000000000004</v>
      </c>
      <c r="AJ255" s="4">
        <v>4.2699999999999996</v>
      </c>
      <c r="AK255" s="4">
        <v>4.24</v>
      </c>
      <c r="AL255" s="4">
        <v>4.45</v>
      </c>
      <c r="AM255" s="4">
        <v>4.62</v>
      </c>
      <c r="AN255" s="4">
        <v>5.32</v>
      </c>
      <c r="AO255" s="4">
        <v>5.09</v>
      </c>
      <c r="AP255" s="4">
        <v>5.26</v>
      </c>
      <c r="AQ255" s="4">
        <v>4.9000000000000004</v>
      </c>
      <c r="AR255" s="4">
        <v>4.21</v>
      </c>
      <c r="AS255" s="4">
        <v>4.26</v>
      </c>
      <c r="AT255" s="4">
        <v>4.4000000000000004</v>
      </c>
      <c r="AU255" s="4">
        <v>4.7699999999999996</v>
      </c>
      <c r="AV255" s="4">
        <v>4.88</v>
      </c>
      <c r="AW255" s="4">
        <v>5.05</v>
      </c>
      <c r="AX255" s="4">
        <v>5.27</v>
      </c>
      <c r="AY255" s="12">
        <v>5.5</v>
      </c>
      <c r="AZ255" s="12">
        <v>5.93</v>
      </c>
      <c r="BA255" s="12">
        <v>5.99</v>
      </c>
      <c r="BB255" s="15">
        <v>6.69</v>
      </c>
      <c r="BC255" s="52">
        <v>8.5</v>
      </c>
      <c r="BD255" s="52">
        <v>10</v>
      </c>
      <c r="BE255" s="52">
        <v>10.119999999999999</v>
      </c>
      <c r="BF255" s="52">
        <v>9.58</v>
      </c>
      <c r="BG255" s="67">
        <v>10.38</v>
      </c>
      <c r="BH255" s="52">
        <v>10.119999999999999</v>
      </c>
      <c r="BI255" s="52">
        <v>9.01</v>
      </c>
      <c r="BJ255" s="52">
        <v>9.42</v>
      </c>
      <c r="BK255" s="52">
        <v>8.69</v>
      </c>
      <c r="BL255" s="52">
        <v>8.4</v>
      </c>
      <c r="BM255" s="52">
        <v>7.96</v>
      </c>
      <c r="BN255" s="52">
        <v>8.02</v>
      </c>
      <c r="BO255" s="52">
        <v>8.83</v>
      </c>
      <c r="BP255" s="52" cm="1">
        <f t="array" aca="1" ref="BP255" ca="1">_FV(ED255,"Preço")</f>
        <v>8.4</v>
      </c>
      <c r="BQ255" s="69" t="s">
        <v>198</v>
      </c>
      <c r="BR255" s="36" cm="1">
        <f t="array" aca="1" ref="BR255" ca="1">_FV(ED255,"Média de volume",TRUE)</f>
        <v>729790</v>
      </c>
      <c r="BS255" s="36">
        <v>354900</v>
      </c>
      <c r="BT255" s="36" cm="1">
        <f t="array" aca="1" ref="BT255" ca="1">_FV(ED255,"Volume")</f>
        <v>1739700</v>
      </c>
      <c r="BU255" s="24" cm="1">
        <f t="array" aca="1" ref="BU255" ca="1">_FV(ED255,"Beta")</f>
        <v>1.8225</v>
      </c>
      <c r="BV255" s="71" cm="1">
        <f t="array" aca="1" ref="BV255" ca="1">_FV(ED255,"Variação (%)",TRUE)</f>
        <v>-5.9351000000000001E-2</v>
      </c>
      <c r="BX255" s="17" cm="1">
        <f t="array" aca="1" ref="BX255" ca="1">_FV(ED255,"Baixo")</f>
        <v>8.07</v>
      </c>
      <c r="BY255" s="17" cm="1">
        <f t="array" aca="1" ref="BY255" ca="1">_FV(ED255,"Alto")</f>
        <v>9.34</v>
      </c>
      <c r="BZ255" s="24"/>
      <c r="CA255" s="63">
        <f ca="1">SQRT(22.5*(BP255/VLOOKUP(BQ255,Fundamentus!A:U,3,FALSE))*(BP255/VLOOKUP(BQ255,Fundamentus!A:U,4,FALSE)))</f>
        <v>10.278268341820423</v>
      </c>
      <c r="CC255" s="62">
        <f t="shared" ca="1" si="241"/>
        <v>-4.8697621744054329E-2</v>
      </c>
      <c r="CD255" s="8"/>
      <c r="CE255" s="61">
        <f t="shared" si="242"/>
        <v>4.21</v>
      </c>
      <c r="CF255" s="61">
        <f t="shared" si="243"/>
        <v>10.38</v>
      </c>
      <c r="CG255" s="61">
        <f t="shared" si="244"/>
        <v>6.1664179104477608</v>
      </c>
      <c r="CH255" s="14"/>
      <c r="CI255" s="35">
        <f t="shared" si="227"/>
        <v>7.9442989147629426</v>
      </c>
      <c r="CJ255" s="15">
        <f t="shared" si="245"/>
        <v>8.6399999999999864</v>
      </c>
      <c r="CK255" s="35">
        <f t="shared" si="228"/>
        <v>9.3357010852370301</v>
      </c>
      <c r="CM255" s="14"/>
      <c r="CN255" s="17">
        <f t="shared" si="229"/>
        <v>-0.93666666666666654</v>
      </c>
      <c r="CO255" s="17">
        <f t="shared" si="230"/>
        <v>1.6366666666666667</v>
      </c>
      <c r="CP255" s="17">
        <f t="shared" si="231"/>
        <v>5.2333333333333343</v>
      </c>
      <c r="CQ255" s="38">
        <f t="shared" si="246"/>
        <v>7.8066666666666675</v>
      </c>
      <c r="CR255" s="17">
        <f t="shared" si="232"/>
        <v>11.403333333333336</v>
      </c>
      <c r="CS255" s="17">
        <f t="shared" si="233"/>
        <v>13.976666666666668</v>
      </c>
      <c r="CT255" s="17">
        <f t="shared" si="234"/>
        <v>17.573333333333338</v>
      </c>
      <c r="CU255" s="2" cm="1">
        <f t="array" aca="1" ref="CU255" ca="1">MAX(_xlfn._xlws.FILTER(CN255:CT255,CN255:CT255&lt;BP255))</f>
        <v>7.8066666666666675</v>
      </c>
      <c r="CV255" s="2" cm="1">
        <f t="array" aca="1" ref="CV255" ca="1">MIN(_xlfn._xlws.FILTER($CN255:$CT255,$CN255:$CT255&gt;BP255))</f>
        <v>11.403333333333336</v>
      </c>
      <c r="CW255" s="16">
        <f t="shared" ca="1" si="248"/>
        <v>0.46071733561058936</v>
      </c>
      <c r="CX255" s="20">
        <f t="shared" ca="1" si="249"/>
        <v>-0.23035866780529468</v>
      </c>
      <c r="CY255" s="20">
        <f t="shared" ca="1" si="250"/>
        <v>-0.15357244520352978</v>
      </c>
      <c r="CZ255" s="20">
        <f t="shared" ca="1" si="251"/>
        <v>-9.2143467122117878E-2</v>
      </c>
      <c r="DA255" s="20">
        <f t="shared" ca="1" si="252"/>
        <v>-5.1190815067843259E-2</v>
      </c>
      <c r="DB255" s="20">
        <f t="shared" ca="1" si="253"/>
        <v>-2.7101019741799376E-2</v>
      </c>
      <c r="DC255" s="20">
        <f t="shared" ca="1" si="254"/>
        <v>-1.3961131382139072E-2</v>
      </c>
      <c r="DD255" s="20">
        <f t="shared" ca="1" si="255"/>
        <v>-7.0879590093936825E-3</v>
      </c>
      <c r="DE255" s="21">
        <f t="shared" ca="1" si="256"/>
        <v>7.0879590093936825E-3</v>
      </c>
      <c r="DF255" s="21">
        <f t="shared" ca="1" si="257"/>
        <v>1.3961131382139072E-2</v>
      </c>
      <c r="DG255" s="21">
        <f t="shared" ca="1" si="258"/>
        <v>2.7101019741799376E-2</v>
      </c>
      <c r="DH255" s="21">
        <f t="shared" ca="1" si="259"/>
        <v>5.1190815067843259E-2</v>
      </c>
      <c r="DI255" s="21">
        <f t="shared" ca="1" si="260"/>
        <v>9.2143467122117878E-2</v>
      </c>
      <c r="DJ255" s="21">
        <f t="shared" ca="1" si="261"/>
        <v>0.15357244520352978</v>
      </c>
      <c r="DK255" s="21">
        <f t="shared" ca="1" si="262"/>
        <v>0.23035866780529468</v>
      </c>
      <c r="DM255" s="16" cm="1">
        <f t="array" aca="1" ref="DM255" ca="1">MAX(_xlfn._xlws.FILTER(CX255:DK255,CX255:DK255&lt;BV255))</f>
        <v>-9.2143467122117878E-2</v>
      </c>
      <c r="DN255" s="16" cm="1">
        <f t="array" aca="1" ref="DN255" ca="1">MIN(_xlfn._xlws.FILTER(CX255:DK255,CX255:DK255&gt;BV255))</f>
        <v>-5.1190815067843259E-2</v>
      </c>
      <c r="DO255" s="2" cm="1">
        <f t="array" aca="1" ref="DO255" ca="1">_FV(ED255,"Fechamento anterior",TRUE)</f>
        <v>8.93</v>
      </c>
      <c r="DP255" s="28">
        <f t="shared" ca="1" si="235"/>
        <v>0.80075310285850188</v>
      </c>
      <c r="DQ255" s="15">
        <f t="shared" ca="1" si="263"/>
        <v>8.1071588385994868</v>
      </c>
      <c r="DR255" s="15">
        <f t="shared" ca="1" si="264"/>
        <v>8.47286602144416</v>
      </c>
      <c r="DS255" s="9"/>
      <c r="DT255" s="9"/>
      <c r="DU255" s="9"/>
      <c r="DV255" s="89">
        <v>1.4175918018787365E-2</v>
      </c>
      <c r="DW255" s="89">
        <f t="shared" ca="1" si="236"/>
        <v>4.0952652054274619E-2</v>
      </c>
      <c r="DX255" s="72">
        <f t="shared" ca="1" si="237"/>
        <v>-0.34497574474562109</v>
      </c>
      <c r="DY255" s="37"/>
      <c r="DZ255" s="35">
        <f t="shared" si="247"/>
        <v>0.34785054261852177</v>
      </c>
      <c r="EA255" s="56"/>
      <c r="EB255" s="56"/>
      <c r="ED255" s="2" t="e" vm="257">
        <v>#VALUE!</v>
      </c>
      <c r="EF255" s="10" cm="1">
        <f t="array" aca="1" ref="EF255" ca="1">_FV(ED255,"Ações em circulação",TRUE)</f>
        <v>128721600</v>
      </c>
      <c r="EG255" s="18">
        <f>VLOOKUP(BQ255,Fundamentus!A:U,5,FALSE)</f>
        <v>0.51200000000000001</v>
      </c>
      <c r="EH255" s="2">
        <f t="shared" ca="1" si="238"/>
        <v>2111838750</v>
      </c>
      <c r="EI255" s="17">
        <v>64378398.65625</v>
      </c>
      <c r="EJ255" s="17">
        <f t="shared" ca="1" si="239"/>
        <v>61243323.75</v>
      </c>
      <c r="EL255" s="16">
        <f t="shared" ca="1" si="226"/>
        <v>-4.8697621744054342E-2</v>
      </c>
      <c r="EM255" s="32" t="str">
        <f>IF(VLOOKUP(BQ255,Fundamentus!A:U,3,FALSE)&lt;15,"Bom",IF(VLOOKUP(BQ255,Fundamentus!A:U,3,FALSE)&gt;15,"Ruim","n/a"))</f>
        <v>Ruim</v>
      </c>
      <c r="EN255" s="28" t="str">
        <f>IF(VLOOKUP(BQ255,Fundamentus!A:U,4,FALSE)&lt;1,"Baixo",IF(VLOOKUP(BQ255,Fundamentus!A:U,4,FALSE)&lt;1.5,"Moderado",IF(VLOOKUP(BQ255,Fundamentus!A:U,4,FALSE)&gt;1.5,"Alto","n/a")))</f>
        <v>Baixo</v>
      </c>
      <c r="EO255" s="17" t="str">
        <f>IF(VLOOKUP(BQ255,Fundamentus!A:U,8,FALSE)&lt;0,"Risco elevado",IF(VLOOKUP(BQ255,Fundamentus!A:U,8,FALSE)&lt;1,"Saudável",IF(VLOOKUP(BQ255,Fundamentus!A:U,8,FALSE)&lt;3,"Estável",IF(VLOOKUP(BQ255,Fundamentus!A:U,8,FALSE)&gt;3,"Alerta","n/a"))))</f>
        <v>Alerta</v>
      </c>
      <c r="EP255" s="28" t="str">
        <f t="shared" si="240"/>
        <v>Ruim</v>
      </c>
      <c r="EQ255" s="17" t="str">
        <f>IF(VLOOKUP(BQ255,Fundamentus!A:U,12,FALSE)&lt;2,"Subvalorizada",IF(VLOOKUP(BQ255,Fundamentus!A:U,12,FALSE)&lt;6,"Muita barata",IF(VLOOKUP(BQ255,Fundamentus!A:U,12,FALSE)&lt;6,"Barata",IF(VLOOKUP(BQ255,Fundamentus!A:U,12,FALSE)&lt;8,"Atrativa",IF(VLOOKUP(BQ255,Fundamentus!A:U,12,FALSE)&gt;8,"Supervalorizada","n/a")))))</f>
        <v>Muita barata</v>
      </c>
      <c r="ES255" s="17" t="str">
        <f>IF(VLOOKUP(BQ255,Fundamentus!A:U,17,FALSE)&lt;0.1,"Fraco retorno",IF(VLOOKUP(BQ255,Fundamentus!A:U,17,FALSE)&gt;0.1,"Bom retorno","n/a"))</f>
        <v>Fraco retorno</v>
      </c>
      <c r="ET255" s="17" t="str">
        <f>IF(VLOOKUP(BQ255,Fundamentus!A:U,16,FALSE)&lt;0.1,"Ineficiente",IF(VLOOKUP(BQ255,Fundamentus!A:U,16,FALSE)&gt;0.1,"Eficiente","n/a"))</f>
        <v>Eficiente</v>
      </c>
      <c r="EU255" s="33" t="str">
        <f>IF(VLOOKUP(BQ255,Fundamentus!A:U,16,FALSE)&lt;0.1,"Oper. Ineficiente",IF(VLOOKUP(BQ255,Fundamentus!A:U,16,FALSE)&gt;0.1,"Oper.Eficiente","n/a"))</f>
        <v>Oper.Eficiente</v>
      </c>
      <c r="EV255" s="34">
        <f>VLOOKUP(BQ255,Fundamentus!A:U,14,FALSE)</f>
        <v>2.9000000000000001E-2</v>
      </c>
      <c r="EW255" s="17" t="str">
        <f>IF(VLOOKUP(BQ255,Fundamentus!A:U,21,FALSE)&lt;0,"Negativo",IF(VLOOKUP(BQ255,Fundamentus!A:U,21,FALSE)&lt;0.05,"Fraco",IF(VLOOKUP(BQ255,Fundamentus!A:U,21,FALSE)&lt;0.1,"Bom",IF(VLOOKUP(BQ255,Fundamentus!A:U,21,FALSE)&gt;0.1,"Muito bom","n/a"))))</f>
        <v>Muito bom</v>
      </c>
      <c r="EY255" s="29" t="str">
        <f>IF(VLOOKUP(BQ255,Fundamentus!A:U,15,FALSE)&gt;1,"Bom",IF(VLOOKUP(BQ255,Fundamentus!A:U,15,FALSE)&lt;1,"Ruim","n/a"))</f>
        <v>Bom</v>
      </c>
      <c r="EZ255" s="17" t="str">
        <f>IF(VLOOKUP(BQ255,Fundamentus!A:U,20,FALSE)&lt;0.5,"Baixa",IF(VLOOKUP(BQ255,Fundamentus!A:U,20,FALSE)&lt;1,"Moderada",IF(VLOOKUP(BQ255,Fundamentus!A:U,20,FALSE)&lt;2,"Alerta",IF(VLOOKUP(BQ255,Fundamentus!A:U,20,FALSE)&gt;2,"Alta","n/a"))))</f>
        <v>Moderada</v>
      </c>
    </row>
    <row r="256" spans="1:156" s="2" customFormat="1" ht="11.25" hidden="1" x14ac:dyDescent="0.2">
      <c r="A256" s="4">
        <v>8.23</v>
      </c>
      <c r="B256" s="4">
        <v>8.07</v>
      </c>
      <c r="C256" s="4">
        <v>8</v>
      </c>
      <c r="D256" s="4">
        <v>8.26</v>
      </c>
      <c r="E256" s="4">
        <v>7.95</v>
      </c>
      <c r="F256" s="4">
        <v>7.78</v>
      </c>
      <c r="G256" s="4">
        <v>7.67</v>
      </c>
      <c r="H256" s="4">
        <v>7.82</v>
      </c>
      <c r="I256" s="4">
        <v>8.07</v>
      </c>
      <c r="J256" s="4">
        <v>8.6199999999999992</v>
      </c>
      <c r="K256" s="4">
        <v>8.9</v>
      </c>
      <c r="L256" s="4">
        <v>8.6199999999999992</v>
      </c>
      <c r="M256" s="4">
        <v>8.2200000000000006</v>
      </c>
      <c r="N256" s="4">
        <v>7.99</v>
      </c>
      <c r="O256" s="4">
        <v>8.01</v>
      </c>
      <c r="P256" s="4">
        <v>8.25</v>
      </c>
      <c r="Q256" s="4">
        <v>8.35</v>
      </c>
      <c r="R256" s="4">
        <v>8.15</v>
      </c>
      <c r="S256" s="4">
        <v>7.82</v>
      </c>
      <c r="T256" s="4">
        <v>7.96</v>
      </c>
      <c r="U256" s="4">
        <v>7.72</v>
      </c>
      <c r="V256" s="4">
        <v>7.68</v>
      </c>
      <c r="W256" s="4">
        <v>7.88</v>
      </c>
      <c r="X256" s="4">
        <v>7.66</v>
      </c>
      <c r="Y256" s="4">
        <v>7.53</v>
      </c>
      <c r="Z256" s="4">
        <v>7.46</v>
      </c>
      <c r="AA256" s="4">
        <v>7.35</v>
      </c>
      <c r="AB256" s="4">
        <v>7.7</v>
      </c>
      <c r="AC256" s="4">
        <v>7.57</v>
      </c>
      <c r="AD256" s="4">
        <v>7.93</v>
      </c>
      <c r="AE256" s="4">
        <v>7.8</v>
      </c>
      <c r="AF256" s="4">
        <v>7.58</v>
      </c>
      <c r="AG256" s="4">
        <v>8.1</v>
      </c>
      <c r="AH256" s="4">
        <v>8.0500000000000007</v>
      </c>
      <c r="AI256" s="4">
        <v>8.08</v>
      </c>
      <c r="AJ256" s="4">
        <v>7.58</v>
      </c>
      <c r="AK256" s="4">
        <v>7.53</v>
      </c>
      <c r="AL256" s="4">
        <v>7.68</v>
      </c>
      <c r="AM256" s="4">
        <v>7.75</v>
      </c>
      <c r="AN256" s="4">
        <v>7.79</v>
      </c>
      <c r="AO256" s="4">
        <v>7.61</v>
      </c>
      <c r="AP256" s="4">
        <v>7.85</v>
      </c>
      <c r="AQ256" s="4">
        <v>7.74</v>
      </c>
      <c r="AR256" s="4">
        <v>7.46</v>
      </c>
      <c r="AS256" s="4">
        <v>7.71</v>
      </c>
      <c r="AT256" s="4">
        <v>7.8</v>
      </c>
      <c r="AU256" s="4">
        <v>7.7</v>
      </c>
      <c r="AV256" s="4">
        <v>7.36</v>
      </c>
      <c r="AW256" s="4">
        <v>7.02</v>
      </c>
      <c r="AX256" s="4">
        <v>7.09</v>
      </c>
      <c r="AY256" s="12">
        <v>7.21</v>
      </c>
      <c r="AZ256" s="12">
        <v>7.26</v>
      </c>
      <c r="BA256" s="12">
        <v>7.25</v>
      </c>
      <c r="BB256" s="15">
        <v>7.15</v>
      </c>
      <c r="BC256" s="52">
        <v>7.08</v>
      </c>
      <c r="BD256" s="52">
        <v>6.92</v>
      </c>
      <c r="BE256" s="52">
        <v>7.02</v>
      </c>
      <c r="BF256" s="52">
        <v>7.06</v>
      </c>
      <c r="BG256" s="67">
        <v>7.02</v>
      </c>
      <c r="BH256" s="52">
        <v>6.79</v>
      </c>
      <c r="BI256" s="52">
        <v>6.8</v>
      </c>
      <c r="BJ256" s="52">
        <v>6.94</v>
      </c>
      <c r="BK256" s="52">
        <v>6.83</v>
      </c>
      <c r="BL256" s="52">
        <v>6.6</v>
      </c>
      <c r="BM256" s="52">
        <v>6.73</v>
      </c>
      <c r="BN256" s="52">
        <v>6.5</v>
      </c>
      <c r="BO256" s="52">
        <v>6.35</v>
      </c>
      <c r="BP256" s="52" cm="1">
        <f t="array" aca="1" ref="BP256" ca="1">_FV(ED256,"Preço")</f>
        <v>6.14</v>
      </c>
      <c r="BQ256" s="69" t="s">
        <v>252</v>
      </c>
      <c r="BR256" s="36" cm="1">
        <f t="array" aca="1" ref="BR256" ca="1">_FV(ED256,"Média de volume",TRUE)</f>
        <v>623300</v>
      </c>
      <c r="BS256" s="36">
        <v>447400</v>
      </c>
      <c r="BT256" s="36" cm="1">
        <f t="array" aca="1" ref="BT256" ca="1">_FV(ED256,"Volume")</f>
        <v>637700</v>
      </c>
      <c r="BU256" s="24" cm="1">
        <f t="array" aca="1" ref="BU256" ca="1">_FV(ED256,"Beta")</f>
        <v>0.33829999999999999</v>
      </c>
      <c r="BV256" s="71" cm="1">
        <f t="array" aca="1" ref="BV256" ca="1">_FV(ED256,"Variação (%)",TRUE)</f>
        <v>-8.0780000000000001E-3</v>
      </c>
      <c r="BX256" s="17" cm="1">
        <f t="array" aca="1" ref="BX256" ca="1">_FV(ED256,"Baixo")</f>
        <v>6.05</v>
      </c>
      <c r="BY256" s="17" cm="1">
        <f t="array" aca="1" ref="BY256" ca="1">_FV(ED256,"Alto")</f>
        <v>6.22</v>
      </c>
      <c r="BZ256" s="24"/>
      <c r="CA256" s="63">
        <f ca="1">SQRT(22.5*(BP256/VLOOKUP(BQ256,Fundamentus!A:U,3,FALSE))*(BP256/VLOOKUP(BQ256,Fundamentus!A:U,4,FALSE)))</f>
        <v>12.44004082700563</v>
      </c>
      <c r="CC256" s="62">
        <f t="shared" ca="1" si="241"/>
        <v>-3.3070866141732283E-2</v>
      </c>
      <c r="CD256" s="8"/>
      <c r="CE256" s="61">
        <f t="shared" si="242"/>
        <v>6.35</v>
      </c>
      <c r="CF256" s="61">
        <f t="shared" si="243"/>
        <v>8.9</v>
      </c>
      <c r="CG256" s="61">
        <f t="shared" si="244"/>
        <v>7.6120895522388059</v>
      </c>
      <c r="CH256" s="14"/>
      <c r="CI256" s="35">
        <f t="shared" si="227"/>
        <v>5.9626218738566017</v>
      </c>
      <c r="CJ256" s="15">
        <f t="shared" si="245"/>
        <v>6.2999999999999545</v>
      </c>
      <c r="CK256" s="35">
        <f t="shared" si="228"/>
        <v>6.6373781261433074</v>
      </c>
      <c r="CM256" s="14"/>
      <c r="CN256" s="17">
        <f t="shared" si="229"/>
        <v>2.9499999999999993</v>
      </c>
      <c r="CO256" s="17">
        <f t="shared" si="230"/>
        <v>4.6499999999999995</v>
      </c>
      <c r="CP256" s="17">
        <f t="shared" si="231"/>
        <v>5.5</v>
      </c>
      <c r="CQ256" s="38">
        <f t="shared" si="246"/>
        <v>7.2</v>
      </c>
      <c r="CR256" s="17">
        <f t="shared" si="232"/>
        <v>8.0500000000000007</v>
      </c>
      <c r="CS256" s="17">
        <f t="shared" si="233"/>
        <v>9.75</v>
      </c>
      <c r="CT256" s="17">
        <f t="shared" si="234"/>
        <v>10.600000000000001</v>
      </c>
      <c r="CU256" s="2" cm="1">
        <f t="array" aca="1" ref="CU256" ca="1">MAX(_xlfn._xlws.FILTER(CN256:CT256,CN256:CT256&lt;BP256))</f>
        <v>5.5</v>
      </c>
      <c r="CV256" s="2" cm="1">
        <f t="array" aca="1" ref="CV256" ca="1">MIN(_xlfn._xlws.FILTER($CN256:$CT256,$CN256:$CT256&gt;BP256))</f>
        <v>7.2</v>
      </c>
      <c r="CW256" s="16">
        <f t="shared" ref="CW256:CW261" ca="1" si="265">(CV256/CU256)-1</f>
        <v>0.30909090909090908</v>
      </c>
      <c r="CX256" s="20">
        <f t="shared" ref="CX256:CX261" ca="1" si="266">-$CW256/2</f>
        <v>-0.15454545454545454</v>
      </c>
      <c r="CY256" s="20">
        <f t="shared" ref="CY256:CY261" ca="1" si="267">-$CW256/3</f>
        <v>-0.10303030303030303</v>
      </c>
      <c r="CZ256" s="20">
        <f t="shared" ref="CZ256:CZ261" ca="1" si="268">-$CW256/5</f>
        <v>-6.1818181818181814E-2</v>
      </c>
      <c r="DA256" s="20">
        <f t="shared" ref="DA256:DA261" ca="1" si="269">-$CW256/9</f>
        <v>-3.4343434343434343E-2</v>
      </c>
      <c r="DB256" s="20">
        <f t="shared" ref="DB256:DB263" ca="1" si="270">-$CW256/17</f>
        <v>-1.8181818181818181E-2</v>
      </c>
      <c r="DC256" s="20">
        <f t="shared" ref="DC256:DC263" ca="1" si="271">-$CW256/33</f>
        <v>-9.3663911845730027E-3</v>
      </c>
      <c r="DD256" s="20">
        <f t="shared" ref="DD256:DD263" ca="1" si="272">-$CW256/65</f>
        <v>-4.7552447552447552E-3</v>
      </c>
      <c r="DE256" s="21">
        <f t="shared" ref="DE256:DE263" ca="1" si="273">-$CW256/65*-1</f>
        <v>4.7552447552447552E-3</v>
      </c>
      <c r="DF256" s="21">
        <f t="shared" ref="DF256:DF263" ca="1" si="274">-$CW256/33*-1</f>
        <v>9.3663911845730027E-3</v>
      </c>
      <c r="DG256" s="21">
        <f t="shared" ref="DG256:DG263" ca="1" si="275">-$CW256/17*-1</f>
        <v>1.8181818181818181E-2</v>
      </c>
      <c r="DH256" s="21">
        <f t="shared" ref="DH256:DH261" ca="1" si="276">-$CW256/9*-1</f>
        <v>3.4343434343434343E-2</v>
      </c>
      <c r="DI256" s="21">
        <f t="shared" ref="DI256:DI261" ca="1" si="277">-$CW256/5*-1</f>
        <v>6.1818181818181814E-2</v>
      </c>
      <c r="DJ256" s="21">
        <f t="shared" ref="DJ256:DJ261" ca="1" si="278">-$CW256/3*-1</f>
        <v>0.10303030303030303</v>
      </c>
      <c r="DK256" s="21">
        <f t="shared" ref="DK256:DK261" ca="1" si="279">-$CW256/2*-1</f>
        <v>0.15454545454545454</v>
      </c>
      <c r="DM256" s="16" cm="1">
        <f t="array" aca="1" ref="DM256" ca="1">MAX(_xlfn._xlws.FILTER(CX256:DK256,CX256:DK256&lt;BV256))</f>
        <v>-9.3663911845730027E-3</v>
      </c>
      <c r="DN256" s="16" cm="1">
        <f t="array" aca="1" ref="DN256" ca="1">MIN(_xlfn._xlws.FILTER(CX256:DK256,CX256:DK256&gt;BV256))</f>
        <v>-4.7552447552447552E-3</v>
      </c>
      <c r="DO256" s="2" cm="1">
        <f t="array" aca="1" ref="DO256" ca="1">_FV(ED256,"Fechamento anterior",TRUE)</f>
        <v>6.19</v>
      </c>
      <c r="DP256" s="28">
        <f t="shared" ca="1" si="235"/>
        <v>0.27950679464029216</v>
      </c>
      <c r="DQ256" s="15">
        <f t="shared" ref="DQ256:DQ260" ca="1" si="280">DO256+(DO256*DM256)</f>
        <v>6.1320220385674933</v>
      </c>
      <c r="DR256" s="15">
        <f t="shared" ref="DR256:DR260" ca="1" si="281">DO256+(DO256*DN256)</f>
        <v>6.1605650349650354</v>
      </c>
      <c r="DS256" s="9"/>
      <c r="DT256" s="9"/>
      <c r="DU256" s="9"/>
      <c r="DV256" s="89">
        <v>8.8154269972451783E-3</v>
      </c>
      <c r="DW256" s="89">
        <f t="shared" ca="1" si="236"/>
        <v>4.6111464293282474E-3</v>
      </c>
      <c r="DX256" s="72">
        <f t="shared" ca="1" si="237"/>
        <v>-0.47424532772456751</v>
      </c>
      <c r="DY256" s="37"/>
      <c r="DZ256" s="35">
        <f t="shared" si="247"/>
        <v>0.16868906307167653</v>
      </c>
      <c r="EA256" s="56"/>
      <c r="EB256" s="56"/>
      <c r="ED256" s="2" t="e" vm="258">
        <v>#VALUE!</v>
      </c>
      <c r="EF256" s="10" cm="1">
        <f t="array" aca="1" ref="EF256" ca="1">_FV(ED256,"Ações em circulação",TRUE)</f>
        <v>353175000</v>
      </c>
      <c r="EG256" s="18">
        <f>VLOOKUP(BQ256,Fundamentus!A:U,5,FALSE)</f>
        <v>1.0529999999999999</v>
      </c>
      <c r="EH256" s="2">
        <f t="shared" ca="1" si="238"/>
        <v>2059349002.8490031</v>
      </c>
      <c r="EI256" s="17">
        <v>290715347.22222227</v>
      </c>
      <c r="EJ256" s="17">
        <f t="shared" ca="1" si="239"/>
        <v>281101138.88888896</v>
      </c>
      <c r="EL256" s="16">
        <f t="shared" ca="1" si="226"/>
        <v>-3.3070866141732158E-2</v>
      </c>
      <c r="EM256" s="32" t="str">
        <f>IF(VLOOKUP(BQ256,Fundamentus!A:U,3,FALSE)&lt;15,"Bom",IF(VLOOKUP(BQ256,Fundamentus!A:U,3,FALSE)&gt;15,"Ruim","n/a"))</f>
        <v>Bom</v>
      </c>
      <c r="EN256" s="28" t="str">
        <f>IF(VLOOKUP(BQ256,Fundamentus!A:U,4,FALSE)&lt;1,"Baixo",IF(VLOOKUP(BQ256,Fundamentus!A:U,4,FALSE)&lt;1.5,"Moderado",IF(VLOOKUP(BQ256,Fundamentus!A:U,4,FALSE)&gt;1.5,"Alto","n/a")))</f>
        <v>Baixo</v>
      </c>
      <c r="EO256" s="17" t="str">
        <f>IF(VLOOKUP(BQ256,Fundamentus!A:U,8,FALSE)&lt;0,"Risco elevado",IF(VLOOKUP(BQ256,Fundamentus!A:U,8,FALSE)&lt;1,"Saudável",IF(VLOOKUP(BQ256,Fundamentus!A:U,8,FALSE)&lt;3,"Estável",IF(VLOOKUP(BQ256,Fundamentus!A:U,8,FALSE)&gt;3,"Alerta","n/a"))))</f>
        <v>Estável</v>
      </c>
      <c r="EP256" s="28" t="str">
        <f t="shared" si="240"/>
        <v>Bom</v>
      </c>
      <c r="EQ256" s="17" t="str">
        <f>IF(VLOOKUP(BQ256,Fundamentus!A:U,12,FALSE)&lt;2,"Subvalorizada",IF(VLOOKUP(BQ256,Fundamentus!A:U,12,FALSE)&lt;6,"Muita barata",IF(VLOOKUP(BQ256,Fundamentus!A:U,12,FALSE)&lt;6,"Barata",IF(VLOOKUP(BQ256,Fundamentus!A:U,12,FALSE)&lt;8,"Atrativa",IF(VLOOKUP(BQ256,Fundamentus!A:U,12,FALSE)&gt;8,"Supervalorizada","n/a")))))</f>
        <v>Muita barata</v>
      </c>
      <c r="ES256" s="17" t="str">
        <f>IF(VLOOKUP(BQ256,Fundamentus!A:U,17,FALSE)&lt;0.1,"Fraco retorno",IF(VLOOKUP(BQ256,Fundamentus!A:U,17,FALSE)&gt;0.1,"Bom retorno","n/a"))</f>
        <v>Fraco retorno</v>
      </c>
      <c r="ET256" s="17" t="str">
        <f>IF(VLOOKUP(BQ256,Fundamentus!A:U,16,FALSE)&lt;0.1,"Ineficiente",IF(VLOOKUP(BQ256,Fundamentus!A:U,16,FALSE)&gt;0.1,"Eficiente","n/a"))</f>
        <v>Ineficiente</v>
      </c>
      <c r="EU256" s="33" t="str">
        <f>IF(VLOOKUP(BQ256,Fundamentus!A:U,16,FALSE)&lt;0.1,"Oper. Ineficiente",IF(VLOOKUP(BQ256,Fundamentus!A:U,16,FALSE)&gt;0.1,"Oper.Eficiente","n/a"))</f>
        <v>Oper. Ineficiente</v>
      </c>
      <c r="EV256" s="34">
        <f>VLOOKUP(BQ256,Fundamentus!A:U,14,FALSE)</f>
        <v>0.13650000000000001</v>
      </c>
      <c r="EW256" s="17" t="str">
        <f>IF(VLOOKUP(BQ256,Fundamentus!A:U,21,FALSE)&lt;0,"Negativo",IF(VLOOKUP(BQ256,Fundamentus!A:U,21,FALSE)&lt;0.05,"Fraco",IF(VLOOKUP(BQ256,Fundamentus!A:U,21,FALSE)&lt;0.1,"Bom",IF(VLOOKUP(BQ256,Fundamentus!A:U,21,FALSE)&gt;0.1,"Muito bom","n/a"))))</f>
        <v>Fraco</v>
      </c>
      <c r="EY256" s="29" t="str">
        <f>IF(VLOOKUP(BQ256,Fundamentus!A:U,15,FALSE)&gt;1,"Bom",IF(VLOOKUP(BQ256,Fundamentus!A:U,15,FALSE)&lt;1,"Ruim","n/a"))</f>
        <v>Bom</v>
      </c>
      <c r="EZ256" s="17" t="str">
        <f>IF(VLOOKUP(BQ256,Fundamentus!A:U,20,FALSE)&lt;0.5,"Baixa",IF(VLOOKUP(BQ256,Fundamentus!A:U,20,FALSE)&lt;1,"Moderada",IF(VLOOKUP(BQ256,Fundamentus!A:U,20,FALSE)&lt;2,"Alerta",IF(VLOOKUP(BQ256,Fundamentus!A:U,20,FALSE)&gt;2,"Alta","n/a"))))</f>
        <v>Baixa</v>
      </c>
    </row>
    <row r="257" spans="1:156" s="2" customFormat="1" ht="11.25" hidden="1" x14ac:dyDescent="0.2">
      <c r="A257" s="4">
        <v>4.5999999999999996</v>
      </c>
      <c r="B257" s="4">
        <v>4.82</v>
      </c>
      <c r="C257" s="4">
        <v>5.27</v>
      </c>
      <c r="D257" s="4">
        <v>4.72</v>
      </c>
      <c r="E257" s="4">
        <v>4.3099999999999996</v>
      </c>
      <c r="F257" s="4">
        <v>4.13</v>
      </c>
      <c r="G257" s="4">
        <v>3.97</v>
      </c>
      <c r="H257" s="4">
        <v>3.82</v>
      </c>
      <c r="I257" s="4">
        <v>3.71</v>
      </c>
      <c r="J257" s="4">
        <v>4.1500000000000004</v>
      </c>
      <c r="K257" s="4">
        <v>4.4400000000000004</v>
      </c>
      <c r="L257" s="4">
        <v>4.09</v>
      </c>
      <c r="M257" s="4">
        <v>4.07</v>
      </c>
      <c r="N257" s="4">
        <v>4.07</v>
      </c>
      <c r="O257" s="4">
        <v>4.38</v>
      </c>
      <c r="P257" s="4">
        <v>3.96</v>
      </c>
      <c r="Q257" s="4">
        <v>4.4400000000000004</v>
      </c>
      <c r="R257" s="4">
        <v>4.25</v>
      </c>
      <c r="S257" s="4">
        <v>4.3</v>
      </c>
      <c r="T257" s="4">
        <v>4.1399999999999997</v>
      </c>
      <c r="U257" s="4">
        <v>3.78</v>
      </c>
      <c r="V257" s="4">
        <v>3.4</v>
      </c>
      <c r="W257" s="4">
        <v>3.08</v>
      </c>
      <c r="X257" s="4">
        <v>2.89</v>
      </c>
      <c r="Y257" s="4">
        <v>2.82</v>
      </c>
      <c r="Z257" s="4">
        <v>2.84</v>
      </c>
      <c r="AA257" s="4">
        <v>2.74</v>
      </c>
      <c r="AB257" s="4">
        <v>2.78</v>
      </c>
      <c r="AC257" s="4">
        <v>2.77</v>
      </c>
      <c r="AD257" s="4">
        <v>2.81</v>
      </c>
      <c r="AE257" s="4">
        <v>2.6</v>
      </c>
      <c r="AF257" s="4">
        <v>2.56</v>
      </c>
      <c r="AG257" s="4">
        <v>2.5499999999999998</v>
      </c>
      <c r="AH257" s="4">
        <v>2.2999999999999998</v>
      </c>
      <c r="AI257" s="4">
        <v>2.2000000000000002</v>
      </c>
      <c r="AJ257" s="4">
        <v>2.0699999999999998</v>
      </c>
      <c r="AK257" s="4">
        <v>2.06</v>
      </c>
      <c r="AL257" s="4">
        <v>2.09</v>
      </c>
      <c r="AM257" s="4">
        <v>2.15</v>
      </c>
      <c r="AN257" s="4">
        <v>2.3199999999999998</v>
      </c>
      <c r="AO257" s="4">
        <v>2.23</v>
      </c>
      <c r="AP257" s="4">
        <v>2.25</v>
      </c>
      <c r="AQ257" s="4">
        <v>2.23</v>
      </c>
      <c r="AR257" s="4">
        <v>2.16</v>
      </c>
      <c r="AS257" s="4">
        <v>2.1800000000000002</v>
      </c>
      <c r="AT257" s="4">
        <v>2.33</v>
      </c>
      <c r="AU257" s="4">
        <v>2.3149999999999999</v>
      </c>
      <c r="AV257" s="4">
        <v>2.95</v>
      </c>
      <c r="AW257" s="4">
        <v>2.84</v>
      </c>
      <c r="AX257" s="4">
        <v>2.58</v>
      </c>
      <c r="AY257" s="12">
        <v>2.68</v>
      </c>
      <c r="AZ257" s="12">
        <v>2.87</v>
      </c>
      <c r="BA257" s="12">
        <v>2.76</v>
      </c>
      <c r="BB257" s="15">
        <v>2.75</v>
      </c>
      <c r="BC257" s="52">
        <v>3.02</v>
      </c>
      <c r="BD257" s="52">
        <v>3.08</v>
      </c>
      <c r="BE257" s="52">
        <v>2.88</v>
      </c>
      <c r="BF257" s="52">
        <v>2.71</v>
      </c>
      <c r="BG257" s="67">
        <v>2.5099999999999998</v>
      </c>
      <c r="BH257" s="52">
        <v>2.5299999999999998</v>
      </c>
      <c r="BI257" s="52">
        <v>2.54</v>
      </c>
      <c r="BJ257" s="52">
        <v>2.6</v>
      </c>
      <c r="BK257" s="52">
        <v>2.39</v>
      </c>
      <c r="BL257" s="52">
        <v>2.37</v>
      </c>
      <c r="BM257" s="52">
        <v>2.48</v>
      </c>
      <c r="BN257" s="52">
        <v>2.5</v>
      </c>
      <c r="BO257" s="52">
        <v>2.58</v>
      </c>
      <c r="BP257" s="52" cm="1">
        <f t="array" aca="1" ref="BP257" ca="1">_FV(ED257,"Preço")</f>
        <v>2.2400000000000002</v>
      </c>
      <c r="BQ257" s="69" t="s">
        <v>253</v>
      </c>
      <c r="BR257" s="36" cm="1">
        <f t="array" aca="1" ref="BR257" ca="1">_FV(ED257,"Média de volume",TRUE)</f>
        <v>2480210</v>
      </c>
      <c r="BS257" s="36">
        <v>1739900</v>
      </c>
      <c r="BT257" s="36" cm="1">
        <f t="array" aca="1" ref="BT257" ca="1">_FV(ED257,"Volume")</f>
        <v>2227600</v>
      </c>
      <c r="BU257" s="24" cm="1">
        <f t="array" aca="1" ref="BU257" ca="1">_FV(ED257,"Beta")</f>
        <v>1.7891999999999999</v>
      </c>
      <c r="BV257" s="71" cm="1">
        <f t="array" aca="1" ref="BV257" ca="1">_FV(ED257,"Variação (%)",TRUE)</f>
        <v>4.1860000000000001E-2</v>
      </c>
      <c r="BX257" s="17" cm="1">
        <f t="array" aca="1" ref="BX257" ca="1">_FV(ED257,"Baixo")</f>
        <v>2.13</v>
      </c>
      <c r="BY257" s="17" cm="1">
        <f t="array" aca="1" ref="BY257" ca="1">_FV(ED257,"Alto")</f>
        <v>2.2400000000000002</v>
      </c>
      <c r="BZ257" s="24"/>
      <c r="CA257" s="63" t="e">
        <f ca="1">SQRT(22.5*(BP257/VLOOKUP(BQ257,Fundamentus!A:U,3,FALSE))*(BP257/VLOOKUP(BQ257,Fundamentus!A:U,4,FALSE)))</f>
        <v>#NUM!</v>
      </c>
      <c r="CC257" s="62">
        <f t="shared" ca="1" si="241"/>
        <v>-0.13178294573643404</v>
      </c>
      <c r="CD257" s="8"/>
      <c r="CE257" s="61">
        <f t="shared" si="242"/>
        <v>2.06</v>
      </c>
      <c r="CF257" s="61">
        <f t="shared" si="243"/>
        <v>5.27</v>
      </c>
      <c r="CG257" s="61">
        <f t="shared" si="244"/>
        <v>3.1009701492537309</v>
      </c>
      <c r="CH257" s="14"/>
      <c r="CI257" s="35">
        <f t="shared" si="227"/>
        <v>2.4918464822473685</v>
      </c>
      <c r="CJ257" s="15">
        <f t="shared" si="245"/>
        <v>2.6449999999999818</v>
      </c>
      <c r="CK257" s="35">
        <f t="shared" si="228"/>
        <v>2.7981535177525951</v>
      </c>
      <c r="CM257" s="14"/>
      <c r="CN257" s="17">
        <f t="shared" si="229"/>
        <v>-1.8733333333333326</v>
      </c>
      <c r="CO257" s="17">
        <f t="shared" si="230"/>
        <v>9.3333333333333712E-2</v>
      </c>
      <c r="CP257" s="17">
        <f t="shared" si="231"/>
        <v>1.3366666666666669</v>
      </c>
      <c r="CQ257" s="38">
        <f t="shared" si="246"/>
        <v>3.3033333333333332</v>
      </c>
      <c r="CR257" s="17">
        <f t="shared" si="232"/>
        <v>4.5466666666666669</v>
      </c>
      <c r="CS257" s="17">
        <f t="shared" si="233"/>
        <v>6.5133333333333328</v>
      </c>
      <c r="CT257" s="17">
        <f t="shared" si="234"/>
        <v>7.7566666666666659</v>
      </c>
      <c r="CU257" s="2" cm="1">
        <f t="array" aca="1" ref="CU257" ca="1">MAX(_xlfn._xlws.FILTER(CN257:CT257,CN257:CT257&lt;BP257))</f>
        <v>1.3366666666666669</v>
      </c>
      <c r="CV257" s="2" cm="1">
        <f t="array" aca="1" ref="CV257" ca="1">MIN(_xlfn._xlws.FILTER($CN257:$CT257,$CN257:$CT257&gt;BP257))</f>
        <v>3.3033333333333332</v>
      </c>
      <c r="CW257" s="16">
        <f t="shared" ca="1" si="265"/>
        <v>1.4713216957605981</v>
      </c>
      <c r="CX257" s="20">
        <f t="shared" ca="1" si="266"/>
        <v>-0.73566084788029906</v>
      </c>
      <c r="CY257" s="20">
        <f t="shared" ca="1" si="267"/>
        <v>-0.49044056525353269</v>
      </c>
      <c r="CZ257" s="20">
        <f t="shared" ca="1" si="268"/>
        <v>-0.29426433915211964</v>
      </c>
      <c r="DA257" s="20">
        <f t="shared" ca="1" si="269"/>
        <v>-0.16348018841784423</v>
      </c>
      <c r="DB257" s="20">
        <f t="shared" ca="1" si="270"/>
        <v>-8.6548335044741062E-2</v>
      </c>
      <c r="DC257" s="20">
        <f t="shared" ca="1" si="271"/>
        <v>-4.4585505932139335E-2</v>
      </c>
      <c r="DD257" s="20">
        <f t="shared" ca="1" si="272"/>
        <v>-2.2635718396316895E-2</v>
      </c>
      <c r="DE257" s="21">
        <f t="shared" ca="1" si="273"/>
        <v>2.2635718396316895E-2</v>
      </c>
      <c r="DF257" s="21">
        <f t="shared" ca="1" si="274"/>
        <v>4.4585505932139335E-2</v>
      </c>
      <c r="DG257" s="21">
        <f t="shared" ca="1" si="275"/>
        <v>8.6548335044741062E-2</v>
      </c>
      <c r="DH257" s="21">
        <f t="shared" ca="1" si="276"/>
        <v>0.16348018841784423</v>
      </c>
      <c r="DI257" s="21">
        <f t="shared" ca="1" si="277"/>
        <v>0.29426433915211964</v>
      </c>
      <c r="DJ257" s="21">
        <f t="shared" ca="1" si="278"/>
        <v>0.49044056525353269</v>
      </c>
      <c r="DK257" s="21">
        <f t="shared" ca="1" si="279"/>
        <v>0.73566084788029906</v>
      </c>
      <c r="DM257" s="16" cm="1">
        <f t="array" aca="1" ref="DM257" ca="1">MAX(_xlfn._xlws.FILTER(CX257:DK257,CX257:DK257&lt;BV257))</f>
        <v>2.2635718396316895E-2</v>
      </c>
      <c r="DN257" s="16" cm="1">
        <f t="array" aca="1" ref="DN257" ca="1">MIN(_xlfn._xlws.FILTER(CX257:DK257,CX257:DK257&gt;BV257))</f>
        <v>4.4585505932139335E-2</v>
      </c>
      <c r="DO257" s="2" cm="1">
        <f t="array" aca="1" ref="DO257" ca="1">_FV(ED257,"Fechamento anterior",TRUE)</f>
        <v>2.15</v>
      </c>
      <c r="DP257" s="28">
        <f t="shared" ca="1" si="235"/>
        <v>0.8758511529365447</v>
      </c>
      <c r="DQ257" s="15">
        <f t="shared" ca="1" si="280"/>
        <v>2.1986667945520812</v>
      </c>
      <c r="DR257" s="15">
        <f t="shared" ca="1" si="281"/>
        <v>2.2458588377540996</v>
      </c>
      <c r="DS257" s="9"/>
      <c r="DT257" s="9"/>
      <c r="DU257" s="9"/>
      <c r="DV257" s="89">
        <v>4.527143679263379E-2</v>
      </c>
      <c r="DW257" s="89">
        <f t="shared" ca="1" si="236"/>
        <v>2.194978753582244E-2</v>
      </c>
      <c r="DX257" s="72">
        <f t="shared" ca="1" si="237"/>
        <v>-2.6444054693812014</v>
      </c>
      <c r="DY257" s="37"/>
      <c r="DZ257" s="35">
        <f t="shared" si="247"/>
        <v>7.6576758876306564E-2</v>
      </c>
      <c r="EA257" s="56"/>
      <c r="EB257" s="56"/>
      <c r="ED257" s="2" t="e" vm="259">
        <v>#VALUE!</v>
      </c>
      <c r="EF257" s="10" cm="1">
        <f t="array" aca="1" ref="EF257" ca="1">_FV(ED257,"Ações em circulação",TRUE)</f>
        <v>206917300</v>
      </c>
      <c r="EG257" s="18">
        <f>VLOOKUP(BQ257,Fundamentus!A:U,5,FALSE)</f>
        <v>0.17899999999999999</v>
      </c>
      <c r="EH257" s="2">
        <f t="shared" ca="1" si="238"/>
        <v>2589356156.4245815</v>
      </c>
      <c r="EI257" s="17">
        <v>-92155647.992178768</v>
      </c>
      <c r="EJ257" s="17">
        <f t="shared" ca="1" si="239"/>
        <v>-80011105.233519569</v>
      </c>
      <c r="EL257" s="16">
        <f t="shared" ca="1" si="226"/>
        <v>-0.1317829457364339</v>
      </c>
      <c r="EM257" s="32" t="str">
        <f>IF(VLOOKUP(BQ257,Fundamentus!A:U,3,FALSE)&lt;15,"Bom",IF(VLOOKUP(BQ257,Fundamentus!A:U,3,FALSE)&gt;15,"Ruim","n/a"))</f>
        <v>Bom</v>
      </c>
      <c r="EN257" s="28" t="str">
        <f>IF(VLOOKUP(BQ257,Fundamentus!A:U,4,FALSE)&lt;1,"Baixo",IF(VLOOKUP(BQ257,Fundamentus!A:U,4,FALSE)&lt;1.5,"Moderado",IF(VLOOKUP(BQ257,Fundamentus!A:U,4,FALSE)&gt;1.5,"Alto","n/a")))</f>
        <v>Baixo</v>
      </c>
      <c r="EO257" s="17" t="str">
        <f>IF(VLOOKUP(BQ257,Fundamentus!A:U,8,FALSE)&lt;0,"Risco elevado",IF(VLOOKUP(BQ257,Fundamentus!A:U,8,FALSE)&lt;1,"Saudável",IF(VLOOKUP(BQ257,Fundamentus!A:U,8,FALSE)&lt;3,"Estável",IF(VLOOKUP(BQ257,Fundamentus!A:U,8,FALSE)&gt;3,"Alerta","n/a"))))</f>
        <v>Saudável</v>
      </c>
      <c r="EP257" s="28" t="str">
        <f t="shared" si="240"/>
        <v>Ruim</v>
      </c>
      <c r="EQ257" s="17" t="str">
        <f>IF(VLOOKUP(BQ257,Fundamentus!A:U,12,FALSE)&lt;2,"Subvalorizada",IF(VLOOKUP(BQ257,Fundamentus!A:U,12,FALSE)&lt;6,"Muita barata",IF(VLOOKUP(BQ257,Fundamentus!A:U,12,FALSE)&lt;6,"Barata",IF(VLOOKUP(BQ257,Fundamentus!A:U,12,FALSE)&lt;8,"Atrativa",IF(VLOOKUP(BQ257,Fundamentus!A:U,12,FALSE)&gt;8,"Supervalorizada","n/a")))))</f>
        <v>Muita barata</v>
      </c>
      <c r="ES257" s="17" t="str">
        <f>IF(VLOOKUP(BQ257,Fundamentus!A:U,17,FALSE)&lt;0.1,"Fraco retorno",IF(VLOOKUP(BQ257,Fundamentus!A:U,17,FALSE)&gt;0.1,"Bom retorno","n/a"))</f>
        <v>Fraco retorno</v>
      </c>
      <c r="ET257" s="17" t="str">
        <f>IF(VLOOKUP(BQ257,Fundamentus!A:U,16,FALSE)&lt;0.1,"Ineficiente",IF(VLOOKUP(BQ257,Fundamentus!A:U,16,FALSE)&gt;0.1,"Eficiente","n/a"))</f>
        <v>Ineficiente</v>
      </c>
      <c r="EU257" s="33" t="str">
        <f>IF(VLOOKUP(BQ257,Fundamentus!A:U,16,FALSE)&lt;0.1,"Oper. Ineficiente",IF(VLOOKUP(BQ257,Fundamentus!A:U,16,FALSE)&gt;0.1,"Oper.Eficiente","n/a"))</f>
        <v>Oper. Ineficiente</v>
      </c>
      <c r="EV257" s="34">
        <f>VLOOKUP(BQ257,Fundamentus!A:U,14,FALSE)</f>
        <v>-3.09E-2</v>
      </c>
      <c r="EW257" s="17" t="str">
        <f>IF(VLOOKUP(BQ257,Fundamentus!A:U,21,FALSE)&lt;0,"Negativo",IF(VLOOKUP(BQ257,Fundamentus!A:U,21,FALSE)&lt;0.05,"Fraco",IF(VLOOKUP(BQ257,Fundamentus!A:U,21,FALSE)&lt;0.1,"Bom",IF(VLOOKUP(BQ257,Fundamentus!A:U,21,FALSE)&gt;0.1,"Muito bom","n/a"))))</f>
        <v>Muito bom</v>
      </c>
      <c r="EY257" s="29" t="str">
        <f>IF(VLOOKUP(BQ257,Fundamentus!A:U,15,FALSE)&gt;1,"Bom",IF(VLOOKUP(BQ257,Fundamentus!A:U,15,FALSE)&lt;1,"Ruim","n/a"))</f>
        <v>Bom</v>
      </c>
      <c r="EZ257" s="17" t="str">
        <f>IF(VLOOKUP(BQ257,Fundamentus!A:U,20,FALSE)&lt;0.5,"Baixa",IF(VLOOKUP(BQ257,Fundamentus!A:U,20,FALSE)&lt;1,"Moderada",IF(VLOOKUP(BQ257,Fundamentus!A:U,20,FALSE)&lt;2,"Alerta",IF(VLOOKUP(BQ257,Fundamentus!A:U,20,FALSE)&gt;2,"Alta","n/a"))))</f>
        <v>Moderada</v>
      </c>
    </row>
    <row r="258" spans="1:156" s="2" customFormat="1" ht="11.25" hidden="1" x14ac:dyDescent="0.2">
      <c r="A258" s="4">
        <v>2.97</v>
      </c>
      <c r="B258" s="4">
        <v>2.98</v>
      </c>
      <c r="C258" s="4">
        <v>2.87</v>
      </c>
      <c r="D258" s="4">
        <v>2.74</v>
      </c>
      <c r="E258" s="4">
        <v>2.62</v>
      </c>
      <c r="F258" s="4">
        <v>2.4900000000000002</v>
      </c>
      <c r="G258" s="4">
        <v>2.02</v>
      </c>
      <c r="H258" s="4">
        <v>2.2999999999999998</v>
      </c>
      <c r="I258" s="4">
        <v>2.31</v>
      </c>
      <c r="J258" s="4">
        <v>2.38</v>
      </c>
      <c r="K258" s="4">
        <v>2.6</v>
      </c>
      <c r="L258" s="4">
        <v>2.39</v>
      </c>
      <c r="M258" s="4">
        <v>2.2599999999999998</v>
      </c>
      <c r="N258" s="4">
        <v>2.5</v>
      </c>
      <c r="O258" s="4">
        <v>2.56</v>
      </c>
      <c r="P258" s="4">
        <v>2.5</v>
      </c>
      <c r="Q258" s="4">
        <v>2.5</v>
      </c>
      <c r="R258" s="4">
        <v>2.35</v>
      </c>
      <c r="S258" s="4">
        <v>2.19</v>
      </c>
      <c r="T258" s="4">
        <v>2.0699999999999998</v>
      </c>
      <c r="U258" s="4">
        <v>2.0099999999999998</v>
      </c>
      <c r="V258" s="4">
        <v>1.87</v>
      </c>
      <c r="W258" s="4">
        <v>1.73</v>
      </c>
      <c r="X258" s="4">
        <v>1.81</v>
      </c>
      <c r="Y258" s="4">
        <v>1.7</v>
      </c>
      <c r="Z258" s="4">
        <v>1.57</v>
      </c>
      <c r="AA258" s="4">
        <v>1.44</v>
      </c>
      <c r="AB258" s="4">
        <v>1.45</v>
      </c>
      <c r="AC258" s="4">
        <v>1.31</v>
      </c>
      <c r="AD258" s="4">
        <v>1.3</v>
      </c>
      <c r="AE258" s="4">
        <v>1.34</v>
      </c>
      <c r="AF258" s="4">
        <v>1.25</v>
      </c>
      <c r="AG258" s="4">
        <v>1.22</v>
      </c>
      <c r="AH258" s="4">
        <v>1.1599999999999999</v>
      </c>
      <c r="AI258" s="4">
        <v>1.1499999999999999</v>
      </c>
      <c r="AJ258" s="4">
        <v>1.1000000000000001</v>
      </c>
      <c r="AK258" s="4">
        <v>1.07</v>
      </c>
      <c r="AL258" s="4">
        <v>1.0900000000000001</v>
      </c>
      <c r="AM258" s="4">
        <v>1.07</v>
      </c>
      <c r="AN258" s="4">
        <v>1.07</v>
      </c>
      <c r="AO258" s="4">
        <v>1.05</v>
      </c>
      <c r="AP258" s="4">
        <v>1.04</v>
      </c>
      <c r="AQ258" s="4">
        <v>1</v>
      </c>
      <c r="AR258" s="4">
        <v>1.17</v>
      </c>
      <c r="AS258" s="4">
        <v>1.0900000000000001</v>
      </c>
      <c r="AT258" s="4">
        <v>1</v>
      </c>
      <c r="AU258" s="4">
        <v>1</v>
      </c>
      <c r="AV258" s="4">
        <v>1</v>
      </c>
      <c r="AW258" s="4">
        <v>0.98</v>
      </c>
      <c r="AX258" s="4">
        <v>0.96</v>
      </c>
      <c r="AY258" s="12">
        <v>0.99</v>
      </c>
      <c r="AZ258" s="12">
        <v>0.99</v>
      </c>
      <c r="BA258" s="12">
        <v>0.94</v>
      </c>
      <c r="BB258" s="15">
        <v>0.94</v>
      </c>
      <c r="BC258" s="52">
        <v>0.91</v>
      </c>
      <c r="BD258" s="52">
        <v>0.92</v>
      </c>
      <c r="BE258" s="52">
        <v>0.91</v>
      </c>
      <c r="BF258" s="52">
        <v>0.89</v>
      </c>
      <c r="BG258" s="67">
        <v>0.88</v>
      </c>
      <c r="BH258" s="52">
        <v>0.88</v>
      </c>
      <c r="BI258" s="52">
        <v>0.87</v>
      </c>
      <c r="BJ258" s="52">
        <v>0.88</v>
      </c>
      <c r="BK258" s="52">
        <v>0.85</v>
      </c>
      <c r="BL258" s="52">
        <v>0.83</v>
      </c>
      <c r="BM258" s="52">
        <v>0.82</v>
      </c>
      <c r="BN258" s="52">
        <v>0.8</v>
      </c>
      <c r="BO258" s="52">
        <v>0.82</v>
      </c>
      <c r="BP258" s="52" cm="1">
        <f t="array" aca="1" ref="BP258" ca="1">_FV(ED258,"Preço")</f>
        <v>0.75</v>
      </c>
      <c r="BQ258" s="69" t="s">
        <v>254</v>
      </c>
      <c r="BR258" s="36" cm="1">
        <f t="array" aca="1" ref="BR258" ca="1">_FV(ED258,"Média de volume",TRUE)</f>
        <v>26780</v>
      </c>
      <c r="BS258" s="36">
        <v>25200</v>
      </c>
      <c r="BT258" s="36" cm="1">
        <f t="array" aca="1" ref="BT258" ca="1">_FV(ED258,"Volume")</f>
        <v>16500</v>
      </c>
      <c r="BU258" s="24" cm="1">
        <f t="array" aca="1" ref="BU258" ca="1">_FV(ED258,"Beta")</f>
        <v>1.6668000000000001</v>
      </c>
      <c r="BV258" s="71" cm="1">
        <f t="array" aca="1" ref="BV258" ca="1">_FV(ED258,"Variação (%)",TRUE)</f>
        <v>-2.5974000000000001E-2</v>
      </c>
      <c r="BX258" s="17" cm="1">
        <f t="array" aca="1" ref="BX258" ca="1">_FV(ED258,"Baixo")</f>
        <v>0.71</v>
      </c>
      <c r="BY258" s="17" cm="1">
        <f t="array" aca="1" ref="BY258" ca="1">_FV(ED258,"Alto")</f>
        <v>0.77</v>
      </c>
      <c r="BZ258" s="24"/>
      <c r="CA258" s="63" t="e">
        <f ca="1">SQRT(22.5*(BP258/VLOOKUP(BQ258,Fundamentus!A:U,3,FALSE))*(BP258/VLOOKUP(BQ258,Fundamentus!A:U,4,FALSE)))</f>
        <v>#NUM!</v>
      </c>
      <c r="CC258" s="62">
        <f t="shared" ca="1" si="241"/>
        <v>-8.5365853658536536E-2</v>
      </c>
      <c r="CD258" s="8"/>
      <c r="CE258" s="61">
        <f t="shared" si="242"/>
        <v>0.8</v>
      </c>
      <c r="CF258" s="61">
        <f t="shared" si="243"/>
        <v>2.98</v>
      </c>
      <c r="CG258" s="61">
        <f t="shared" si="244"/>
        <v>1.533134328358208</v>
      </c>
      <c r="CH258" s="14"/>
      <c r="CI258" s="35">
        <f t="shared" si="227"/>
        <v>0.77250384638146308</v>
      </c>
      <c r="CJ258" s="15">
        <f t="shared" si="245"/>
        <v>0.80500000000000682</v>
      </c>
      <c r="CK258" s="35">
        <f t="shared" si="228"/>
        <v>0.83749615361855057</v>
      </c>
      <c r="CM258" s="14"/>
      <c r="CN258" s="17">
        <f t="shared" si="229"/>
        <v>-2.0933333333333328</v>
      </c>
      <c r="CO258" s="17">
        <f t="shared" si="230"/>
        <v>-0.64666666666666628</v>
      </c>
      <c r="CP258" s="17">
        <f t="shared" si="231"/>
        <v>8.6666666666666892E-2</v>
      </c>
      <c r="CQ258" s="38">
        <f t="shared" si="246"/>
        <v>1.5333333333333334</v>
      </c>
      <c r="CR258" s="17">
        <f t="shared" si="232"/>
        <v>2.2666666666666666</v>
      </c>
      <c r="CS258" s="17">
        <f t="shared" si="233"/>
        <v>3.7133333333333329</v>
      </c>
      <c r="CT258" s="17">
        <f t="shared" si="234"/>
        <v>4.4466666666666672</v>
      </c>
      <c r="CU258" s="2" cm="1">
        <f t="array" aca="1" ref="CU258" ca="1">MAX(_xlfn._xlws.FILTER(CN258:CT258,CN258:CT258&lt;BP258))</f>
        <v>8.6666666666666892E-2</v>
      </c>
      <c r="CV258" s="2" cm="1">
        <f t="array" aca="1" ref="CV258" ca="1">MIN(_xlfn._xlws.FILTER($CN258:$CT258,$CN258:$CT258&gt;BP258))</f>
        <v>1.5333333333333334</v>
      </c>
      <c r="CW258" s="16">
        <f t="shared" ca="1" si="265"/>
        <v>16.692307692307647</v>
      </c>
      <c r="CX258" s="20">
        <f t="shared" ca="1" si="266"/>
        <v>-8.3461538461538236</v>
      </c>
      <c r="CY258" s="20">
        <f t="shared" ca="1" si="267"/>
        <v>-5.5641025641025488</v>
      </c>
      <c r="CZ258" s="20">
        <f t="shared" ca="1" si="268"/>
        <v>-3.3384615384615293</v>
      </c>
      <c r="DA258" s="20">
        <f t="shared" ca="1" si="269"/>
        <v>-1.8547008547008497</v>
      </c>
      <c r="DB258" s="20">
        <f t="shared" ca="1" si="270"/>
        <v>-0.98190045248868518</v>
      </c>
      <c r="DC258" s="20">
        <f t="shared" ca="1" si="271"/>
        <v>-0.50582750582750446</v>
      </c>
      <c r="DD258" s="20">
        <f t="shared" ca="1" si="272"/>
        <v>-0.25680473372780993</v>
      </c>
      <c r="DE258" s="21">
        <f t="shared" ca="1" si="273"/>
        <v>0.25680473372780993</v>
      </c>
      <c r="DF258" s="21">
        <f t="shared" ca="1" si="274"/>
        <v>0.50582750582750446</v>
      </c>
      <c r="DG258" s="21">
        <f t="shared" ca="1" si="275"/>
        <v>0.98190045248868518</v>
      </c>
      <c r="DH258" s="21">
        <f t="shared" ca="1" si="276"/>
        <v>1.8547008547008497</v>
      </c>
      <c r="DI258" s="21">
        <f t="shared" ca="1" si="277"/>
        <v>3.3384615384615293</v>
      </c>
      <c r="DJ258" s="21">
        <f t="shared" ca="1" si="278"/>
        <v>5.5641025641025488</v>
      </c>
      <c r="DK258" s="21">
        <f t="shared" ca="1" si="279"/>
        <v>8.3461538461538236</v>
      </c>
      <c r="DM258" s="16" cm="1">
        <f t="array" aca="1" ref="DM258" ca="1">MAX(_xlfn._xlws.FILTER(CX258:DK258,CX258:DK258&lt;BV258))</f>
        <v>-0.25680473372780993</v>
      </c>
      <c r="DN258" s="16" cm="1">
        <f t="array" aca="1" ref="DN258" ca="1">MIN(_xlfn._xlws.FILTER(CX258:DK258,CX258:DK258&gt;BV258))</f>
        <v>0.25680473372780993</v>
      </c>
      <c r="DO258" s="2" cm="1">
        <f t="array" aca="1" ref="DO258" ca="1">_FV(ED258,"Fechamento anterior",TRUE)</f>
        <v>0.77</v>
      </c>
      <c r="DP258" s="28">
        <f t="shared" ca="1" si="235"/>
        <v>0.44942845173259899</v>
      </c>
      <c r="DQ258" s="15">
        <f t="shared" ca="1" si="280"/>
        <v>0.57226035502958639</v>
      </c>
      <c r="DR258" s="15">
        <f t="shared" ca="1" si="281"/>
        <v>0.96773964497041365</v>
      </c>
      <c r="DS258" s="9"/>
      <c r="DT258" s="9"/>
      <c r="DU258" s="9"/>
      <c r="DV258" s="89">
        <v>0.51360946745561986</v>
      </c>
      <c r="DW258" s="89">
        <f t="shared" ca="1" si="236"/>
        <v>0.51360946745561986</v>
      </c>
      <c r="DX258" s="72">
        <f t="shared" ca="1" si="237"/>
        <v>-1.69250800096604</v>
      </c>
      <c r="DY258" s="37"/>
      <c r="DZ258" s="35">
        <f t="shared" si="247"/>
        <v>1.62480768092719E-2</v>
      </c>
      <c r="EA258" s="56"/>
      <c r="EB258" s="56"/>
      <c r="ED258" s="2" t="e" vm="260">
        <v>#VALUE!</v>
      </c>
      <c r="EF258" s="10" cm="1">
        <f t="array" aca="1" ref="EF258" ca="1">_FV(ED258,"Ações em circulação",TRUE)</f>
        <v>38366080</v>
      </c>
      <c r="EG258" s="18">
        <f>VLOOKUP(BQ258,Fundamentus!A:U,5,FALSE)</f>
        <v>0.28199999999999997</v>
      </c>
      <c r="EH258" s="2">
        <f t="shared" ca="1" si="238"/>
        <v>102037446.80851065</v>
      </c>
      <c r="EI258" s="17">
        <v>-42783621.197163127</v>
      </c>
      <c r="EJ258" s="17">
        <f t="shared" ca="1" si="239"/>
        <v>-39131360.851063833</v>
      </c>
      <c r="EL258" s="16">
        <f t="shared" ca="1" si="226"/>
        <v>-8.5365853658536661E-2</v>
      </c>
      <c r="EM258" s="32" t="str">
        <f>IF(VLOOKUP(BQ258,Fundamentus!A:U,3,FALSE)&lt;15,"Bom",IF(VLOOKUP(BQ258,Fundamentus!A:U,3,FALSE)&gt;15,"Ruim","n/a"))</f>
        <v>Bom</v>
      </c>
      <c r="EN258" s="28" t="str">
        <f>IF(VLOOKUP(BQ258,Fundamentus!A:U,4,FALSE)&lt;1,"Baixo",IF(VLOOKUP(BQ258,Fundamentus!A:U,4,FALSE)&lt;1.5,"Moderado",IF(VLOOKUP(BQ258,Fundamentus!A:U,4,FALSE)&gt;1.5,"Alto","n/a")))</f>
        <v>Baixo</v>
      </c>
      <c r="EO258" s="17" t="str">
        <f>IF(VLOOKUP(BQ258,Fundamentus!A:U,8,FALSE)&lt;0,"Risco elevado",IF(VLOOKUP(BQ258,Fundamentus!A:U,8,FALSE)&lt;1,"Saudável",IF(VLOOKUP(BQ258,Fundamentus!A:U,8,FALSE)&lt;3,"Estável",IF(VLOOKUP(BQ258,Fundamentus!A:U,8,FALSE)&gt;3,"Alerta","n/a"))))</f>
        <v>Saudável</v>
      </c>
      <c r="EP258" s="28" t="str">
        <f t="shared" si="240"/>
        <v>Ruim</v>
      </c>
      <c r="EQ258" s="17" t="str">
        <f>IF(VLOOKUP(BQ258,Fundamentus!A:U,12,FALSE)&lt;2,"Subvalorizada",IF(VLOOKUP(BQ258,Fundamentus!A:U,12,FALSE)&lt;6,"Muita barata",IF(VLOOKUP(BQ258,Fundamentus!A:U,12,FALSE)&lt;6,"Barata",IF(VLOOKUP(BQ258,Fundamentus!A:U,12,FALSE)&lt;8,"Atrativa",IF(VLOOKUP(BQ258,Fundamentus!A:U,12,FALSE)&gt;8,"Supervalorizada","n/a")))))</f>
        <v>Supervalorizada</v>
      </c>
      <c r="ES258" s="17" t="str">
        <f>IF(VLOOKUP(BQ258,Fundamentus!A:U,17,FALSE)&lt;0.1,"Fraco retorno",IF(VLOOKUP(BQ258,Fundamentus!A:U,17,FALSE)&gt;0.1,"Bom retorno","n/a"))</f>
        <v>Fraco retorno</v>
      </c>
      <c r="ET258" s="17" t="str">
        <f>IF(VLOOKUP(BQ258,Fundamentus!A:U,16,FALSE)&lt;0.1,"Ineficiente",IF(VLOOKUP(BQ258,Fundamentus!A:U,16,FALSE)&gt;0.1,"Eficiente","n/a"))</f>
        <v>Ineficiente</v>
      </c>
      <c r="EU258" s="33" t="str">
        <f>IF(VLOOKUP(BQ258,Fundamentus!A:U,16,FALSE)&lt;0.1,"Oper. Ineficiente",IF(VLOOKUP(BQ258,Fundamentus!A:U,16,FALSE)&gt;0.1,"Oper.Eficiente","n/a"))</f>
        <v>Oper. Ineficiente</v>
      </c>
      <c r="EV258" s="34">
        <f>VLOOKUP(BQ258,Fundamentus!A:U,14,FALSE)</f>
        <v>-0.38350000000000001</v>
      </c>
      <c r="EW258" s="17" t="str">
        <f>IF(VLOOKUP(BQ258,Fundamentus!A:U,21,FALSE)&lt;0,"Negativo",IF(VLOOKUP(BQ258,Fundamentus!A:U,21,FALSE)&lt;0.05,"Fraco",IF(VLOOKUP(BQ258,Fundamentus!A:U,21,FALSE)&lt;0.1,"Bom",IF(VLOOKUP(BQ258,Fundamentus!A:U,21,FALSE)&gt;0.1,"Muito bom","n/a"))))</f>
        <v>Muito bom</v>
      </c>
      <c r="EY258" s="29" t="str">
        <f>IF(VLOOKUP(BQ258,Fundamentus!A:U,15,FALSE)&gt;1,"Bom",IF(VLOOKUP(BQ258,Fundamentus!A:U,15,FALSE)&lt;1,"Ruim","n/a"))</f>
        <v>Bom</v>
      </c>
      <c r="EZ258" s="17" t="str">
        <f>IF(VLOOKUP(BQ258,Fundamentus!A:U,20,FALSE)&lt;0.5,"Baixa",IF(VLOOKUP(BQ258,Fundamentus!A:U,20,FALSE)&lt;1,"Moderada",IF(VLOOKUP(BQ258,Fundamentus!A:U,20,FALSE)&lt;2,"Alerta",IF(VLOOKUP(BQ258,Fundamentus!A:U,20,FALSE)&gt;2,"Alta","n/a"))))</f>
        <v>Baixa</v>
      </c>
    </row>
    <row r="259" spans="1:156" s="2" customFormat="1" ht="11.25" hidden="1" x14ac:dyDescent="0.2">
      <c r="A259" s="4">
        <v>4.6900000000000004</v>
      </c>
      <c r="B259" s="4">
        <v>4.0599999999999996</v>
      </c>
      <c r="C259" s="4">
        <v>3.32</v>
      </c>
      <c r="D259" s="4">
        <v>4.22</v>
      </c>
      <c r="E259" s="4">
        <v>3.42</v>
      </c>
      <c r="F259" s="4">
        <v>3.9</v>
      </c>
      <c r="G259" s="4">
        <v>4.22</v>
      </c>
      <c r="H259" s="4">
        <v>2.98</v>
      </c>
      <c r="I259" s="4">
        <v>2.79</v>
      </c>
      <c r="J259" s="4">
        <v>3.18</v>
      </c>
      <c r="K259" s="4">
        <v>3.65</v>
      </c>
      <c r="L259" s="4">
        <v>3.51</v>
      </c>
      <c r="M259" s="4">
        <v>2.92</v>
      </c>
      <c r="N259" s="4">
        <v>2.7</v>
      </c>
      <c r="O259" s="4">
        <v>2.98</v>
      </c>
      <c r="P259" s="4">
        <v>3.22</v>
      </c>
      <c r="Q259" s="4">
        <v>3.3</v>
      </c>
      <c r="R259" s="4">
        <v>2.99</v>
      </c>
      <c r="S259" s="4">
        <v>3.07</v>
      </c>
      <c r="T259" s="4">
        <v>3.01</v>
      </c>
      <c r="U259" s="4">
        <v>2.75</v>
      </c>
      <c r="V259" s="4">
        <v>2.72</v>
      </c>
      <c r="W259" s="4">
        <v>2.99</v>
      </c>
      <c r="X259" s="4">
        <v>2.98</v>
      </c>
      <c r="Y259" s="4">
        <v>2.71</v>
      </c>
      <c r="Z259" s="4">
        <v>2.66</v>
      </c>
      <c r="AA259" s="4">
        <v>2.5299999999999998</v>
      </c>
      <c r="AB259" s="4">
        <v>2.48</v>
      </c>
      <c r="AC259" s="4">
        <v>2.15</v>
      </c>
      <c r="AD259" s="4">
        <v>2.31</v>
      </c>
      <c r="AE259" s="4">
        <v>2.2599999999999998</v>
      </c>
      <c r="AF259" s="4">
        <v>2.1800000000000002</v>
      </c>
      <c r="AG259" s="4">
        <v>2.0099999999999998</v>
      </c>
      <c r="AH259" s="4">
        <v>1.92</v>
      </c>
      <c r="AI259" s="4">
        <v>2.04</v>
      </c>
      <c r="AJ259" s="4">
        <v>1.92</v>
      </c>
      <c r="AK259" s="4">
        <v>1.87</v>
      </c>
      <c r="AL259" s="4">
        <v>1.89</v>
      </c>
      <c r="AM259" s="4">
        <v>1.84</v>
      </c>
      <c r="AN259" s="4">
        <v>1.86</v>
      </c>
      <c r="AO259" s="4">
        <v>1.78</v>
      </c>
      <c r="AP259" s="4">
        <v>1.77</v>
      </c>
      <c r="AQ259" s="4">
        <v>1.77</v>
      </c>
      <c r="AR259" s="4">
        <v>1.67</v>
      </c>
      <c r="AS259" s="4">
        <v>1.72</v>
      </c>
      <c r="AT259" s="4">
        <v>1.9</v>
      </c>
      <c r="AU259" s="4">
        <v>1.92</v>
      </c>
      <c r="AV259" s="4">
        <v>1.95</v>
      </c>
      <c r="AW259" s="4">
        <v>1.82</v>
      </c>
      <c r="AX259" s="4">
        <v>1.76</v>
      </c>
      <c r="AY259" s="12">
        <v>1.8</v>
      </c>
      <c r="AZ259" s="12">
        <v>1.78</v>
      </c>
      <c r="BA259" s="12">
        <v>1.76</v>
      </c>
      <c r="BB259" s="15">
        <v>1.76</v>
      </c>
      <c r="BC259" s="52">
        <v>1.86</v>
      </c>
      <c r="BD259" s="52">
        <v>1.7</v>
      </c>
      <c r="BE259" s="52">
        <v>1.59</v>
      </c>
      <c r="BF259" s="52">
        <v>1.53</v>
      </c>
      <c r="BG259" s="67">
        <v>1.5</v>
      </c>
      <c r="BH259" s="52">
        <v>1.33</v>
      </c>
      <c r="BI259" s="52">
        <v>1.29</v>
      </c>
      <c r="BJ259" s="52">
        <v>1.37</v>
      </c>
      <c r="BK259" s="52">
        <v>1.31</v>
      </c>
      <c r="BL259" s="52">
        <v>1.24</v>
      </c>
      <c r="BM259" s="52">
        <v>1.24</v>
      </c>
      <c r="BN259" s="52">
        <v>1.28</v>
      </c>
      <c r="BO259" s="52">
        <v>1.35</v>
      </c>
      <c r="BP259" s="52" cm="1">
        <f t="array" aca="1" ref="BP259" ca="1">_FV(ED259,"Preço")</f>
        <v>1.44</v>
      </c>
      <c r="BQ259" s="69" t="s">
        <v>255</v>
      </c>
      <c r="BR259" s="36" cm="1">
        <f t="array" aca="1" ref="BR259" ca="1">_FV(ED259,"Média de volume",TRUE)</f>
        <v>1140160</v>
      </c>
      <c r="BS259" s="36">
        <v>789200</v>
      </c>
      <c r="BT259" s="36" cm="1">
        <f t="array" aca="1" ref="BT259" ca="1">_FV(ED259,"Volume")</f>
        <v>2493700</v>
      </c>
      <c r="BU259" s="24" cm="1">
        <f t="array" aca="1" ref="BU259" ca="1">_FV(ED259,"Beta")</f>
        <v>1.0523</v>
      </c>
      <c r="BV259" s="71" cm="1">
        <f t="array" aca="1" ref="BV259" ca="1">_FV(ED259,"Variação (%)",TRUE)</f>
        <v>0</v>
      </c>
      <c r="BX259" s="17" cm="1">
        <f t="array" aca="1" ref="BX259" ca="1">_FV(ED259,"Baixo")</f>
        <v>1.32</v>
      </c>
      <c r="BY259" s="17" cm="1">
        <f t="array" aca="1" ref="BY259" ca="1">_FV(ED259,"Alto")</f>
        <v>1.5</v>
      </c>
      <c r="BZ259" s="24"/>
      <c r="CA259" s="63" t="e">
        <f ca="1">SQRT(22.5*(BP259/VLOOKUP(BQ259,Fundamentus!A:U,3,FALSE))*(BP259/VLOOKUP(BQ259,Fundamentus!A:U,4,FALSE)))</f>
        <v>#NUM!</v>
      </c>
      <c r="CC259" s="62">
        <f t="shared" ca="1" si="241"/>
        <v>6.6666666666666555E-2</v>
      </c>
      <c r="CD259" s="8"/>
      <c r="CE259" s="61">
        <f t="shared" si="242"/>
        <v>1.24</v>
      </c>
      <c r="CF259" s="61">
        <f t="shared" si="243"/>
        <v>4.6900000000000004</v>
      </c>
      <c r="CG259" s="61">
        <f t="shared" si="244"/>
        <v>2.3574626865671648</v>
      </c>
      <c r="CH259" s="14"/>
      <c r="CI259" s="35">
        <f t="shared" si="227"/>
        <v>1.285525151672233</v>
      </c>
      <c r="CJ259" s="15">
        <f t="shared" si="245"/>
        <v>1.3700000000000045</v>
      </c>
      <c r="CK259" s="35">
        <f t="shared" si="228"/>
        <v>1.4544748483277761</v>
      </c>
      <c r="CM259" s="14"/>
      <c r="CN259" s="17">
        <f t="shared" si="229"/>
        <v>-3.2866666666666662</v>
      </c>
      <c r="CO259" s="17">
        <f t="shared" si="230"/>
        <v>-1.023333333333333</v>
      </c>
      <c r="CP259" s="17">
        <f t="shared" si="231"/>
        <v>0.163333333333334</v>
      </c>
      <c r="CQ259" s="38">
        <f t="shared" si="246"/>
        <v>2.4266666666666672</v>
      </c>
      <c r="CR259" s="17">
        <f t="shared" si="232"/>
        <v>3.6133333333333342</v>
      </c>
      <c r="CS259" s="17">
        <f t="shared" si="233"/>
        <v>5.8766666666666669</v>
      </c>
      <c r="CT259" s="17">
        <f t="shared" si="234"/>
        <v>7.0633333333333344</v>
      </c>
      <c r="CU259" s="2" cm="1">
        <f t="array" aca="1" ref="CU259" ca="1">MAX(_xlfn._xlws.FILTER(CN259:CT259,CN259:CT259&lt;BP259))</f>
        <v>0.163333333333334</v>
      </c>
      <c r="CV259" s="2" cm="1">
        <f t="array" aca="1" ref="CV259" ca="1">MIN(_xlfn._xlws.FILTER($CN259:$CT259,$CN259:$CT259&gt;BP259))</f>
        <v>2.4266666666666672</v>
      </c>
      <c r="CW259" s="16">
        <f t="shared" ca="1" si="265"/>
        <v>13.857142857142801</v>
      </c>
      <c r="CX259" s="20">
        <f t="shared" ca="1" si="266"/>
        <v>-6.9285714285714004</v>
      </c>
      <c r="CY259" s="20">
        <f t="shared" ca="1" si="267"/>
        <v>-4.6190476190476</v>
      </c>
      <c r="CZ259" s="20">
        <f t="shared" ca="1" si="268"/>
        <v>-2.7714285714285603</v>
      </c>
      <c r="DA259" s="20">
        <f t="shared" ca="1" si="269"/>
        <v>-1.5396825396825333</v>
      </c>
      <c r="DB259" s="20">
        <f t="shared" ca="1" si="270"/>
        <v>-0.81512605042016473</v>
      </c>
      <c r="DC259" s="20">
        <f t="shared" ca="1" si="271"/>
        <v>-0.41991341991341818</v>
      </c>
      <c r="DD259" s="20">
        <f t="shared" ca="1" si="272"/>
        <v>-0.21318681318681232</v>
      </c>
      <c r="DE259" s="21">
        <f t="shared" ca="1" si="273"/>
        <v>0.21318681318681232</v>
      </c>
      <c r="DF259" s="21">
        <f t="shared" ca="1" si="274"/>
        <v>0.41991341991341818</v>
      </c>
      <c r="DG259" s="21">
        <f t="shared" ca="1" si="275"/>
        <v>0.81512605042016473</v>
      </c>
      <c r="DH259" s="21">
        <f t="shared" ca="1" si="276"/>
        <v>1.5396825396825333</v>
      </c>
      <c r="DI259" s="21">
        <f t="shared" ca="1" si="277"/>
        <v>2.7714285714285603</v>
      </c>
      <c r="DJ259" s="21">
        <f t="shared" ca="1" si="278"/>
        <v>4.6190476190476</v>
      </c>
      <c r="DK259" s="21">
        <f t="shared" ca="1" si="279"/>
        <v>6.9285714285714004</v>
      </c>
      <c r="DM259" s="16" cm="1">
        <f t="array" aca="1" ref="DM259" ca="1">MAX(_xlfn._xlws.FILTER(CX259:DK259,CX259:DK259&lt;BV259))</f>
        <v>-0.21318681318681232</v>
      </c>
      <c r="DN259" s="16" cm="1">
        <f t="array" aca="1" ref="DN259" ca="1">MIN(_xlfn._xlws.FILTER(CX259:DK259,CX259:DK259&gt;BV259))</f>
        <v>0.21318681318681232</v>
      </c>
      <c r="DO259" s="2" cm="1">
        <f t="array" aca="1" ref="DO259" ca="1">_FV(ED259,"Fechamento anterior",TRUE)</f>
        <v>1.44</v>
      </c>
      <c r="DP259" s="28">
        <f t="shared" ca="1" si="235"/>
        <v>0.5</v>
      </c>
      <c r="DQ259" s="15">
        <f t="shared" ca="1" si="280"/>
        <v>1.1330109890109903</v>
      </c>
      <c r="DR259" s="15">
        <f t="shared" ca="1" si="281"/>
        <v>1.7469890109890096</v>
      </c>
      <c r="DS259" s="9"/>
      <c r="DT259" s="9"/>
      <c r="DU259" s="9"/>
      <c r="DV259" s="89">
        <v>0.42637362637362464</v>
      </c>
      <c r="DW259" s="89">
        <f t="shared" ca="1" si="236"/>
        <v>0.42637362637362464</v>
      </c>
      <c r="DX259" s="72">
        <f t="shared" ca="1" si="237"/>
        <v>0.82864901666810753</v>
      </c>
      <c r="DY259" s="37"/>
      <c r="DZ259" s="35">
        <f t="shared" si="247"/>
        <v>4.2237424163885789E-2</v>
      </c>
      <c r="EA259" s="56"/>
      <c r="EB259" s="56"/>
      <c r="ED259" s="2" t="e" vm="261">
        <v>#VALUE!</v>
      </c>
      <c r="EF259" s="10" cm="1">
        <f t="array" aca="1" ref="EF259" ca="1">_FV(ED259,"Ações em circulação",TRUE)</f>
        <v>1255007000</v>
      </c>
      <c r="EG259" s="18">
        <f>VLOOKUP(BQ259,Fundamentus!A:U,5,FALSE)</f>
        <v>9.9000000000000005E-2</v>
      </c>
      <c r="EH259" s="2">
        <f t="shared" ca="1" si="238"/>
        <v>18254647272.727272</v>
      </c>
      <c r="EI259" s="17">
        <v>-1256147915.4545455</v>
      </c>
      <c r="EJ259" s="17">
        <f t="shared" ca="1" si="239"/>
        <v>-1339891109.818182</v>
      </c>
      <c r="EL259" s="16">
        <f t="shared" ref="EL259:EL271" ca="1" si="282">(EJ259/EI259)-1</f>
        <v>6.6666666666666874E-2</v>
      </c>
      <c r="EM259" s="32" t="str">
        <f>IF(VLOOKUP(BQ259,Fundamentus!A:U,3,FALSE)&lt;15,"Bom",IF(VLOOKUP(BQ259,Fundamentus!A:U,3,FALSE)&gt;15,"Ruim","n/a"))</f>
        <v>Bom</v>
      </c>
      <c r="EN259" s="28" t="str">
        <f>IF(VLOOKUP(BQ259,Fundamentus!A:U,4,FALSE)&lt;1,"Baixo",IF(VLOOKUP(BQ259,Fundamentus!A:U,4,FALSE)&lt;1.5,"Moderado",IF(VLOOKUP(BQ259,Fundamentus!A:U,4,FALSE)&gt;1.5,"Alto","n/a")))</f>
        <v>Baixo</v>
      </c>
      <c r="EO259" s="17" t="str">
        <f>IF(VLOOKUP(BQ259,Fundamentus!A:U,8,FALSE)&lt;0,"Risco elevado",IF(VLOOKUP(BQ259,Fundamentus!A:U,8,FALSE)&lt;1,"Saudável",IF(VLOOKUP(BQ259,Fundamentus!A:U,8,FALSE)&lt;3,"Estável",IF(VLOOKUP(BQ259,Fundamentus!A:U,8,FALSE)&gt;3,"Alerta","n/a"))))</f>
        <v>Saudável</v>
      </c>
      <c r="EP259" s="28" t="str">
        <f t="shared" si="240"/>
        <v>Ruim</v>
      </c>
      <c r="EQ259" s="17" t="str">
        <f>IF(VLOOKUP(BQ259,Fundamentus!A:U,12,FALSE)&lt;2,"Subvalorizada",IF(VLOOKUP(BQ259,Fundamentus!A:U,12,FALSE)&lt;6,"Muita barata",IF(VLOOKUP(BQ259,Fundamentus!A:U,12,FALSE)&lt;6,"Barata",IF(VLOOKUP(BQ259,Fundamentus!A:U,12,FALSE)&lt;8,"Atrativa",IF(VLOOKUP(BQ259,Fundamentus!A:U,12,FALSE)&gt;8,"Supervalorizada","n/a")))))</f>
        <v>Muita barata</v>
      </c>
      <c r="ES259" s="17" t="str">
        <f>IF(VLOOKUP(BQ259,Fundamentus!A:U,17,FALSE)&lt;0.1,"Fraco retorno",IF(VLOOKUP(BQ259,Fundamentus!A:U,17,FALSE)&gt;0.1,"Bom retorno","n/a"))</f>
        <v>Fraco retorno</v>
      </c>
      <c r="ET259" s="17" t="str">
        <f>IF(VLOOKUP(BQ259,Fundamentus!A:U,16,FALSE)&lt;0.1,"Ineficiente",IF(VLOOKUP(BQ259,Fundamentus!A:U,16,FALSE)&gt;0.1,"Eficiente","n/a"))</f>
        <v>Ineficiente</v>
      </c>
      <c r="EU259" s="33" t="str">
        <f>IF(VLOOKUP(BQ259,Fundamentus!A:U,16,FALSE)&lt;0.1,"Oper. Ineficiente",IF(VLOOKUP(BQ259,Fundamentus!A:U,16,FALSE)&gt;0.1,"Oper.Eficiente","n/a"))</f>
        <v>Oper. Ineficiente</v>
      </c>
      <c r="EV259" s="34">
        <f>VLOOKUP(BQ259,Fundamentus!A:U,14,FALSE)</f>
        <v>-7.3400000000000007E-2</v>
      </c>
      <c r="EW259" s="17" t="str">
        <f>IF(VLOOKUP(BQ259,Fundamentus!A:U,21,FALSE)&lt;0,"Negativo",IF(VLOOKUP(BQ259,Fundamentus!A:U,21,FALSE)&lt;0.05,"Fraco",IF(VLOOKUP(BQ259,Fundamentus!A:U,21,FALSE)&lt;0.1,"Bom",IF(VLOOKUP(BQ259,Fundamentus!A:U,21,FALSE)&gt;0.1,"Muito bom","n/a"))))</f>
        <v>Muito bom</v>
      </c>
      <c r="EY259" s="29" t="str">
        <f>IF(VLOOKUP(BQ259,Fundamentus!A:U,15,FALSE)&gt;1,"Bom",IF(VLOOKUP(BQ259,Fundamentus!A:U,15,FALSE)&lt;1,"Ruim","n/a"))</f>
        <v>Bom</v>
      </c>
      <c r="EZ259" s="17" t="str">
        <f>IF(VLOOKUP(BQ259,Fundamentus!A:U,20,FALSE)&lt;0.5,"Baixa",IF(VLOOKUP(BQ259,Fundamentus!A:U,20,FALSE)&lt;1,"Moderada",IF(VLOOKUP(BQ259,Fundamentus!A:U,20,FALSE)&lt;2,"Alerta",IF(VLOOKUP(BQ259,Fundamentus!A:U,20,FALSE)&gt;2,"Alta","n/a"))))</f>
        <v>Alerta</v>
      </c>
    </row>
    <row r="260" spans="1:156" s="2" customFormat="1" ht="11.25" hidden="1" x14ac:dyDescent="0.2">
      <c r="A260" s="4">
        <v>5.7</v>
      </c>
      <c r="B260" s="4">
        <v>5.86</v>
      </c>
      <c r="C260" s="4">
        <v>5.28</v>
      </c>
      <c r="D260" s="4">
        <v>5.28</v>
      </c>
      <c r="E260" s="4">
        <v>5.01</v>
      </c>
      <c r="F260" s="4">
        <v>5.25</v>
      </c>
      <c r="G260" s="4">
        <v>5.19</v>
      </c>
      <c r="H260" s="4">
        <v>5.3</v>
      </c>
      <c r="I260" s="4">
        <v>5.34</v>
      </c>
      <c r="J260" s="4">
        <v>5.38</v>
      </c>
      <c r="K260" s="4">
        <v>5.04</v>
      </c>
      <c r="L260" s="4">
        <v>4.45</v>
      </c>
      <c r="M260" s="4">
        <v>4.0999999999999996</v>
      </c>
      <c r="N260" s="4">
        <v>3.81</v>
      </c>
      <c r="O260" s="4">
        <v>3.63</v>
      </c>
      <c r="P260" s="4">
        <v>3.89</v>
      </c>
      <c r="Q260" s="4">
        <v>4</v>
      </c>
      <c r="R260" s="4">
        <v>3.83</v>
      </c>
      <c r="S260" s="4">
        <v>3.82</v>
      </c>
      <c r="T260" s="4">
        <v>4</v>
      </c>
      <c r="U260" s="4">
        <v>3.17</v>
      </c>
      <c r="V260" s="4">
        <v>3.1</v>
      </c>
      <c r="W260" s="4">
        <v>3.29</v>
      </c>
      <c r="X260" s="4">
        <v>2.97</v>
      </c>
      <c r="Y260" s="4">
        <v>3.03</v>
      </c>
      <c r="Z260" s="4">
        <v>2.87</v>
      </c>
      <c r="AA260" s="4">
        <v>2.91</v>
      </c>
      <c r="AB260" s="4">
        <v>3.26</v>
      </c>
      <c r="AC260" s="4">
        <v>3.2</v>
      </c>
      <c r="AD260" s="4">
        <v>3.14</v>
      </c>
      <c r="AE260" s="4">
        <v>3.04</v>
      </c>
      <c r="AF260" s="4">
        <v>3.13</v>
      </c>
      <c r="AG260" s="4">
        <v>2.4500000000000002</v>
      </c>
      <c r="AH260" s="4">
        <v>2.4500000000000002</v>
      </c>
      <c r="AI260" s="4">
        <v>2.46</v>
      </c>
      <c r="AJ260" s="4">
        <v>2.9</v>
      </c>
      <c r="AK260" s="4">
        <v>2.84</v>
      </c>
      <c r="AL260" s="4">
        <v>2.86</v>
      </c>
      <c r="AM260" s="4">
        <v>2.88</v>
      </c>
      <c r="AN260" s="4">
        <v>2.98</v>
      </c>
      <c r="AO260" s="4">
        <v>2.95</v>
      </c>
      <c r="AP260" s="4">
        <v>3.13</v>
      </c>
      <c r="AQ260" s="4">
        <v>3.07</v>
      </c>
      <c r="AR260" s="4">
        <v>3</v>
      </c>
      <c r="AS260" s="4">
        <v>2.77</v>
      </c>
      <c r="AT260" s="4">
        <v>2.92</v>
      </c>
      <c r="AU260" s="4">
        <v>2.9550000000000001</v>
      </c>
      <c r="AV260" s="4">
        <v>2.93</v>
      </c>
      <c r="AW260" s="4">
        <v>2.87</v>
      </c>
      <c r="AX260" s="4">
        <v>2.42</v>
      </c>
      <c r="AY260" s="12">
        <v>2.1800000000000002</v>
      </c>
      <c r="AZ260" s="12">
        <v>2.19</v>
      </c>
      <c r="BA260" s="12">
        <v>2.0499999999999998</v>
      </c>
      <c r="BB260" s="15">
        <v>2.17</v>
      </c>
      <c r="BC260" s="52">
        <v>1.97</v>
      </c>
      <c r="BD260" s="52">
        <v>1.92</v>
      </c>
      <c r="BE260" s="52">
        <v>1.86</v>
      </c>
      <c r="BF260" s="52">
        <v>1.97</v>
      </c>
      <c r="BG260" s="67">
        <v>2.14</v>
      </c>
      <c r="BH260" s="52">
        <v>2.09</v>
      </c>
      <c r="BI260" s="52">
        <v>2.04</v>
      </c>
      <c r="BJ260" s="52">
        <v>2.06</v>
      </c>
      <c r="BK260" s="52">
        <v>2.06</v>
      </c>
      <c r="BL260" s="52">
        <v>2.06</v>
      </c>
      <c r="BM260" s="52">
        <v>1.99</v>
      </c>
      <c r="BN260" s="52">
        <v>2.06</v>
      </c>
      <c r="BO260" s="52">
        <v>1.93</v>
      </c>
      <c r="BP260" s="52" cm="1">
        <f t="array" aca="1" ref="BP260" ca="1">_FV(ED260,"Preço")</f>
        <v>1.99</v>
      </c>
      <c r="BQ260" s="69" t="s">
        <v>256</v>
      </c>
      <c r="BR260" s="36" cm="1">
        <f t="array" aca="1" ref="BR260" ca="1">_FV(ED260,"Média de volume",TRUE)</f>
        <v>8100</v>
      </c>
      <c r="BS260" s="36">
        <v>24100</v>
      </c>
      <c r="BT260" s="36" cm="1">
        <f t="array" aca="1" ref="BT260" ca="1">_FV(ED260,"Volume")</f>
        <v>2200</v>
      </c>
      <c r="BU260" s="24" cm="1">
        <f t="array" aca="1" ref="BU260" ca="1">_FV(ED260,"Beta")</f>
        <v>0.73609999999999998</v>
      </c>
      <c r="BV260" s="71" cm="1">
        <f t="array" aca="1" ref="BV260" ca="1">_FV(ED260,"Variação (%)",TRUE)</f>
        <v>3.6457999999999997E-2</v>
      </c>
      <c r="BX260" s="17" cm="1">
        <f t="array" aca="1" ref="BX260" ca="1">_FV(ED260,"Baixo")</f>
        <v>1.93</v>
      </c>
      <c r="BY260" s="17" cm="1">
        <f t="array" aca="1" ref="BY260" ca="1">_FV(ED260,"Alto")</f>
        <v>1.99</v>
      </c>
      <c r="BZ260" s="24"/>
      <c r="CA260" s="63" t="e">
        <f ca="1">SQRT(22.5*(BP260/VLOOKUP(BQ260,Fundamentus!A:U,3,FALSE))*(BP260/VLOOKUP(BQ260,Fundamentus!A:U,4,FALSE)))</f>
        <v>#NUM!</v>
      </c>
      <c r="CC260" s="62">
        <f t="shared" ca="1" si="241"/>
        <v>3.1088082901554431E-2</v>
      </c>
      <c r="CD260" s="8"/>
      <c r="CE260" s="61">
        <f t="shared" si="242"/>
        <v>1.86</v>
      </c>
      <c r="CF260" s="61">
        <f t="shared" si="243"/>
        <v>5.86</v>
      </c>
      <c r="CG260" s="61">
        <f t="shared" si="244"/>
        <v>3.2364925373134326</v>
      </c>
      <c r="CH260" s="14"/>
      <c r="CI260" s="35">
        <f t="shared" si="227"/>
        <v>1.8249285957074688</v>
      </c>
      <c r="CJ260" s="15">
        <f t="shared" si="245"/>
        <v>1.9299999999999784</v>
      </c>
      <c r="CK260" s="35">
        <f t="shared" si="228"/>
        <v>2.0350714042924882</v>
      </c>
      <c r="CM260" s="14"/>
      <c r="CN260" s="17">
        <f t="shared" si="229"/>
        <v>-3.4266666666666667</v>
      </c>
      <c r="CO260" s="17">
        <f t="shared" si="230"/>
        <v>-0.78333333333333321</v>
      </c>
      <c r="CP260" s="17">
        <f t="shared" si="231"/>
        <v>0.57333333333333325</v>
      </c>
      <c r="CQ260" s="38">
        <f t="shared" si="246"/>
        <v>3.2166666666666668</v>
      </c>
      <c r="CR260" s="17">
        <f t="shared" si="232"/>
        <v>4.5733333333333333</v>
      </c>
      <c r="CS260" s="17">
        <f t="shared" si="233"/>
        <v>7.2166666666666668</v>
      </c>
      <c r="CT260" s="17">
        <f t="shared" si="234"/>
        <v>8.5733333333333341</v>
      </c>
      <c r="CU260" s="2" cm="1">
        <f t="array" aca="1" ref="CU260" ca="1">MAX(_xlfn._xlws.FILTER(CN260:CT260,CN260:CT260&lt;BP260))</f>
        <v>0.57333333333333325</v>
      </c>
      <c r="CV260" s="2" cm="1">
        <f t="array" aca="1" ref="CV260" ca="1">MIN(_xlfn._xlws.FILTER($CN260:$CT260,$CN260:$CT260&gt;BP260))</f>
        <v>3.2166666666666668</v>
      </c>
      <c r="CW260" s="16">
        <f t="shared" ca="1" si="265"/>
        <v>4.6104651162790704</v>
      </c>
      <c r="CX260" s="20">
        <f t="shared" ca="1" si="266"/>
        <v>-2.3052325581395352</v>
      </c>
      <c r="CY260" s="20">
        <f t="shared" ca="1" si="267"/>
        <v>-1.5368217054263569</v>
      </c>
      <c r="CZ260" s="20">
        <f t="shared" ca="1" si="268"/>
        <v>-0.9220930232558141</v>
      </c>
      <c r="DA260" s="20">
        <f t="shared" ca="1" si="269"/>
        <v>-0.51227390180878563</v>
      </c>
      <c r="DB260" s="20">
        <f t="shared" ca="1" si="270"/>
        <v>-0.27120383036935708</v>
      </c>
      <c r="DC260" s="20">
        <f t="shared" ca="1" si="271"/>
        <v>-0.1397110641296688</v>
      </c>
      <c r="DD260" s="20">
        <f t="shared" ca="1" si="272"/>
        <v>-7.0930232558139544E-2</v>
      </c>
      <c r="DE260" s="21">
        <f t="shared" ca="1" si="273"/>
        <v>7.0930232558139544E-2</v>
      </c>
      <c r="DF260" s="21">
        <f t="shared" ca="1" si="274"/>
        <v>0.1397110641296688</v>
      </c>
      <c r="DG260" s="21">
        <f t="shared" ca="1" si="275"/>
        <v>0.27120383036935708</v>
      </c>
      <c r="DH260" s="21">
        <f t="shared" ca="1" si="276"/>
        <v>0.51227390180878563</v>
      </c>
      <c r="DI260" s="21">
        <f t="shared" ca="1" si="277"/>
        <v>0.9220930232558141</v>
      </c>
      <c r="DJ260" s="21">
        <f t="shared" ca="1" si="278"/>
        <v>1.5368217054263569</v>
      </c>
      <c r="DK260" s="21">
        <f t="shared" ca="1" si="279"/>
        <v>2.3052325581395352</v>
      </c>
      <c r="DM260" s="16" cm="1">
        <f t="array" aca="1" ref="DM260" ca="1">MAX(_xlfn._xlws.FILTER(CX260:DK260,CX260:DK260&lt;BV260))</f>
        <v>-7.0930232558139544E-2</v>
      </c>
      <c r="DN260" s="16" cm="1">
        <f t="array" aca="1" ref="DN260" ca="1">MIN(_xlfn._xlws.FILTER(CX260:DK260,CX260:DK260&gt;BV260))</f>
        <v>7.0930232558139544E-2</v>
      </c>
      <c r="DO260" s="2" cm="1">
        <f t="array" aca="1" ref="DO260" ca="1">_FV(ED260,"Fechamento anterior",TRUE)</f>
        <v>1.92</v>
      </c>
      <c r="DP260" s="28">
        <f t="shared" ca="1" si="235"/>
        <v>0.75700136612021895</v>
      </c>
      <c r="DQ260" s="15">
        <f t="shared" ca="1" si="280"/>
        <v>1.7838139534883721</v>
      </c>
      <c r="DR260" s="15">
        <f t="shared" ca="1" si="281"/>
        <v>2.0561860465116277</v>
      </c>
      <c r="DS260" s="9"/>
      <c r="DT260" s="9"/>
      <c r="DU260" s="9"/>
      <c r="DV260" s="89">
        <v>0.14186046511627909</v>
      </c>
      <c r="DW260" s="89">
        <f t="shared" ca="1" si="236"/>
        <v>0.14186046511627909</v>
      </c>
      <c r="DX260" s="72">
        <f t="shared" ca="1" si="237"/>
        <v>0.57104024072036608</v>
      </c>
      <c r="DY260" s="37"/>
      <c r="DZ260" s="35">
        <f t="shared" si="247"/>
        <v>5.2535702146254838E-2</v>
      </c>
      <c r="EA260" s="56"/>
      <c r="EB260" s="56"/>
      <c r="ED260" s="2" t="e" vm="262">
        <v>#VALUE!</v>
      </c>
      <c r="EF260" s="10" cm="1">
        <f t="array" aca="1" ref="EF260" ca="1">_FV(ED260,"Ações em circulação",TRUE)</f>
        <v>20272200</v>
      </c>
      <c r="EG260" s="18">
        <f>VLOOKUP(BQ260,Fundamentus!A:U,5,FALSE)</f>
        <v>0.47099999999999997</v>
      </c>
      <c r="EH260" s="2">
        <f t="shared" ca="1" si="238"/>
        <v>85651121.019108281</v>
      </c>
      <c r="EI260" s="17">
        <v>272855677.29554141</v>
      </c>
      <c r="EJ260" s="17">
        <f t="shared" ca="1" si="239"/>
        <v>281338237.21146494</v>
      </c>
      <c r="EL260" s="16">
        <f t="shared" ca="1" si="282"/>
        <v>3.1088082901554293E-2</v>
      </c>
      <c r="EM260" s="32" t="str">
        <f>IF(VLOOKUP(BQ260,Fundamentus!A:U,3,FALSE)&lt;15,"Bom",IF(VLOOKUP(BQ260,Fundamentus!A:U,3,FALSE)&gt;15,"Ruim","n/a"))</f>
        <v>Bom</v>
      </c>
      <c r="EN260" s="28" t="str">
        <f>IF(VLOOKUP(BQ260,Fundamentus!A:U,4,FALSE)&lt;1,"Baixo",IF(VLOOKUP(BQ260,Fundamentus!A:U,4,FALSE)&lt;1.5,"Moderado",IF(VLOOKUP(BQ260,Fundamentus!A:U,4,FALSE)&gt;1.5,"Alto","n/a")))</f>
        <v>Baixo</v>
      </c>
      <c r="EO260" s="17" t="str">
        <f>IF(VLOOKUP(BQ260,Fundamentus!A:U,8,FALSE)&lt;0,"Risco elevado",IF(VLOOKUP(BQ260,Fundamentus!A:U,8,FALSE)&lt;1,"Saudável",IF(VLOOKUP(BQ260,Fundamentus!A:U,8,FALSE)&lt;3,"Estável",IF(VLOOKUP(BQ260,Fundamentus!A:U,8,FALSE)&gt;3,"Alerta","n/a"))))</f>
        <v>Risco elevado</v>
      </c>
      <c r="EP260" s="28" t="str">
        <f t="shared" si="240"/>
        <v>Ruim</v>
      </c>
      <c r="EQ260" s="17" t="str">
        <f>IF(VLOOKUP(BQ260,Fundamentus!A:U,12,FALSE)&lt;2,"Subvalorizada",IF(VLOOKUP(BQ260,Fundamentus!A:U,12,FALSE)&lt;6,"Muita barata",IF(VLOOKUP(BQ260,Fundamentus!A:U,12,FALSE)&lt;6,"Barata",IF(VLOOKUP(BQ260,Fundamentus!A:U,12,FALSE)&lt;8,"Atrativa",IF(VLOOKUP(BQ260,Fundamentus!A:U,12,FALSE)&gt;8,"Supervalorizada","n/a")))))</f>
        <v>Subvalorizada</v>
      </c>
      <c r="ES260" s="17" t="str">
        <f>IF(VLOOKUP(BQ260,Fundamentus!A:U,17,FALSE)&lt;0.1,"Fraco retorno",IF(VLOOKUP(BQ260,Fundamentus!A:U,17,FALSE)&gt;0.1,"Bom retorno","n/a"))</f>
        <v>Fraco retorno</v>
      </c>
      <c r="ET260" s="17" t="str">
        <f>IF(VLOOKUP(BQ260,Fundamentus!A:U,16,FALSE)&lt;0.1,"Ineficiente",IF(VLOOKUP(BQ260,Fundamentus!A:U,16,FALSE)&gt;0.1,"Eficiente","n/a"))</f>
        <v>Ineficiente</v>
      </c>
      <c r="EU260" s="33" t="str">
        <f>IF(VLOOKUP(BQ260,Fundamentus!A:U,16,FALSE)&lt;0.1,"Oper. Ineficiente",IF(VLOOKUP(BQ260,Fundamentus!A:U,16,FALSE)&gt;0.1,"Oper.Eficiente","n/a"))</f>
        <v>Oper. Ineficiente</v>
      </c>
      <c r="EV260" s="34">
        <f>VLOOKUP(BQ260,Fundamentus!A:U,14,FALSE)</f>
        <v>3.2847</v>
      </c>
      <c r="EW260" s="17" t="str">
        <f>IF(VLOOKUP(BQ260,Fundamentus!A:U,21,FALSE)&lt;0,"Negativo",IF(VLOOKUP(BQ260,Fundamentus!A:U,21,FALSE)&lt;0.05,"Fraco",IF(VLOOKUP(BQ260,Fundamentus!A:U,21,FALSE)&lt;0.1,"Bom",IF(VLOOKUP(BQ260,Fundamentus!A:U,21,FALSE)&gt;0.1,"Muito bom","n/a"))))</f>
        <v>Fraco</v>
      </c>
      <c r="EY260" s="29" t="str">
        <f>IF(VLOOKUP(BQ260,Fundamentus!A:U,15,FALSE)&gt;1,"Bom",IF(VLOOKUP(BQ260,Fundamentus!A:U,15,FALSE)&lt;1,"Ruim","n/a"))</f>
        <v>Ruim</v>
      </c>
      <c r="EZ260" s="17" t="str">
        <f>IF(VLOOKUP(BQ260,Fundamentus!A:U,20,FALSE)&lt;0.5,"Baixa",IF(VLOOKUP(BQ260,Fundamentus!A:U,20,FALSE)&lt;1,"Moderada",IF(VLOOKUP(BQ260,Fundamentus!A:U,20,FALSE)&lt;2,"Alerta",IF(VLOOKUP(BQ260,Fundamentus!A:U,20,FALSE)&gt;2,"Alta","n/a"))))</f>
        <v>Baixa</v>
      </c>
    </row>
    <row r="261" spans="1:156" s="2" customFormat="1" ht="11.25" hidden="1" x14ac:dyDescent="0.2">
      <c r="A261" s="4">
        <v>2.44</v>
      </c>
      <c r="B261" s="4">
        <v>2.64</v>
      </c>
      <c r="C261" s="4">
        <v>2.42</v>
      </c>
      <c r="D261" s="4">
        <v>2.27</v>
      </c>
      <c r="E261" s="4">
        <v>2.16</v>
      </c>
      <c r="F261" s="4">
        <v>2.1</v>
      </c>
      <c r="G261" s="4">
        <v>2.02</v>
      </c>
      <c r="H261" s="4">
        <v>2</v>
      </c>
      <c r="I261" s="4">
        <v>1.95</v>
      </c>
      <c r="J261" s="4">
        <v>2.09</v>
      </c>
      <c r="K261" s="4">
        <v>2.31</v>
      </c>
      <c r="L261" s="4">
        <v>2.14</v>
      </c>
      <c r="M261" s="4">
        <v>2.21</v>
      </c>
      <c r="N261" s="4">
        <v>2.0699999999999998</v>
      </c>
      <c r="O261" s="4">
        <v>2.09</v>
      </c>
      <c r="P261" s="4">
        <v>1.98</v>
      </c>
      <c r="Q261" s="4">
        <v>1.99</v>
      </c>
      <c r="R261" s="4">
        <v>1.96</v>
      </c>
      <c r="S261" s="4">
        <v>1.95</v>
      </c>
      <c r="T261" s="4">
        <v>1.93</v>
      </c>
      <c r="U261" s="4">
        <v>1.84</v>
      </c>
      <c r="V261" s="4">
        <v>1.9</v>
      </c>
      <c r="W261" s="4">
        <v>1.76</v>
      </c>
      <c r="X261" s="4">
        <v>1.71</v>
      </c>
      <c r="Y261" s="4">
        <v>1.48</v>
      </c>
      <c r="Z261" s="4">
        <v>1.4</v>
      </c>
      <c r="AA261" s="4">
        <v>1.34</v>
      </c>
      <c r="AB261" s="4">
        <v>1.38</v>
      </c>
      <c r="AC261" s="4">
        <v>1.35</v>
      </c>
      <c r="AD261" s="4">
        <v>1.38</v>
      </c>
      <c r="AE261" s="4">
        <v>1.37</v>
      </c>
      <c r="AF261" s="4">
        <v>1.33</v>
      </c>
      <c r="AG261" s="4">
        <v>1.34</v>
      </c>
      <c r="AH261" s="4">
        <v>1.33</v>
      </c>
      <c r="AI261" s="4">
        <v>1.31</v>
      </c>
      <c r="AJ261" s="4">
        <v>1.26</v>
      </c>
      <c r="AK261" s="4">
        <v>1.43</v>
      </c>
      <c r="AL261" s="4">
        <v>1.48</v>
      </c>
      <c r="AM261" s="4">
        <v>1.46</v>
      </c>
      <c r="AN261" s="4">
        <v>1.54</v>
      </c>
      <c r="AO261" s="4">
        <v>1.49</v>
      </c>
      <c r="AP261" s="4">
        <v>1.5</v>
      </c>
      <c r="AQ261" s="4">
        <v>1.54</v>
      </c>
      <c r="AR261" s="4">
        <v>1.35</v>
      </c>
      <c r="AS261" s="4">
        <v>1.41</v>
      </c>
      <c r="AT261" s="4">
        <v>1.44</v>
      </c>
      <c r="AU261" s="4">
        <v>1.42</v>
      </c>
      <c r="AV261" s="4">
        <v>1.46</v>
      </c>
      <c r="AW261" s="4">
        <v>1.56</v>
      </c>
      <c r="AX261" s="4">
        <v>1.4</v>
      </c>
      <c r="AY261" s="12">
        <v>1.4</v>
      </c>
      <c r="AZ261" s="12">
        <v>1.37</v>
      </c>
      <c r="BA261" s="12">
        <v>1.3</v>
      </c>
      <c r="BB261" s="15">
        <v>1.29</v>
      </c>
      <c r="BC261" s="52">
        <v>1.26</v>
      </c>
      <c r="BD261" s="52">
        <v>1.25</v>
      </c>
      <c r="BE261" s="52">
        <v>1.2</v>
      </c>
      <c r="BF261" s="52">
        <v>1.19</v>
      </c>
      <c r="BG261" s="67">
        <v>1.18</v>
      </c>
      <c r="BH261" s="52">
        <v>1.17</v>
      </c>
      <c r="BI261" s="52">
        <v>1.22</v>
      </c>
      <c r="BJ261" s="52">
        <v>1.61</v>
      </c>
      <c r="BK261" s="52">
        <v>1.94</v>
      </c>
      <c r="BL261" s="52">
        <v>1.8</v>
      </c>
      <c r="BM261" s="52">
        <v>1.7</v>
      </c>
      <c r="BN261" s="52">
        <v>1.7</v>
      </c>
      <c r="BO261" s="52">
        <v>1.71</v>
      </c>
      <c r="BP261" s="52" cm="1">
        <f t="array" aca="1" ref="BP261" ca="1">_FV(ED261,"Preço")</f>
        <v>1.64</v>
      </c>
      <c r="BQ261" s="69" t="s">
        <v>257</v>
      </c>
      <c r="BR261" s="36" cm="1">
        <f t="array" aca="1" ref="BR261" ca="1">_FV(ED261,"Média de volume",TRUE)</f>
        <v>82100</v>
      </c>
      <c r="BS261" s="36">
        <v>296800</v>
      </c>
      <c r="BT261" s="36" cm="1">
        <f t="array" aca="1" ref="BT261" ca="1">_FV(ED261,"Volume")</f>
        <v>45300</v>
      </c>
      <c r="BU261" s="24" cm="1">
        <f t="array" aca="1" ref="BU261" ca="1">_FV(ED261,"Beta")</f>
        <v>1.6227</v>
      </c>
      <c r="BV261" s="71" cm="1">
        <f t="array" aca="1" ref="BV261" ca="1">_FV(ED261,"Variação (%)",TRUE)</f>
        <v>1.2345999999999999E-2</v>
      </c>
      <c r="BX261" s="17" cm="1">
        <f t="array" aca="1" ref="BX261" ca="1">_FV(ED261,"Baixo")</f>
        <v>1.62</v>
      </c>
      <c r="BY261" s="17" cm="1">
        <f t="array" aca="1" ref="BY261" ca="1">_FV(ED261,"Alto")</f>
        <v>1.7</v>
      </c>
      <c r="BZ261" s="24"/>
      <c r="CA261" s="63" t="e">
        <f ca="1">SQRT(22.5*(BP261/VLOOKUP(BQ261,Fundamentus!A:U,3,FALSE))*(BP261/VLOOKUP(BQ261,Fundamentus!A:U,4,FALSE)))</f>
        <v>#NUM!</v>
      </c>
      <c r="CC261" s="62">
        <f t="shared" ca="1" si="241"/>
        <v>-4.0935672514619922E-2</v>
      </c>
      <c r="CD261" s="8"/>
      <c r="CE261" s="61">
        <f t="shared" si="242"/>
        <v>1.17</v>
      </c>
      <c r="CF261" s="61">
        <f t="shared" si="243"/>
        <v>2.64</v>
      </c>
      <c r="CG261" s="61">
        <f t="shared" si="244"/>
        <v>1.6562686567164182</v>
      </c>
      <c r="CH261" s="14"/>
      <c r="CI261" s="35">
        <f t="shared" si="227"/>
        <v>1.4740967993820122</v>
      </c>
      <c r="CJ261" s="15">
        <f t="shared" si="245"/>
        <v>1.6599999999999682</v>
      </c>
      <c r="CK261" s="35">
        <f t="shared" si="228"/>
        <v>1.8459032006179241</v>
      </c>
      <c r="CM261" s="14"/>
      <c r="CN261" s="17">
        <f t="shared" si="229"/>
        <v>-0.4300000000000006</v>
      </c>
      <c r="CO261" s="17">
        <f t="shared" si="230"/>
        <v>0.36999999999999966</v>
      </c>
      <c r="CP261" s="17">
        <f t="shared" si="231"/>
        <v>1.0399999999999996</v>
      </c>
      <c r="CQ261" s="38">
        <f t="shared" si="246"/>
        <v>1.8399999999999999</v>
      </c>
      <c r="CR261" s="17">
        <f t="shared" si="232"/>
        <v>2.5099999999999998</v>
      </c>
      <c r="CS261" s="17">
        <f t="shared" si="233"/>
        <v>3.31</v>
      </c>
      <c r="CT261" s="17">
        <f t="shared" si="234"/>
        <v>3.98</v>
      </c>
      <c r="CU261" s="2" cm="1">
        <f t="array" aca="1" ref="CU261" ca="1">MAX(_xlfn._xlws.FILTER(CN261:CT261,CN261:CT261&lt;BP261))</f>
        <v>1.0399999999999996</v>
      </c>
      <c r="CV261" s="2" cm="1">
        <f t="array" aca="1" ref="CV261" ca="1">MIN(_xlfn._xlws.FILTER($CN261:$CT261,$CN261:$CT261&gt;BP261))</f>
        <v>1.8399999999999999</v>
      </c>
      <c r="CW261" s="16">
        <f t="shared" ca="1" si="265"/>
        <v>0.76923076923076983</v>
      </c>
      <c r="CX261" s="20">
        <f t="shared" ca="1" si="266"/>
        <v>-0.38461538461538491</v>
      </c>
      <c r="CY261" s="20">
        <f t="shared" ca="1" si="267"/>
        <v>-0.25641025641025661</v>
      </c>
      <c r="CZ261" s="20">
        <f t="shared" ca="1" si="268"/>
        <v>-0.15384615384615397</v>
      </c>
      <c r="DA261" s="20">
        <f t="shared" ca="1" si="269"/>
        <v>-8.5470085470085541E-2</v>
      </c>
      <c r="DB261" s="20">
        <f t="shared" ca="1" si="270"/>
        <v>-4.5248868778280577E-2</v>
      </c>
      <c r="DC261" s="20">
        <f t="shared" ca="1" si="271"/>
        <v>-2.3310023310023329E-2</v>
      </c>
      <c r="DD261" s="20">
        <f t="shared" ca="1" si="272"/>
        <v>-1.1834319526627227E-2</v>
      </c>
      <c r="DE261" s="21">
        <f t="shared" ca="1" si="273"/>
        <v>1.1834319526627227E-2</v>
      </c>
      <c r="DF261" s="21">
        <f t="shared" ca="1" si="274"/>
        <v>2.3310023310023329E-2</v>
      </c>
      <c r="DG261" s="21">
        <f t="shared" ca="1" si="275"/>
        <v>4.5248868778280577E-2</v>
      </c>
      <c r="DH261" s="21">
        <f t="shared" ca="1" si="276"/>
        <v>8.5470085470085541E-2</v>
      </c>
      <c r="DI261" s="21">
        <f t="shared" ca="1" si="277"/>
        <v>0.15384615384615397</v>
      </c>
      <c r="DJ261" s="21">
        <f t="shared" ca="1" si="278"/>
        <v>0.25641025641025661</v>
      </c>
      <c r="DK261" s="21">
        <f t="shared" ca="1" si="279"/>
        <v>0.38461538461538491</v>
      </c>
      <c r="DM261" s="16" cm="1">
        <f t="array" aca="1" ref="DM261" ca="1">MAX(_xlfn._xlws.FILTER(CX261:DK261,CX261:DK261&lt;BV261))</f>
        <v>1.1834319526627227E-2</v>
      </c>
      <c r="DN261" s="16" cm="1">
        <f t="array" aca="1" ref="DN261" ca="1">MIN(_xlfn._xlws.FILTER(CX261:DK261,CX261:DK261&gt;BV261))</f>
        <v>2.3310023310023329E-2</v>
      </c>
      <c r="DO261" s="2" cm="1">
        <f t="array" aca="1" ref="DO261" ca="1">_FV(ED261,"Fechamento anterior",TRUE)</f>
        <v>1.62</v>
      </c>
      <c r="DP261" s="28">
        <f t="shared" ca="1" si="235"/>
        <v>4.4560185185171935E-2</v>
      </c>
      <c r="DQ261" s="15">
        <f t="shared" ref="DQ261:DQ271" ca="1" si="283">DO261+(DO261*DM261)</f>
        <v>1.6391715976331362</v>
      </c>
      <c r="DR261" s="15">
        <f t="shared" ref="DR261:DR271" ca="1" si="284">DO261+(DO261*DN261)</f>
        <v>1.6577622377622379</v>
      </c>
      <c r="DS261" s="9"/>
      <c r="DT261" s="9"/>
      <c r="DU261" s="9"/>
      <c r="DV261" s="89">
        <v>2.3668639053254455E-2</v>
      </c>
      <c r="DW261" s="89">
        <f t="shared" ca="1" si="236"/>
        <v>1.1475703783396102E-2</v>
      </c>
      <c r="DX261" s="72">
        <f t="shared" ca="1" si="237"/>
        <v>-0.10758287072781313</v>
      </c>
      <c r="DY261" s="37"/>
      <c r="DZ261" s="35">
        <f t="shared" si="247"/>
        <v>9.2951600308978005E-2</v>
      </c>
      <c r="EA261" s="56"/>
      <c r="EB261" s="56"/>
      <c r="ED261" s="2" t="e" vm="263">
        <v>#VALUE!</v>
      </c>
      <c r="EF261" s="10" cm="1">
        <f t="array" aca="1" ref="EF261" ca="1">_FV(ED261,"Ações em circulação",TRUE)</f>
        <v>90511120</v>
      </c>
      <c r="EG261" s="18">
        <f>VLOOKUP(BQ261,Fundamentus!A:U,5,FALSE)</f>
        <v>0.3</v>
      </c>
      <c r="EH261" s="2">
        <f t="shared" ca="1" si="238"/>
        <v>494794122.66666663</v>
      </c>
      <c r="EI261" s="17">
        <v>-166227292.32479998</v>
      </c>
      <c r="EJ261" s="17">
        <f t="shared" ca="1" si="239"/>
        <v>-159422666.32319999</v>
      </c>
      <c r="EL261" s="16">
        <f t="shared" ca="1" si="282"/>
        <v>-4.0935672514619825E-2</v>
      </c>
      <c r="EM261" s="32" t="str">
        <f>IF(VLOOKUP(BQ261,Fundamentus!A:U,3,FALSE)&lt;15,"Bom",IF(VLOOKUP(BQ261,Fundamentus!A:U,3,FALSE)&gt;15,"Ruim","n/a"))</f>
        <v>Bom</v>
      </c>
      <c r="EN261" s="28" t="str">
        <f>IF(VLOOKUP(BQ261,Fundamentus!A:U,4,FALSE)&lt;1,"Baixo",IF(VLOOKUP(BQ261,Fundamentus!A:U,4,FALSE)&lt;1.5,"Moderado",IF(VLOOKUP(BQ261,Fundamentus!A:U,4,FALSE)&gt;1.5,"Alto","n/a")))</f>
        <v>Baixo</v>
      </c>
      <c r="EO261" s="17" t="str">
        <f>IF(VLOOKUP(BQ261,Fundamentus!A:U,8,FALSE)&lt;0,"Risco elevado",IF(VLOOKUP(BQ261,Fundamentus!A:U,8,FALSE)&lt;1,"Saudável",IF(VLOOKUP(BQ261,Fundamentus!A:U,8,FALSE)&lt;3,"Estável",IF(VLOOKUP(BQ261,Fundamentus!A:U,8,FALSE)&gt;3,"Alerta","n/a"))))</f>
        <v>Alerta</v>
      </c>
      <c r="EP261" s="28" t="str">
        <f t="shared" si="240"/>
        <v>Ruim</v>
      </c>
      <c r="EQ261" s="17" t="str">
        <f>IF(VLOOKUP(BQ261,Fundamentus!A:U,12,FALSE)&lt;2,"Subvalorizada",IF(VLOOKUP(BQ261,Fundamentus!A:U,12,FALSE)&lt;6,"Muita barata",IF(VLOOKUP(BQ261,Fundamentus!A:U,12,FALSE)&lt;6,"Barata",IF(VLOOKUP(BQ261,Fundamentus!A:U,12,FALSE)&lt;8,"Atrativa",IF(VLOOKUP(BQ261,Fundamentus!A:U,12,FALSE)&gt;8,"Supervalorizada","n/a")))))</f>
        <v>Subvalorizada</v>
      </c>
      <c r="ES261" s="17" t="str">
        <f>IF(VLOOKUP(BQ261,Fundamentus!A:U,17,FALSE)&lt;0.1,"Fraco retorno",IF(VLOOKUP(BQ261,Fundamentus!A:U,17,FALSE)&gt;0.1,"Bom retorno","n/a"))</f>
        <v>Fraco retorno</v>
      </c>
      <c r="ET261" s="17" t="str">
        <f>IF(VLOOKUP(BQ261,Fundamentus!A:U,16,FALSE)&lt;0.1,"Ineficiente",IF(VLOOKUP(BQ261,Fundamentus!A:U,16,FALSE)&gt;0.1,"Eficiente","n/a"))</f>
        <v>Ineficiente</v>
      </c>
      <c r="EU261" s="33" t="str">
        <f>IF(VLOOKUP(BQ261,Fundamentus!A:U,16,FALSE)&lt;0.1,"Oper. Ineficiente",IF(VLOOKUP(BQ261,Fundamentus!A:U,16,FALSE)&gt;0.1,"Oper.Eficiente","n/a"))</f>
        <v>Oper. Ineficiente</v>
      </c>
      <c r="EV261" s="34">
        <f>VLOOKUP(BQ261,Fundamentus!A:U,14,FALSE)</f>
        <v>-0.32219999999999999</v>
      </c>
      <c r="EW261" s="17" t="str">
        <f>IF(VLOOKUP(BQ261,Fundamentus!A:U,21,FALSE)&lt;0,"Negativo",IF(VLOOKUP(BQ261,Fundamentus!A:U,21,FALSE)&lt;0.05,"Fraco",IF(VLOOKUP(BQ261,Fundamentus!A:U,21,FALSE)&lt;0.1,"Bom",IF(VLOOKUP(BQ261,Fundamentus!A:U,21,FALSE)&gt;0.1,"Muito bom","n/a"))))</f>
        <v>Muito bom</v>
      </c>
      <c r="EY261" s="29" t="str">
        <f>IF(VLOOKUP(BQ261,Fundamentus!A:U,15,FALSE)&gt;1,"Bom",IF(VLOOKUP(BQ261,Fundamentus!A:U,15,FALSE)&lt;1,"Ruim","n/a"))</f>
        <v>Bom</v>
      </c>
      <c r="EZ261" s="17" t="str">
        <f>IF(VLOOKUP(BQ261,Fundamentus!A:U,20,FALSE)&lt;0.5,"Baixa",IF(VLOOKUP(BQ261,Fundamentus!A:U,20,FALSE)&lt;1,"Moderada",IF(VLOOKUP(BQ261,Fundamentus!A:U,20,FALSE)&lt;2,"Alerta",IF(VLOOKUP(BQ261,Fundamentus!A:U,20,FALSE)&gt;2,"Alta","n/a"))))</f>
        <v>Alerta</v>
      </c>
    </row>
    <row r="262" spans="1:156" s="2" customFormat="1" ht="11.25" hidden="1" x14ac:dyDescent="0.2">
      <c r="A262" s="4">
        <v>10.95</v>
      </c>
      <c r="B262" s="4">
        <v>11.08</v>
      </c>
      <c r="C262" s="4">
        <v>10.07</v>
      </c>
      <c r="D262" s="4">
        <v>10.36</v>
      </c>
      <c r="E262" s="4">
        <v>9.5</v>
      </c>
      <c r="F262" s="4">
        <v>9.23</v>
      </c>
      <c r="G262" s="4">
        <v>9.1199999999999992</v>
      </c>
      <c r="H262" s="4">
        <v>7.68</v>
      </c>
      <c r="I262" s="4">
        <v>7.35</v>
      </c>
      <c r="J262" s="4">
        <v>8.2200000000000006</v>
      </c>
      <c r="K262" s="4">
        <v>8.83</v>
      </c>
      <c r="L262" s="4">
        <v>8.3800000000000008</v>
      </c>
      <c r="M262" s="4">
        <v>8.25</v>
      </c>
      <c r="N262" s="4">
        <v>7.95</v>
      </c>
      <c r="O262" s="4">
        <v>7.95</v>
      </c>
      <c r="P262" s="4">
        <v>7.41</v>
      </c>
      <c r="Q262" s="4">
        <v>7.6</v>
      </c>
      <c r="R262" s="4">
        <v>5.39</v>
      </c>
      <c r="S262" s="4">
        <v>4.4400000000000004</v>
      </c>
      <c r="T262" s="4">
        <v>4.95</v>
      </c>
      <c r="U262" s="4">
        <v>5.26</v>
      </c>
      <c r="V262" s="4">
        <v>5.95</v>
      </c>
      <c r="W262" s="4">
        <v>5.88</v>
      </c>
      <c r="X262" s="4">
        <v>5.93</v>
      </c>
      <c r="Y262" s="4">
        <v>5.76</v>
      </c>
      <c r="Z262" s="4">
        <v>5.36</v>
      </c>
      <c r="AA262" s="4">
        <v>5.31</v>
      </c>
      <c r="AB262" s="4">
        <v>5.1100000000000003</v>
      </c>
      <c r="AC262" s="4">
        <v>5.33</v>
      </c>
      <c r="AD262" s="4">
        <v>4.97</v>
      </c>
      <c r="AE262" s="4">
        <v>4.92</v>
      </c>
      <c r="AF262" s="4">
        <v>4.37</v>
      </c>
      <c r="AG262" s="4">
        <v>4.17</v>
      </c>
      <c r="AH262" s="4">
        <v>3.3</v>
      </c>
      <c r="AI262" s="4">
        <v>3.36</v>
      </c>
      <c r="AJ262" s="4">
        <v>3.75</v>
      </c>
      <c r="AK262" s="4">
        <v>4.1399999999999997</v>
      </c>
      <c r="AL262" s="4">
        <v>4.43</v>
      </c>
      <c r="AM262" s="4">
        <v>4.51</v>
      </c>
      <c r="AN262" s="4">
        <v>4.5999999999999996</v>
      </c>
      <c r="AO262" s="4">
        <v>3.78</v>
      </c>
      <c r="AP262" s="4">
        <v>3.84</v>
      </c>
      <c r="AQ262" s="4">
        <v>3.63</v>
      </c>
      <c r="AR262" s="4">
        <v>3.87</v>
      </c>
      <c r="AS262" s="4">
        <v>3.9</v>
      </c>
      <c r="AT262" s="4">
        <v>3.77</v>
      </c>
      <c r="AU262" s="4">
        <v>3.72</v>
      </c>
      <c r="AV262" s="4">
        <v>3.44</v>
      </c>
      <c r="AW262" s="4">
        <v>3.21</v>
      </c>
      <c r="AX262" s="4">
        <v>3</v>
      </c>
      <c r="AY262" s="12">
        <v>3.06</v>
      </c>
      <c r="AZ262" s="12">
        <v>1.95</v>
      </c>
      <c r="BA262" s="12">
        <v>1.47</v>
      </c>
      <c r="BB262" s="15">
        <v>1.43</v>
      </c>
      <c r="BC262" s="52">
        <v>1.1399999999999999</v>
      </c>
      <c r="BD262" s="52">
        <v>1.04</v>
      </c>
      <c r="BE262" s="52">
        <v>0.9</v>
      </c>
      <c r="BF262" s="52">
        <v>0.96</v>
      </c>
      <c r="BG262" s="67">
        <v>0.99</v>
      </c>
      <c r="BH262" s="52">
        <v>0.98</v>
      </c>
      <c r="BI262" s="52">
        <v>0.94</v>
      </c>
      <c r="BJ262" s="52">
        <v>0.93</v>
      </c>
      <c r="BK262" s="52">
        <v>0.8</v>
      </c>
      <c r="BL262" s="52">
        <v>0.63</v>
      </c>
      <c r="BM262" s="52">
        <v>0.73</v>
      </c>
      <c r="BN262" s="52">
        <v>0.67</v>
      </c>
      <c r="BO262" s="52">
        <v>0.6</v>
      </c>
      <c r="BP262" s="52" cm="1">
        <f t="array" aca="1" ref="BP262" ca="1">_FV(ED262,"Preço")</f>
        <v>0.57999999999999996</v>
      </c>
      <c r="BQ262" s="69" t="s">
        <v>258</v>
      </c>
      <c r="BR262" s="36" cm="1">
        <f t="array" aca="1" ref="BR262" ca="1">_FV(ED262,"Média de volume",TRUE)</f>
        <v>17357570</v>
      </c>
      <c r="BS262" s="36">
        <v>19836200</v>
      </c>
      <c r="BT262" s="36" cm="1">
        <f t="array" aca="1" ref="BT262" ca="1">_FV(ED262,"Volume")</f>
        <v>23196700</v>
      </c>
      <c r="BU262" s="24" cm="1">
        <f t="array" aca="1" ref="BU262" ca="1">_FV(ED262,"Beta")</f>
        <v>2.1004999999999998</v>
      </c>
      <c r="BV262" s="71" cm="1">
        <f t="array" aca="1" ref="BV262" ca="1">_FV(ED262,"Variação (%)",TRUE)</f>
        <v>-4.9180000000000001E-2</v>
      </c>
      <c r="BX262" s="17" cm="1">
        <f t="array" aca="1" ref="BX262" ca="1">_FV(ED262,"Baixo")</f>
        <v>0.57999999999999996</v>
      </c>
      <c r="BY262" s="17" cm="1">
        <f t="array" aca="1" ref="BY262" ca="1">_FV(ED262,"Alto")</f>
        <v>0.63</v>
      </c>
      <c r="BZ262" s="24"/>
      <c r="CA262" s="63" t="e">
        <f ca="1">SQRT(22.5*(BP262/VLOOKUP(BQ262,Fundamentus!A:U,3,FALSE))*(BP262/VLOOKUP(BQ262,Fundamentus!A:U,4,FALSE)))</f>
        <v>#NUM!</v>
      </c>
      <c r="CC262" s="62">
        <f t="shared" ca="1" si="241"/>
        <v>-3.3333333333333368E-2</v>
      </c>
      <c r="CD262" s="8"/>
      <c r="CE262" s="61">
        <f t="shared" si="242"/>
        <v>0.6</v>
      </c>
      <c r="CF262" s="61">
        <f t="shared" si="243"/>
        <v>11.08</v>
      </c>
      <c r="CG262" s="61">
        <f t="shared" si="244"/>
        <v>4.7238805970149258</v>
      </c>
      <c r="CH262" s="14"/>
      <c r="CI262" s="35">
        <f t="shared" ref="CI262:CI271" si="285">CJ262-DZ262*2</f>
        <v>0.47655663138366222</v>
      </c>
      <c r="CJ262" s="15">
        <f t="shared" si="245"/>
        <v>0.61999999999999034</v>
      </c>
      <c r="CK262" s="35">
        <f t="shared" ref="CK262:CK271" si="286">CJ262+DZ262*2</f>
        <v>0.76344336861631845</v>
      </c>
      <c r="CM262" s="14"/>
      <c r="CN262" s="17">
        <f t="shared" ref="CN262:CN271" si="287">CE262-2*(CF262-CQ262)</f>
        <v>-13.373333333333335</v>
      </c>
      <c r="CO262" s="17">
        <f t="shared" ref="CO262:CO271" si="288">CQ262-(CF262-CE262)</f>
        <v>-6.3866666666666676</v>
      </c>
      <c r="CP262" s="17">
        <f t="shared" ref="CP262:CP271" si="289">2*CQ262-CF262</f>
        <v>-2.8933333333333344</v>
      </c>
      <c r="CQ262" s="38">
        <f t="shared" si="246"/>
        <v>4.0933333333333328</v>
      </c>
      <c r="CR262" s="17">
        <f t="shared" ref="CR262:CR271" si="290">2*CQ262-CE262</f>
        <v>7.586666666666666</v>
      </c>
      <c r="CS262" s="17">
        <f t="shared" ref="CS262:CS271" si="291">CQ262+(CF262-CE262)</f>
        <v>14.573333333333334</v>
      </c>
      <c r="CT262" s="17">
        <f t="shared" ref="CT262:CT271" si="292">CF262+2*(CQ262-CE262)</f>
        <v>18.066666666666666</v>
      </c>
      <c r="CU262" s="2" cm="1">
        <f t="array" aca="1" ref="CU262" ca="1">MAX(_xlfn._xlws.FILTER(CN262:CT262,CN262:CT262&lt;BP262))</f>
        <v>-2.8933333333333344</v>
      </c>
      <c r="CV262" s="2" cm="1">
        <f t="array" aca="1" ref="CV262" ca="1">MIN(_xlfn._xlws.FILTER($CN262:$CT262,$CN262:$CT262&gt;BP262))</f>
        <v>4.0933333333333328</v>
      </c>
      <c r="CW262" s="16">
        <f t="shared" ref="CW262:CW271" ca="1" si="293">(CV262/CU262)-1</f>
        <v>-2.4147465437788012</v>
      </c>
      <c r="CX262" s="20">
        <f t="shared" ref="CX262:CX271" ca="1" si="294">-$CW262/2</f>
        <v>1.2073732718894006</v>
      </c>
      <c r="CY262" s="20">
        <f t="shared" ref="CY262:CY271" ca="1" si="295">-$CW262/3</f>
        <v>0.80491551459293376</v>
      </c>
      <c r="CZ262" s="20">
        <f t="shared" ref="CZ262:CZ271" ca="1" si="296">-$CW262/5</f>
        <v>0.48294930875576025</v>
      </c>
      <c r="DA262" s="20">
        <f t="shared" ref="DA262:DA271" ca="1" si="297">-$CW262/9</f>
        <v>0.26830517153097788</v>
      </c>
      <c r="DB262" s="20">
        <f t="shared" ca="1" si="270"/>
        <v>0.14204391433992947</v>
      </c>
      <c r="DC262" s="20">
        <f t="shared" ca="1" si="271"/>
        <v>7.3174137690266705E-2</v>
      </c>
      <c r="DD262" s="20">
        <f t="shared" ca="1" si="272"/>
        <v>3.7149946827366172E-2</v>
      </c>
      <c r="DE262" s="21">
        <f t="shared" ca="1" si="273"/>
        <v>-3.7149946827366172E-2</v>
      </c>
      <c r="DF262" s="21">
        <f t="shared" ca="1" si="274"/>
        <v>-7.3174137690266705E-2</v>
      </c>
      <c r="DG262" s="21">
        <f t="shared" ca="1" si="275"/>
        <v>-0.14204391433992947</v>
      </c>
      <c r="DH262" s="21">
        <f t="shared" ref="DH262:DH271" ca="1" si="298">-$CW262/9*-1</f>
        <v>-0.26830517153097788</v>
      </c>
      <c r="DI262" s="21">
        <f t="shared" ref="DI262:DI271" ca="1" si="299">-$CW262/5*-1</f>
        <v>-0.48294930875576025</v>
      </c>
      <c r="DJ262" s="21">
        <f t="shared" ref="DJ262:DJ271" ca="1" si="300">-$CW262/3*-1</f>
        <v>-0.80491551459293376</v>
      </c>
      <c r="DK262" s="21">
        <f t="shared" ref="DK262:DK271" ca="1" si="301">-$CW262/2*-1</f>
        <v>-1.2073732718894006</v>
      </c>
      <c r="DM262" s="16" cm="1">
        <f t="array" aca="1" ref="DM262" ca="1">MAX(_xlfn._xlws.FILTER(CX262:DK262,CX262:DK262&lt;BV262))</f>
        <v>-7.3174137690266705E-2</v>
      </c>
      <c r="DN262" s="16" cm="1">
        <f t="array" aca="1" ref="DN262" ca="1">MIN(_xlfn._xlws.FILTER(CX262:DK262,CX262:DK262&gt;BV262))</f>
        <v>-3.7149946827366172E-2</v>
      </c>
      <c r="DO262" s="2" cm="1">
        <f t="array" aca="1" ref="DO262" ca="1">_FV(ED262,"Fechamento anterior",TRUE)</f>
        <v>0.61</v>
      </c>
      <c r="DP262" s="28">
        <f t="shared" ref="DP262:DP271" ca="1" si="302">(BP262-DQ262)/(DR262-DQ262)</f>
        <v>0.66604715461143571</v>
      </c>
      <c r="DQ262" s="15">
        <f t="shared" ca="1" si="283"/>
        <v>0.56536377600893728</v>
      </c>
      <c r="DR262" s="15">
        <f t="shared" ca="1" si="284"/>
        <v>0.58733853243530665</v>
      </c>
      <c r="DS262" s="9"/>
      <c r="DT262" s="9"/>
      <c r="DU262" s="9"/>
      <c r="DV262" s="89">
        <v>7.4299893654732344E-2</v>
      </c>
      <c r="DW262" s="89">
        <f t="shared" ref="DW262:DW271" ca="1" si="303">DN262-DM262</f>
        <v>3.6024190862900533E-2</v>
      </c>
      <c r="DX262" s="72">
        <f t="shared" ref="DX262:DX271" ca="1" si="304">(BP262-CJ262)/(CJ262-CI262)</f>
        <v>-0.2788556932665146</v>
      </c>
      <c r="DY262" s="37"/>
      <c r="DZ262" s="35">
        <f t="shared" si="247"/>
        <v>7.1721684308164071E-2</v>
      </c>
      <c r="EA262" s="56"/>
      <c r="EB262" s="56"/>
      <c r="ED262" s="2" t="e" vm="264">
        <v>#VALUE!</v>
      </c>
      <c r="EF262" s="10" cm="1">
        <f t="array" aca="1" ref="EF262" ca="1">_FV(ED262,"Ações em circulação",TRUE)</f>
        <v>896039700</v>
      </c>
      <c r="EG262" s="18">
        <f>VLOOKUP(BQ262,Fundamentus!A:U,5,FALSE)</f>
        <v>3.1E-2</v>
      </c>
      <c r="EH262" s="2">
        <f t="shared" ref="EH262:EH271" ca="1" si="305">(BP262*EF262)/EG262</f>
        <v>16764613741.935482</v>
      </c>
      <c r="EI262" s="17">
        <v>10190572794.580647</v>
      </c>
      <c r="EJ262" s="17">
        <f t="shared" ref="EJ262:EJ271" ca="1" si="306">EH262*EV262</f>
        <v>9850887034.7612896</v>
      </c>
      <c r="EL262" s="16">
        <f t="shared" ca="1" si="282"/>
        <v>-3.3333333333333548E-2</v>
      </c>
      <c r="EM262" s="32" t="str">
        <f>IF(VLOOKUP(BQ262,Fundamentus!A:U,3,FALSE)&lt;15,"Bom",IF(VLOOKUP(BQ262,Fundamentus!A:U,3,FALSE)&gt;15,"Ruim","n/a"))</f>
        <v>Bom</v>
      </c>
      <c r="EN262" s="28" t="str">
        <f>IF(VLOOKUP(BQ262,Fundamentus!A:U,4,FALSE)&lt;1,"Baixo",IF(VLOOKUP(BQ262,Fundamentus!A:U,4,FALSE)&lt;1.5,"Moderado",IF(VLOOKUP(BQ262,Fundamentus!A:U,4,FALSE)&gt;1.5,"Alto","n/a")))</f>
        <v>Baixo</v>
      </c>
      <c r="EO262" s="17" t="str">
        <f>IF(VLOOKUP(BQ262,Fundamentus!A:U,8,FALSE)&lt;0,"Risco elevado",IF(VLOOKUP(BQ262,Fundamentus!A:U,8,FALSE)&lt;1,"Saudável",IF(VLOOKUP(BQ262,Fundamentus!A:U,8,FALSE)&lt;3,"Estável",IF(VLOOKUP(BQ262,Fundamentus!A:U,8,FALSE)&gt;3,"Alerta","n/a"))))</f>
        <v>Risco elevado</v>
      </c>
      <c r="EP262" s="28" t="str">
        <f t="shared" ref="EP262:EP271" si="307">IF(EG262&gt;1,"Bom","Ruim")</f>
        <v>Ruim</v>
      </c>
      <c r="EQ262" s="17" t="str">
        <f>IF(VLOOKUP(BQ262,Fundamentus!A:U,12,FALSE)&lt;2,"Subvalorizada",IF(VLOOKUP(BQ262,Fundamentus!A:U,12,FALSE)&lt;6,"Muita barata",IF(VLOOKUP(BQ262,Fundamentus!A:U,12,FALSE)&lt;6,"Barata",IF(VLOOKUP(BQ262,Fundamentus!A:U,12,FALSE)&lt;8,"Atrativa",IF(VLOOKUP(BQ262,Fundamentus!A:U,12,FALSE)&gt;8,"Supervalorizada","n/a")))))</f>
        <v>Muita barata</v>
      </c>
      <c r="ES262" s="17" t="str">
        <f>IF(VLOOKUP(BQ262,Fundamentus!A:U,17,FALSE)&lt;0.1,"Fraco retorno",IF(VLOOKUP(BQ262,Fundamentus!A:U,17,FALSE)&gt;0.1,"Bom retorno","n/a"))</f>
        <v>Fraco retorno</v>
      </c>
      <c r="ET262" s="17" t="str">
        <f>IF(VLOOKUP(BQ262,Fundamentus!A:U,16,FALSE)&lt;0.1,"Ineficiente",IF(VLOOKUP(BQ262,Fundamentus!A:U,16,FALSE)&gt;0.1,"Eficiente","n/a"))</f>
        <v>Eficiente</v>
      </c>
      <c r="EU262" s="33" t="str">
        <f>IF(VLOOKUP(BQ262,Fundamentus!A:U,16,FALSE)&lt;0.1,"Oper. Ineficiente",IF(VLOOKUP(BQ262,Fundamentus!A:U,16,FALSE)&gt;0.1,"Oper.Eficiente","n/a"))</f>
        <v>Oper.Eficiente</v>
      </c>
      <c r="EV262" s="34">
        <f>VLOOKUP(BQ262,Fundamentus!A:U,14,FALSE)</f>
        <v>0.58760000000000001</v>
      </c>
      <c r="EW262" s="17" t="str">
        <f>IF(VLOOKUP(BQ262,Fundamentus!A:U,21,FALSE)&lt;0,"Negativo",IF(VLOOKUP(BQ262,Fundamentus!A:U,21,FALSE)&lt;0.05,"Fraco",IF(VLOOKUP(BQ262,Fundamentus!A:U,21,FALSE)&lt;0.1,"Bom",IF(VLOOKUP(BQ262,Fundamentus!A:U,21,FALSE)&gt;0.1,"Muito bom","n/a"))))</f>
        <v>Muito bom</v>
      </c>
      <c r="EY262" s="29" t="str">
        <f>IF(VLOOKUP(BQ262,Fundamentus!A:U,15,FALSE)&gt;1,"Bom",IF(VLOOKUP(BQ262,Fundamentus!A:U,15,FALSE)&lt;1,"Ruim","n/a"))</f>
        <v>Ruim</v>
      </c>
      <c r="EZ262" s="17" t="str">
        <f>IF(VLOOKUP(BQ262,Fundamentus!A:U,20,FALSE)&lt;0.5,"Baixa",IF(VLOOKUP(BQ262,Fundamentus!A:U,20,FALSE)&lt;1,"Moderada",IF(VLOOKUP(BQ262,Fundamentus!A:U,20,FALSE)&lt;2,"Alerta",IF(VLOOKUP(BQ262,Fundamentus!A:U,20,FALSE)&gt;2,"Alta","n/a"))))</f>
        <v>Baixa</v>
      </c>
    </row>
    <row r="263" spans="1:156" s="2" customFormat="1" ht="11.25" hidden="1" x14ac:dyDescent="0.2">
      <c r="A263" s="4">
        <v>8.6</v>
      </c>
      <c r="B263" s="4">
        <v>8.83</v>
      </c>
      <c r="C263" s="4">
        <v>8.75</v>
      </c>
      <c r="D263" s="4">
        <v>8.44</v>
      </c>
      <c r="E263" s="4">
        <v>8.2100000000000009</v>
      </c>
      <c r="F263" s="4">
        <v>8</v>
      </c>
      <c r="G263" s="4">
        <v>7.58</v>
      </c>
      <c r="H263" s="4">
        <v>6.92</v>
      </c>
      <c r="I263" s="4">
        <v>6.32</v>
      </c>
      <c r="J263" s="4">
        <v>6.55</v>
      </c>
      <c r="K263" s="4">
        <v>6.54</v>
      </c>
      <c r="L263" s="4">
        <v>6.65</v>
      </c>
      <c r="M263" s="4">
        <v>6.67</v>
      </c>
      <c r="N263" s="4">
        <v>6.58</v>
      </c>
      <c r="O263" s="4">
        <v>6.5</v>
      </c>
      <c r="P263" s="4">
        <v>7.61</v>
      </c>
      <c r="Q263" s="4">
        <v>8.01</v>
      </c>
      <c r="R263" s="4">
        <v>8.81</v>
      </c>
      <c r="S263" s="4">
        <v>8.01</v>
      </c>
      <c r="T263" s="4">
        <v>6.3</v>
      </c>
      <c r="U263" s="4">
        <v>5.4</v>
      </c>
      <c r="V263" s="4">
        <v>5.03</v>
      </c>
      <c r="W263" s="4">
        <v>5.5</v>
      </c>
      <c r="X263" s="4">
        <v>5.68</v>
      </c>
      <c r="Y263" s="4">
        <v>5.62</v>
      </c>
      <c r="Z263" s="4">
        <v>5.48</v>
      </c>
      <c r="AA263" s="4">
        <v>4.95</v>
      </c>
      <c r="AB263" s="4">
        <v>5.29</v>
      </c>
      <c r="AC263" s="4">
        <v>5.09</v>
      </c>
      <c r="AD263" s="4">
        <v>4.53</v>
      </c>
      <c r="AE263" s="4">
        <v>3.92</v>
      </c>
      <c r="AF263" s="4">
        <v>3.53</v>
      </c>
      <c r="AG263" s="4">
        <v>2.85</v>
      </c>
      <c r="AH263" s="4">
        <v>2.86</v>
      </c>
      <c r="AI263" s="4">
        <v>2.96</v>
      </c>
      <c r="AJ263" s="4">
        <v>3.07</v>
      </c>
      <c r="AK263" s="4">
        <v>3.15</v>
      </c>
      <c r="AL263" s="4">
        <v>3.29</v>
      </c>
      <c r="AM263" s="4">
        <v>3.25</v>
      </c>
      <c r="AN263" s="4">
        <v>3.43</v>
      </c>
      <c r="AO263" s="4">
        <v>3.58</v>
      </c>
      <c r="AP263" s="4">
        <v>3.73</v>
      </c>
      <c r="AQ263" s="4">
        <v>3.84</v>
      </c>
      <c r="AR263" s="4">
        <v>3.83</v>
      </c>
      <c r="AS263" s="4">
        <v>3.64</v>
      </c>
      <c r="AT263" s="4">
        <v>3.67</v>
      </c>
      <c r="AU263" s="4">
        <v>3.5049999999999999</v>
      </c>
      <c r="AV263" s="4">
        <v>3.67</v>
      </c>
      <c r="AW263" s="4">
        <v>3.45</v>
      </c>
      <c r="AX263" s="4">
        <v>3.38</v>
      </c>
      <c r="AY263" s="12">
        <v>3.74</v>
      </c>
      <c r="AZ263" s="12">
        <v>3.71</v>
      </c>
      <c r="BA263" s="12">
        <v>3.86</v>
      </c>
      <c r="BB263" s="15">
        <v>5.01</v>
      </c>
      <c r="BC263" s="52">
        <v>4.96</v>
      </c>
      <c r="BD263" s="52">
        <v>6.74</v>
      </c>
      <c r="BE263" s="52">
        <v>7.97</v>
      </c>
      <c r="BF263" s="52">
        <v>7.93</v>
      </c>
      <c r="BG263" s="67">
        <v>7.76</v>
      </c>
      <c r="BH263" s="52">
        <v>7.36</v>
      </c>
      <c r="BI263" s="52">
        <v>7.01</v>
      </c>
      <c r="BJ263" s="52">
        <v>6.62</v>
      </c>
      <c r="BK263" s="52">
        <v>5.16</v>
      </c>
      <c r="BL263" s="52">
        <v>4.9800000000000004</v>
      </c>
      <c r="BM263" s="52">
        <v>5.04</v>
      </c>
      <c r="BN263" s="52">
        <v>5.88</v>
      </c>
      <c r="BO263" s="52">
        <v>6.32</v>
      </c>
      <c r="BP263" s="52" cm="1">
        <f t="array" aca="1" ref="BP263" ca="1">_FV(ED263,"Preço")</f>
        <v>7.7</v>
      </c>
      <c r="BQ263" s="69" t="s">
        <v>259</v>
      </c>
      <c r="BR263" s="36" cm="1">
        <f t="array" aca="1" ref="BR263" ca="1">_FV(ED263,"Média de volume",TRUE)</f>
        <v>21710</v>
      </c>
      <c r="BS263" s="36">
        <v>7800</v>
      </c>
      <c r="BT263" s="36" cm="1">
        <f t="array" aca="1" ref="BT263" ca="1">_FV(ED263,"Volume")</f>
        <v>12600</v>
      </c>
      <c r="BU263" s="24" cm="1">
        <f t="array" aca="1" ref="BU263" ca="1">_FV(ED263,"Beta")</f>
        <v>1.7206999999999999</v>
      </c>
      <c r="BV263" s="71" cm="1">
        <f t="array" aca="1" ref="BV263" ca="1">_FV(ED263,"Variação (%)",TRUE)</f>
        <v>3.6339000000000003E-2</v>
      </c>
      <c r="BX263" s="17" cm="1">
        <f t="array" aca="1" ref="BX263" ca="1">_FV(ED263,"Baixo")</f>
        <v>7.37</v>
      </c>
      <c r="BY263" s="17" cm="1">
        <f t="array" aca="1" ref="BY263" ca="1">_FV(ED263,"Alto")</f>
        <v>7.7</v>
      </c>
      <c r="BZ263" s="24"/>
      <c r="CA263" s="63">
        <f ca="1">SQRT(22.5*(BP263/VLOOKUP(BQ263,Fundamentus!A:U,3,FALSE))*(BP263/VLOOKUP(BQ263,Fundamentus!A:U,4,FALSE)))</f>
        <v>23.23750815091309</v>
      </c>
      <c r="CC263" s="62">
        <f t="shared" ref="CC263:CC271" ca="1" si="308">(BP263 - BO263) / BO263</f>
        <v>0.21835443037974681</v>
      </c>
      <c r="CD263" s="8"/>
      <c r="CE263" s="61">
        <f t="shared" ref="CE263:CE271" si="309">MIN(A263:BO263)</f>
        <v>2.85</v>
      </c>
      <c r="CF263" s="61">
        <f t="shared" ref="CF263:CF271" si="310">MAX(A263:BO263)</f>
        <v>8.83</v>
      </c>
      <c r="CG263" s="61">
        <f t="shared" ref="CG263:CG271" si="311">AVERAGE(A263:BO263)</f>
        <v>5.5388805970149262</v>
      </c>
      <c r="CH263" s="14"/>
      <c r="CI263" s="35">
        <f t="shared" si="285"/>
        <v>5.7073542452910262</v>
      </c>
      <c r="CJ263" s="15">
        <f t="shared" ref="CJ263:CJ271" si="312">FORECAST("15/08/2025", BL263:BO263, $BL$5:$BO$5)</f>
        <v>6.7699999999995271</v>
      </c>
      <c r="CK263" s="35">
        <f t="shared" si="286"/>
        <v>7.8326457547080279</v>
      </c>
      <c r="CM263" s="14"/>
      <c r="CN263" s="17">
        <f t="shared" si="287"/>
        <v>-2.81</v>
      </c>
      <c r="CO263" s="17">
        <f t="shared" si="288"/>
        <v>1.9999999999999574E-2</v>
      </c>
      <c r="CP263" s="17">
        <f t="shared" si="289"/>
        <v>3.17</v>
      </c>
      <c r="CQ263" s="38">
        <f t="shared" ref="CQ263:CQ271" si="313">(CF263+CE263+BO263)/3</f>
        <v>6</v>
      </c>
      <c r="CR263" s="17">
        <f t="shared" si="290"/>
        <v>9.15</v>
      </c>
      <c r="CS263" s="17">
        <f t="shared" si="291"/>
        <v>11.98</v>
      </c>
      <c r="CT263" s="17">
        <f t="shared" si="292"/>
        <v>15.129999999999999</v>
      </c>
      <c r="CU263" s="2" cm="1">
        <f t="array" aca="1" ref="CU263" ca="1">MAX(_xlfn._xlws.FILTER(CN263:CT263,CN263:CT263&lt;BP263))</f>
        <v>6</v>
      </c>
      <c r="CV263" s="2" cm="1">
        <f t="array" aca="1" ref="CV263" ca="1">MIN(_xlfn._xlws.FILTER($CN263:$CT263,$CN263:$CT263&gt;BP263))</f>
        <v>9.15</v>
      </c>
      <c r="CW263" s="16">
        <f t="shared" ca="1" si="293"/>
        <v>0.52500000000000013</v>
      </c>
      <c r="CX263" s="20">
        <f t="shared" ca="1" si="294"/>
        <v>-0.26250000000000007</v>
      </c>
      <c r="CY263" s="20">
        <f t="shared" ca="1" si="295"/>
        <v>-0.17500000000000004</v>
      </c>
      <c r="CZ263" s="20">
        <f t="shared" ca="1" si="296"/>
        <v>-0.10500000000000002</v>
      </c>
      <c r="DA263" s="20">
        <f t="shared" ca="1" si="297"/>
        <v>-5.8333333333333348E-2</v>
      </c>
      <c r="DB263" s="20">
        <f t="shared" ca="1" si="270"/>
        <v>-3.0882352941176479E-2</v>
      </c>
      <c r="DC263" s="20">
        <f t="shared" ca="1" si="271"/>
        <v>-1.5909090909090914E-2</v>
      </c>
      <c r="DD263" s="20">
        <f t="shared" ca="1" si="272"/>
        <v>-8.0769230769230788E-3</v>
      </c>
      <c r="DE263" s="21">
        <f t="shared" ca="1" si="273"/>
        <v>8.0769230769230788E-3</v>
      </c>
      <c r="DF263" s="21">
        <f t="shared" ca="1" si="274"/>
        <v>1.5909090909090914E-2</v>
      </c>
      <c r="DG263" s="21">
        <f t="shared" ca="1" si="275"/>
        <v>3.0882352941176479E-2</v>
      </c>
      <c r="DH263" s="21">
        <f t="shared" ca="1" si="298"/>
        <v>5.8333333333333348E-2</v>
      </c>
      <c r="DI263" s="21">
        <f t="shared" ca="1" si="299"/>
        <v>0.10500000000000002</v>
      </c>
      <c r="DJ263" s="21">
        <f t="shared" ca="1" si="300"/>
        <v>0.17500000000000004</v>
      </c>
      <c r="DK263" s="21">
        <f t="shared" ca="1" si="301"/>
        <v>0.26250000000000007</v>
      </c>
      <c r="DM263" s="16" cm="1">
        <f t="array" aca="1" ref="DM263" ca="1">MAX(_xlfn._xlws.FILTER(CX263:DK263,CX263:DK263&lt;BV263))</f>
        <v>3.0882352941176479E-2</v>
      </c>
      <c r="DN263" s="16" cm="1">
        <f t="array" aca="1" ref="DN263" ca="1">MIN(_xlfn._xlws.FILTER(CX263:DK263,CX263:DK263&gt;BV263))</f>
        <v>5.8333333333333348E-2</v>
      </c>
      <c r="DO263" s="2" cm="1">
        <f t="array" aca="1" ref="DO263" ca="1">_FV(ED263,"Fechamento anterior",TRUE)</f>
        <v>7.43</v>
      </c>
      <c r="DP263" s="28">
        <f t="shared" ca="1" si="302"/>
        <v>0.19878388771390157</v>
      </c>
      <c r="DQ263" s="15">
        <f t="shared" ca="1" si="283"/>
        <v>7.6594558823529413</v>
      </c>
      <c r="DR263" s="15">
        <f t="shared" ca="1" si="284"/>
        <v>7.8634166666666667</v>
      </c>
      <c r="DS263" s="9"/>
      <c r="DT263" s="9"/>
      <c r="DU263" s="9"/>
      <c r="DV263" s="89">
        <v>1.4973262032085564E-2</v>
      </c>
      <c r="DW263" s="89">
        <f t="shared" ca="1" si="303"/>
        <v>2.7450980392156869E-2</v>
      </c>
      <c r="DX263" s="72">
        <f t="shared" ca="1" si="304"/>
        <v>0.87517406048037671</v>
      </c>
      <c r="DY263" s="37"/>
      <c r="DZ263" s="35">
        <f t="shared" ref="DZ263:DZ271" si="314">_xlfn.STDEV.P(BK263:BO263)</f>
        <v>0.53132287735425054</v>
      </c>
      <c r="EA263" s="56"/>
      <c r="EB263" s="56"/>
      <c r="ED263" s="2" t="e" vm="265">
        <v>#VALUE!</v>
      </c>
      <c r="EF263" s="10" cm="1">
        <f t="array" aca="1" ref="EF263" ca="1">_FV(ED263,"Ações em circulação",TRUE)</f>
        <v>13321980</v>
      </c>
      <c r="EG263" s="18">
        <f>VLOOKUP(BQ263,Fundamentus!A:U,5,FALSE)</f>
        <v>0.41</v>
      </c>
      <c r="EH263" s="2">
        <f t="shared" ca="1" si="305"/>
        <v>250193282.92682928</v>
      </c>
      <c r="EI263" s="17">
        <v>-9199834.4616585374</v>
      </c>
      <c r="EJ263" s="17">
        <f t="shared" ca="1" si="306"/>
        <v>-11208659.075121952</v>
      </c>
      <c r="EL263" s="16">
        <f t="shared" ca="1" si="282"/>
        <v>0.21835443037974689</v>
      </c>
      <c r="EM263" s="32" t="str">
        <f>IF(VLOOKUP(BQ263,Fundamentus!A:U,3,FALSE)&lt;15,"Bom",IF(VLOOKUP(BQ263,Fundamentus!A:U,3,FALSE)&gt;15,"Ruim","n/a"))</f>
        <v>Bom</v>
      </c>
      <c r="EN263" s="28" t="str">
        <f>IF(VLOOKUP(BQ263,Fundamentus!A:U,4,FALSE)&lt;1,"Baixo",IF(VLOOKUP(BQ263,Fundamentus!A:U,4,FALSE)&lt;1.5,"Moderado",IF(VLOOKUP(BQ263,Fundamentus!A:U,4,FALSE)&gt;1.5,"Alto","n/a")))</f>
        <v>Baixo</v>
      </c>
      <c r="EO263" s="17" t="str">
        <f>IF(VLOOKUP(BQ263,Fundamentus!A:U,8,FALSE)&lt;0,"Risco elevado",IF(VLOOKUP(BQ263,Fundamentus!A:U,8,FALSE)&lt;1,"Saudável",IF(VLOOKUP(BQ263,Fundamentus!A:U,8,FALSE)&lt;3,"Estável",IF(VLOOKUP(BQ263,Fundamentus!A:U,8,FALSE)&gt;3,"Alerta","n/a"))))</f>
        <v>Risco elevado</v>
      </c>
      <c r="EP263" s="28" t="str">
        <f t="shared" si="307"/>
        <v>Ruim</v>
      </c>
      <c r="EQ263" s="17" t="str">
        <f>IF(VLOOKUP(BQ263,Fundamentus!A:U,12,FALSE)&lt;2,"Subvalorizada",IF(VLOOKUP(BQ263,Fundamentus!A:U,12,FALSE)&lt;6,"Muita barata",IF(VLOOKUP(BQ263,Fundamentus!A:U,12,FALSE)&lt;6,"Barata",IF(VLOOKUP(BQ263,Fundamentus!A:U,12,FALSE)&lt;8,"Atrativa",IF(VLOOKUP(BQ263,Fundamentus!A:U,12,FALSE)&gt;8,"Supervalorizada","n/a")))))</f>
        <v>Muita barata</v>
      </c>
      <c r="ES263" s="17" t="str">
        <f>IF(VLOOKUP(BQ263,Fundamentus!A:U,17,FALSE)&lt;0.1,"Fraco retorno",IF(VLOOKUP(BQ263,Fundamentus!A:U,17,FALSE)&gt;0.1,"Bom retorno","n/a"))</f>
        <v>Fraco retorno</v>
      </c>
      <c r="ET263" s="17" t="str">
        <f>IF(VLOOKUP(BQ263,Fundamentus!A:U,16,FALSE)&lt;0.1,"Ineficiente",IF(VLOOKUP(BQ263,Fundamentus!A:U,16,FALSE)&gt;0.1,"Eficiente","n/a"))</f>
        <v>Ineficiente</v>
      </c>
      <c r="EU263" s="33" t="str">
        <f>IF(VLOOKUP(BQ263,Fundamentus!A:U,16,FALSE)&lt;0.1,"Oper. Ineficiente",IF(VLOOKUP(BQ263,Fundamentus!A:U,16,FALSE)&gt;0.1,"Oper.Eficiente","n/a"))</f>
        <v>Oper. Ineficiente</v>
      </c>
      <c r="EV263" s="34">
        <f>VLOOKUP(BQ263,Fundamentus!A:U,14,FALSE)</f>
        <v>-4.48E-2</v>
      </c>
      <c r="EW263" s="17" t="str">
        <f>IF(VLOOKUP(BQ263,Fundamentus!A:U,21,FALSE)&lt;0,"Negativo",IF(VLOOKUP(BQ263,Fundamentus!A:U,21,FALSE)&lt;0.05,"Fraco",IF(VLOOKUP(BQ263,Fundamentus!A:U,21,FALSE)&lt;0.1,"Bom",IF(VLOOKUP(BQ263,Fundamentus!A:U,21,FALSE)&gt;0.1,"Muito bom","n/a"))))</f>
        <v>Bom</v>
      </c>
      <c r="EY263" s="29" t="str">
        <f>IF(VLOOKUP(BQ263,Fundamentus!A:U,15,FALSE)&gt;1,"Bom",IF(VLOOKUP(BQ263,Fundamentus!A:U,15,FALSE)&lt;1,"Ruim","n/a"))</f>
        <v>Ruim</v>
      </c>
      <c r="EZ263" s="17" t="str">
        <f>IF(VLOOKUP(BQ263,Fundamentus!A:U,20,FALSE)&lt;0.5,"Baixa",IF(VLOOKUP(BQ263,Fundamentus!A:U,20,FALSE)&lt;1,"Moderada",IF(VLOOKUP(BQ263,Fundamentus!A:U,20,FALSE)&lt;2,"Alerta",IF(VLOOKUP(BQ263,Fundamentus!A:U,20,FALSE)&gt;2,"Alta","n/a"))))</f>
        <v>Baixa</v>
      </c>
    </row>
    <row r="264" spans="1:156" s="2" customFormat="1" ht="11.25" hidden="1" x14ac:dyDescent="0.2">
      <c r="A264" s="4">
        <v>2.73</v>
      </c>
      <c r="B264" s="4">
        <v>2.7</v>
      </c>
      <c r="C264" s="4">
        <v>2.58</v>
      </c>
      <c r="D264" s="4">
        <v>2.6</v>
      </c>
      <c r="E264" s="4">
        <v>2.52</v>
      </c>
      <c r="F264" s="4">
        <v>2.5099999999999998</v>
      </c>
      <c r="G264" s="4">
        <v>2.46</v>
      </c>
      <c r="H264" s="4">
        <v>2.39</v>
      </c>
      <c r="I264" s="4">
        <v>2.38</v>
      </c>
      <c r="J264" s="4">
        <v>2.42</v>
      </c>
      <c r="K264" s="4">
        <v>2.41</v>
      </c>
      <c r="L264" s="4">
        <v>2.4300000000000002</v>
      </c>
      <c r="M264" s="4">
        <v>2.4</v>
      </c>
      <c r="N264" s="4">
        <v>2.3199999999999998</v>
      </c>
      <c r="O264" s="4">
        <v>2.2400000000000002</v>
      </c>
      <c r="P264" s="4">
        <v>2.06</v>
      </c>
      <c r="Q264" s="4">
        <v>1.95</v>
      </c>
      <c r="R264" s="4">
        <v>1.85</v>
      </c>
      <c r="S264" s="4">
        <v>1.76</v>
      </c>
      <c r="T264" s="4">
        <v>1.76</v>
      </c>
      <c r="U264" s="4">
        <v>1.82</v>
      </c>
      <c r="V264" s="4">
        <v>1.63</v>
      </c>
      <c r="W264" s="4">
        <v>1.38</v>
      </c>
      <c r="X264" s="4">
        <v>1.37</v>
      </c>
      <c r="Y264" s="4">
        <v>1.19</v>
      </c>
      <c r="Z264" s="4">
        <v>1.0900000000000001</v>
      </c>
      <c r="AA264" s="4">
        <v>1.0900000000000001</v>
      </c>
      <c r="AB264" s="4">
        <v>1.05</v>
      </c>
      <c r="AC264" s="4">
        <v>1.08</v>
      </c>
      <c r="AD264" s="4">
        <v>1.01</v>
      </c>
      <c r="AE264" s="4">
        <v>0.99</v>
      </c>
      <c r="AF264" s="4">
        <v>1</v>
      </c>
      <c r="AG264" s="4">
        <v>1</v>
      </c>
      <c r="AH264" s="4">
        <v>0.97</v>
      </c>
      <c r="AI264" s="4">
        <v>1.03</v>
      </c>
      <c r="AJ264" s="4">
        <v>1.1200000000000001</v>
      </c>
      <c r="AK264" s="4">
        <v>1.28</v>
      </c>
      <c r="AL264" s="4">
        <v>1.34</v>
      </c>
      <c r="AM264" s="4">
        <v>1.22</v>
      </c>
      <c r="AN264" s="4">
        <v>1.0900000000000001</v>
      </c>
      <c r="AO264" s="4">
        <v>1.1000000000000001</v>
      </c>
      <c r="AP264" s="4">
        <v>1.19</v>
      </c>
      <c r="AQ264" s="4">
        <v>1.1000000000000001</v>
      </c>
      <c r="AR264" s="4">
        <v>1.07</v>
      </c>
      <c r="AS264" s="4">
        <v>1.04</v>
      </c>
      <c r="AT264" s="4">
        <v>1.07</v>
      </c>
      <c r="AU264" s="4">
        <v>1.05</v>
      </c>
      <c r="AV264" s="4">
        <v>1.04</v>
      </c>
      <c r="AW264" s="4">
        <v>1.5</v>
      </c>
      <c r="AX264" s="4">
        <v>2.0299999999999998</v>
      </c>
      <c r="AY264" s="12">
        <v>2.2000000000000002</v>
      </c>
      <c r="AZ264" s="12">
        <v>2.2000000000000002</v>
      </c>
      <c r="BA264" s="12">
        <v>2.1800000000000002</v>
      </c>
      <c r="BB264" s="15">
        <v>2.12</v>
      </c>
      <c r="BC264" s="52">
        <v>2.16</v>
      </c>
      <c r="BD264" s="52">
        <v>2.11</v>
      </c>
      <c r="BE264" s="52">
        <v>2.2200000000000002</v>
      </c>
      <c r="BF264" s="52">
        <v>2.15</v>
      </c>
      <c r="BG264" s="67">
        <v>1.92</v>
      </c>
      <c r="BH264" s="52">
        <v>1.88</v>
      </c>
      <c r="BI264" s="52">
        <v>1.82</v>
      </c>
      <c r="BJ264" s="52">
        <v>1.7</v>
      </c>
      <c r="BK264" s="52">
        <v>1.67</v>
      </c>
      <c r="BL264" s="52">
        <v>1.64</v>
      </c>
      <c r="BM264" s="52">
        <v>1.71</v>
      </c>
      <c r="BN264" s="52">
        <v>1.63</v>
      </c>
      <c r="BO264" s="52">
        <v>1.57</v>
      </c>
      <c r="BP264" s="52" cm="1">
        <f t="array" aca="1" ref="BP264" ca="1">_FV(ED264,"Preço")</f>
        <v>1.43</v>
      </c>
      <c r="BQ264" s="69" t="s">
        <v>260</v>
      </c>
      <c r="BR264" s="36" cm="1">
        <f t="array" aca="1" ref="BR264" ca="1">_FV(ED264,"Média de volume",TRUE)</f>
        <v>186710</v>
      </c>
      <c r="BS264" s="36">
        <v>172700</v>
      </c>
      <c r="BT264" s="36" cm="1">
        <f t="array" aca="1" ref="BT264" ca="1">_FV(ED264,"Volume")</f>
        <v>150800</v>
      </c>
      <c r="BU264" s="24" cm="1">
        <f t="array" aca="1" ref="BU264" ca="1">_FV(ED264,"Beta")</f>
        <v>1.2846</v>
      </c>
      <c r="BV264" s="71" cm="1">
        <f t="array" aca="1" ref="BV264" ca="1">_FV(ED264,"Variação (%)",TRUE)</f>
        <v>-1.3793E-2</v>
      </c>
      <c r="BX264" s="17" cm="1">
        <f t="array" aca="1" ref="BX264" ca="1">_FV(ED264,"Baixo")</f>
        <v>1.43</v>
      </c>
      <c r="BY264" s="17" cm="1">
        <f t="array" aca="1" ref="BY264" ca="1">_FV(ED264,"Alto")</f>
        <v>1.48</v>
      </c>
      <c r="BZ264" s="24"/>
      <c r="CA264" s="63">
        <f ca="1">SQRT(22.5*(BP264/VLOOKUP(BQ264,Fundamentus!A:U,3,FALSE))*(BP264/VLOOKUP(BQ264,Fundamentus!A:U,4,FALSE)))</f>
        <v>181.28558763926679</v>
      </c>
      <c r="CC264" s="62">
        <f t="shared" ca="1" si="308"/>
        <v>-8.9171974522293071E-2</v>
      </c>
      <c r="CD264" s="8"/>
      <c r="CE264" s="61">
        <f t="shared" si="309"/>
        <v>0.97</v>
      </c>
      <c r="CF264" s="61">
        <f t="shared" si="310"/>
        <v>2.73</v>
      </c>
      <c r="CG264" s="61">
        <f t="shared" si="311"/>
        <v>1.7207462686567163</v>
      </c>
      <c r="CH264" s="14"/>
      <c r="CI264" s="35">
        <f t="shared" si="285"/>
        <v>1.472393304777676</v>
      </c>
      <c r="CJ264" s="15">
        <f t="shared" si="312"/>
        <v>1.5649999999999977</v>
      </c>
      <c r="CK264" s="35">
        <f t="shared" si="286"/>
        <v>1.6576066952223194</v>
      </c>
      <c r="CM264" s="14"/>
      <c r="CN264" s="17">
        <f t="shared" si="287"/>
        <v>-0.97666666666666635</v>
      </c>
      <c r="CO264" s="17">
        <f t="shared" si="288"/>
        <v>-3.3333333333331883E-3</v>
      </c>
      <c r="CP264" s="17">
        <f t="shared" si="289"/>
        <v>0.78333333333333366</v>
      </c>
      <c r="CQ264" s="38">
        <f t="shared" si="313"/>
        <v>1.7566666666666668</v>
      </c>
      <c r="CR264" s="17">
        <f t="shared" si="290"/>
        <v>2.5433333333333339</v>
      </c>
      <c r="CS264" s="17">
        <f t="shared" si="291"/>
        <v>3.5166666666666666</v>
      </c>
      <c r="CT264" s="17">
        <f t="shared" si="292"/>
        <v>4.3033333333333337</v>
      </c>
      <c r="CU264" s="2" cm="1">
        <f t="array" aca="1" ref="CU264" ca="1">MAX(_xlfn._xlws.FILTER(CN264:CT264,CN264:CT264&lt;BP264))</f>
        <v>0.78333333333333366</v>
      </c>
      <c r="CV264" s="2" cm="1">
        <f t="array" aca="1" ref="CV264" ca="1">MIN(_xlfn._xlws.FILTER($CN264:$CT264,$CN264:$CT264&gt;BP264))</f>
        <v>1.7566666666666668</v>
      </c>
      <c r="CW264" s="16">
        <f t="shared" ca="1" si="293"/>
        <v>1.2425531914893608</v>
      </c>
      <c r="CX264" s="20">
        <f t="shared" ca="1" si="294"/>
        <v>-0.62127659574468042</v>
      </c>
      <c r="CY264" s="20">
        <f t="shared" ca="1" si="295"/>
        <v>-0.41418439716312028</v>
      </c>
      <c r="CZ264" s="20">
        <f t="shared" ca="1" si="296"/>
        <v>-0.24851063829787218</v>
      </c>
      <c r="DA264" s="20">
        <f t="shared" ca="1" si="297"/>
        <v>-0.13806146572104008</v>
      </c>
      <c r="DB264" s="20">
        <f t="shared" ref="DB264:DB271" ca="1" si="315">-$CW264/17</f>
        <v>-7.3091364205256526E-2</v>
      </c>
      <c r="DC264" s="20">
        <f t="shared" ref="DC264:DC271" ca="1" si="316">-$CW264/33</f>
        <v>-3.7653127014829119E-2</v>
      </c>
      <c r="DD264" s="20">
        <f t="shared" ref="DD264:DD271" ca="1" si="317">-$CW264/65</f>
        <v>-1.9116202945990167E-2</v>
      </c>
      <c r="DE264" s="21">
        <f t="shared" ref="DE264:DE271" ca="1" si="318">-$CW264/65*-1</f>
        <v>1.9116202945990167E-2</v>
      </c>
      <c r="DF264" s="21">
        <f t="shared" ref="DF264:DF271" ca="1" si="319">-$CW264/33*-1</f>
        <v>3.7653127014829119E-2</v>
      </c>
      <c r="DG264" s="21">
        <f t="shared" ref="DG264:DG271" ca="1" si="320">-$CW264/17*-1</f>
        <v>7.3091364205256526E-2</v>
      </c>
      <c r="DH264" s="21">
        <f t="shared" ca="1" si="298"/>
        <v>0.13806146572104008</v>
      </c>
      <c r="DI264" s="21">
        <f t="shared" ca="1" si="299"/>
        <v>0.24851063829787218</v>
      </c>
      <c r="DJ264" s="21">
        <f t="shared" ca="1" si="300"/>
        <v>0.41418439716312028</v>
      </c>
      <c r="DK264" s="21">
        <f t="shared" ca="1" si="301"/>
        <v>0.62127659574468042</v>
      </c>
      <c r="DM264" s="16" cm="1">
        <f t="array" aca="1" ref="DM264" ca="1">MAX(_xlfn._xlws.FILTER(CX264:DK264,CX264:DK264&lt;BV264))</f>
        <v>-1.9116202945990167E-2</v>
      </c>
      <c r="DN264" s="16" cm="1">
        <f t="array" aca="1" ref="DN264" ca="1">MIN(_xlfn._xlws.FILTER(CX264:DK264,CX264:DK264&gt;BV264))</f>
        <v>1.9116202945990167E-2</v>
      </c>
      <c r="DO264" s="2" cm="1">
        <f t="array" aca="1" ref="DO264" ca="1">_FV(ED264,"Fechamento anterior",TRUE)</f>
        <v>1.45</v>
      </c>
      <c r="DP264" s="28">
        <f t="shared" ca="1" si="302"/>
        <v>0.13923004251298912</v>
      </c>
      <c r="DQ264" s="15">
        <f t="shared" ca="1" si="283"/>
        <v>1.4222815057283142</v>
      </c>
      <c r="DR264" s="15">
        <f t="shared" ca="1" si="284"/>
        <v>1.4777184942716857</v>
      </c>
      <c r="DS264" s="9"/>
      <c r="DT264" s="9"/>
      <c r="DU264" s="9"/>
      <c r="DV264" s="89">
        <v>3.8232405891980334E-2</v>
      </c>
      <c r="DW264" s="89">
        <f t="shared" ca="1" si="303"/>
        <v>3.8232405891980334E-2</v>
      </c>
      <c r="DX264" s="72">
        <f t="shared" ca="1" si="304"/>
        <v>-1.4577779681685232</v>
      </c>
      <c r="DY264" s="37"/>
      <c r="DZ264" s="35">
        <f t="shared" si="314"/>
        <v>4.6303347611160874E-2</v>
      </c>
      <c r="EA264" s="56"/>
      <c r="EB264" s="56"/>
      <c r="ED264" s="2" t="e" vm="266">
        <v>#VALUE!</v>
      </c>
      <c r="EF264" s="10" cm="1">
        <f t="array" aca="1" ref="EF264" ca="1">_FV(ED264,"Ações em circulação",TRUE)</f>
        <v>511363900</v>
      </c>
      <c r="EG264" s="18">
        <f>VLOOKUP(BQ264,Fundamentus!A:U,5,FALSE)</f>
        <v>0.25600000000000001</v>
      </c>
      <c r="EH264" s="2">
        <f t="shared" ca="1" si="305"/>
        <v>2856446785.15625</v>
      </c>
      <c r="EI264" s="17">
        <v>-11811175744.853907</v>
      </c>
      <c r="EJ264" s="17">
        <f t="shared" ca="1" si="306"/>
        <v>-10757949882.255468</v>
      </c>
      <c r="EL264" s="16">
        <f t="shared" ca="1" si="282"/>
        <v>-8.9171974522293085E-2</v>
      </c>
      <c r="EM264" s="32" t="str">
        <f>IF(VLOOKUP(BQ264,Fundamentus!A:U,3,FALSE)&lt;15,"Bom",IF(VLOOKUP(BQ264,Fundamentus!A:U,3,FALSE)&gt;15,"Ruim","n/a"))</f>
        <v>Bom</v>
      </c>
      <c r="EN264" s="28" t="str">
        <f>IF(VLOOKUP(BQ264,Fundamentus!A:U,4,FALSE)&lt;1,"Baixo",IF(VLOOKUP(BQ264,Fundamentus!A:U,4,FALSE)&lt;1.5,"Moderado",IF(VLOOKUP(BQ264,Fundamentus!A:U,4,FALSE)&gt;1.5,"Alto","n/a")))</f>
        <v>Baixo</v>
      </c>
      <c r="EO264" s="17" t="str">
        <f>IF(VLOOKUP(BQ264,Fundamentus!A:U,8,FALSE)&lt;0,"Risco elevado",IF(VLOOKUP(BQ264,Fundamentus!A:U,8,FALSE)&lt;1,"Saudável",IF(VLOOKUP(BQ264,Fundamentus!A:U,8,FALSE)&lt;3,"Estável",IF(VLOOKUP(BQ264,Fundamentus!A:U,8,FALSE)&gt;3,"Alerta","n/a"))))</f>
        <v>Risco elevado</v>
      </c>
      <c r="EP264" s="28" t="str">
        <f t="shared" si="307"/>
        <v>Ruim</v>
      </c>
      <c r="EQ264" s="17" t="str">
        <f>IF(VLOOKUP(BQ264,Fundamentus!A:U,12,FALSE)&lt;2,"Subvalorizada",IF(VLOOKUP(BQ264,Fundamentus!A:U,12,FALSE)&lt;6,"Muita barata",IF(VLOOKUP(BQ264,Fundamentus!A:U,12,FALSE)&lt;6,"Barata",IF(VLOOKUP(BQ264,Fundamentus!A:U,12,FALSE)&lt;8,"Atrativa",IF(VLOOKUP(BQ264,Fundamentus!A:U,12,FALSE)&gt;8,"Supervalorizada","n/a")))))</f>
        <v>Subvalorizada</v>
      </c>
      <c r="ES264" s="17" t="str">
        <f>IF(VLOOKUP(BQ264,Fundamentus!A:U,17,FALSE)&lt;0.1,"Fraco retorno",IF(VLOOKUP(BQ264,Fundamentus!A:U,17,FALSE)&gt;0.1,"Bom retorno","n/a"))</f>
        <v>Bom retorno</v>
      </c>
      <c r="ET264" s="17" t="str">
        <f>IF(VLOOKUP(BQ264,Fundamentus!A:U,16,FALSE)&lt;0.1,"Ineficiente",IF(VLOOKUP(BQ264,Fundamentus!A:U,16,FALSE)&gt;0.1,"Eficiente","n/a"))</f>
        <v>Ineficiente</v>
      </c>
      <c r="EU264" s="33" t="str">
        <f>IF(VLOOKUP(BQ264,Fundamentus!A:U,16,FALSE)&lt;0.1,"Oper. Ineficiente",IF(VLOOKUP(BQ264,Fundamentus!A:U,16,FALSE)&gt;0.1,"Oper.Eficiente","n/a"))</f>
        <v>Oper. Ineficiente</v>
      </c>
      <c r="EV264" s="34">
        <f>VLOOKUP(BQ264,Fundamentus!A:U,14,FALSE)</f>
        <v>-3.7662</v>
      </c>
      <c r="EW264" s="17" t="str">
        <f>IF(VLOOKUP(BQ264,Fundamentus!A:U,21,FALSE)&lt;0,"Negativo",IF(VLOOKUP(BQ264,Fundamentus!A:U,21,FALSE)&lt;0.05,"Fraco",IF(VLOOKUP(BQ264,Fundamentus!A:U,21,FALSE)&lt;0.1,"Bom",IF(VLOOKUP(BQ264,Fundamentus!A:U,21,FALSE)&gt;0.1,"Muito bom","n/a"))))</f>
        <v>Negativo</v>
      </c>
      <c r="EY264" s="29" t="str">
        <f>IF(VLOOKUP(BQ264,Fundamentus!A:U,15,FALSE)&gt;1,"Bom",IF(VLOOKUP(BQ264,Fundamentus!A:U,15,FALSE)&lt;1,"Ruim","n/a"))</f>
        <v>Ruim</v>
      </c>
      <c r="EZ264" s="17" t="str">
        <f>IF(VLOOKUP(BQ264,Fundamentus!A:U,20,FALSE)&lt;0.5,"Baixa",IF(VLOOKUP(BQ264,Fundamentus!A:U,20,FALSE)&lt;1,"Moderada",IF(VLOOKUP(BQ264,Fundamentus!A:U,20,FALSE)&lt;2,"Alerta",IF(VLOOKUP(BQ264,Fundamentus!A:U,20,FALSE)&gt;2,"Alta","n/a"))))</f>
        <v>Baixa</v>
      </c>
    </row>
    <row r="265" spans="1:156" s="2" customFormat="1" ht="11.25" hidden="1" x14ac:dyDescent="0.2">
      <c r="A265" s="4">
        <v>13.95</v>
      </c>
      <c r="B265" s="4">
        <v>13.34</v>
      </c>
      <c r="C265" s="4">
        <v>13.08</v>
      </c>
      <c r="D265" s="4">
        <v>12.55</v>
      </c>
      <c r="E265" s="4">
        <v>16</v>
      </c>
      <c r="F265" s="4">
        <v>16.45</v>
      </c>
      <c r="G265" s="4">
        <v>17.3</v>
      </c>
      <c r="H265" s="4">
        <v>17.05</v>
      </c>
      <c r="I265" s="4">
        <v>17.100000000000001</v>
      </c>
      <c r="J265" s="4">
        <v>14.6</v>
      </c>
      <c r="K265" s="4">
        <v>14.17</v>
      </c>
      <c r="L265" s="4">
        <v>13.8</v>
      </c>
      <c r="M265" s="4">
        <v>13.77</v>
      </c>
      <c r="N265" s="4">
        <v>13.76</v>
      </c>
      <c r="O265" s="4">
        <v>13.82</v>
      </c>
      <c r="P265" s="4">
        <v>13.25</v>
      </c>
      <c r="Q265" s="4">
        <v>13.26</v>
      </c>
      <c r="R265" s="4">
        <v>13</v>
      </c>
      <c r="S265" s="4">
        <v>13</v>
      </c>
      <c r="T265" s="4">
        <v>13.22</v>
      </c>
      <c r="U265" s="4">
        <v>13.38</v>
      </c>
      <c r="V265" s="4">
        <v>12.41</v>
      </c>
      <c r="W265" s="4">
        <v>11.32</v>
      </c>
      <c r="X265" s="4">
        <v>10.1</v>
      </c>
      <c r="Y265" s="4">
        <v>9.8000000000000007</v>
      </c>
      <c r="Z265" s="4">
        <v>9.6999999999999993</v>
      </c>
      <c r="AA265" s="4">
        <v>10.08</v>
      </c>
      <c r="AB265" s="4">
        <v>10.01</v>
      </c>
      <c r="AC265" s="4">
        <v>9.5</v>
      </c>
      <c r="AD265" s="4">
        <v>8.42</v>
      </c>
      <c r="AE265" s="4">
        <v>7.82</v>
      </c>
      <c r="AF265" s="4">
        <v>7.61</v>
      </c>
      <c r="AG265" s="4">
        <v>6.7</v>
      </c>
      <c r="AH265" s="4">
        <v>8.1</v>
      </c>
      <c r="AI265" s="4">
        <v>8.4</v>
      </c>
      <c r="AJ265" s="4">
        <v>6.21</v>
      </c>
      <c r="AK265" s="4">
        <v>6.86</v>
      </c>
      <c r="AL265" s="4">
        <v>6.8</v>
      </c>
      <c r="AM265" s="4">
        <v>6.53</v>
      </c>
      <c r="AN265" s="4">
        <v>6.35</v>
      </c>
      <c r="AO265" s="4">
        <v>6.35</v>
      </c>
      <c r="AP265" s="4">
        <v>5.82</v>
      </c>
      <c r="AQ265" s="4">
        <v>5.53</v>
      </c>
      <c r="AR265" s="4">
        <v>6.9</v>
      </c>
      <c r="AS265" s="4">
        <v>6.75</v>
      </c>
      <c r="AT265" s="4">
        <v>6.79</v>
      </c>
      <c r="AU265" s="4">
        <v>7.0449999999999999</v>
      </c>
      <c r="AV265" s="4">
        <v>6.92</v>
      </c>
      <c r="AW265" s="4">
        <v>6.92</v>
      </c>
      <c r="AX265" s="4">
        <v>6.8</v>
      </c>
      <c r="AY265" s="12">
        <v>6.61</v>
      </c>
      <c r="AZ265" s="12">
        <v>6.72</v>
      </c>
      <c r="BA265" s="12">
        <v>6.57</v>
      </c>
      <c r="BB265" s="15">
        <v>6.37</v>
      </c>
      <c r="BC265" s="52">
        <v>6.19</v>
      </c>
      <c r="BD265" s="52">
        <v>6.04</v>
      </c>
      <c r="BE265" s="52">
        <v>6.01</v>
      </c>
      <c r="BF265" s="52">
        <v>5.99</v>
      </c>
      <c r="BG265" s="67">
        <v>6.01</v>
      </c>
      <c r="BH265" s="52">
        <v>5.91</v>
      </c>
      <c r="BI265" s="52">
        <v>6.07</v>
      </c>
      <c r="BJ265" s="52">
        <v>6.07</v>
      </c>
      <c r="BK265" s="52">
        <v>6.07</v>
      </c>
      <c r="BL265" s="52">
        <v>6.03</v>
      </c>
      <c r="BM265" s="52">
        <v>5.98</v>
      </c>
      <c r="BN265" s="52">
        <v>5.7</v>
      </c>
      <c r="BO265" s="52">
        <v>5.91</v>
      </c>
      <c r="BP265" s="52" cm="1">
        <f t="array" aca="1" ref="BP265" ca="1">_FV(ED265,"Preço")</f>
        <v>5.94</v>
      </c>
      <c r="BQ265" s="69" t="s">
        <v>261</v>
      </c>
      <c r="BR265" s="36" cm="1">
        <f t="array" aca="1" ref="BR265" ca="1">_FV(ED265,"Média de volume",TRUE)</f>
        <v>10990</v>
      </c>
      <c r="BS265" s="36">
        <v>8500</v>
      </c>
      <c r="BT265" s="36" cm="1">
        <f t="array" aca="1" ref="BT265" ca="1">_FV(ED265,"Volume")</f>
        <v>7000</v>
      </c>
      <c r="BU265" s="24" cm="1">
        <f t="array" aca="1" ref="BU265" ca="1">_FV(ED265,"Beta")</f>
        <v>1.4754</v>
      </c>
      <c r="BV265" s="71" cm="1">
        <f t="array" aca="1" ref="BV265" ca="1">_FV(ED265,"Variação (%)",TRUE)</f>
        <v>3.3779999999999999E-3</v>
      </c>
      <c r="BX265" s="17" cm="1">
        <f t="array" aca="1" ref="BX265" ca="1">_FV(ED265,"Baixo")</f>
        <v>5.94</v>
      </c>
      <c r="BY265" s="17" cm="1">
        <f t="array" aca="1" ref="BY265" ca="1">_FV(ED265,"Alto")</f>
        <v>5.94</v>
      </c>
      <c r="BZ265" s="24"/>
      <c r="CA265" s="63" t="e">
        <f ca="1">SQRT(22.5*(BP265/VLOOKUP(BQ265,Fundamentus!A:U,3,FALSE))*(BP265/VLOOKUP(BQ265,Fundamentus!A:U,4,FALSE)))</f>
        <v>#NUM!</v>
      </c>
      <c r="CC265" s="62">
        <f t="shared" ca="1" si="308"/>
        <v>5.0761421319797375E-3</v>
      </c>
      <c r="CD265" s="8"/>
      <c r="CE265" s="61">
        <f t="shared" si="309"/>
        <v>5.53</v>
      </c>
      <c r="CF265" s="61">
        <f t="shared" si="310"/>
        <v>17.3</v>
      </c>
      <c r="CG265" s="61">
        <f t="shared" si="311"/>
        <v>9.4424626865671666</v>
      </c>
      <c r="CH265" s="14"/>
      <c r="CI265" s="35">
        <f t="shared" si="285"/>
        <v>5.4841092182540221</v>
      </c>
      <c r="CJ265" s="15">
        <f t="shared" si="312"/>
        <v>5.7449999999999477</v>
      </c>
      <c r="CK265" s="35">
        <f t="shared" si="286"/>
        <v>6.0058907817458733</v>
      </c>
      <c r="CM265" s="14"/>
      <c r="CN265" s="17">
        <f t="shared" si="287"/>
        <v>-9.91</v>
      </c>
      <c r="CO265" s="17">
        <f t="shared" si="288"/>
        <v>-2.1899999999999995</v>
      </c>
      <c r="CP265" s="17">
        <f t="shared" si="289"/>
        <v>1.8599999999999994</v>
      </c>
      <c r="CQ265" s="38">
        <f t="shared" si="313"/>
        <v>9.58</v>
      </c>
      <c r="CR265" s="17">
        <f t="shared" si="290"/>
        <v>13.629999999999999</v>
      </c>
      <c r="CS265" s="17">
        <f t="shared" si="291"/>
        <v>21.35</v>
      </c>
      <c r="CT265" s="17">
        <f t="shared" si="292"/>
        <v>25.4</v>
      </c>
      <c r="CU265" s="2" cm="1">
        <f t="array" aca="1" ref="CU265" ca="1">MAX(_xlfn._xlws.FILTER(CN265:CT265,CN265:CT265&lt;BP265))</f>
        <v>1.8599999999999994</v>
      </c>
      <c r="CV265" s="2" cm="1">
        <f t="array" aca="1" ref="CV265" ca="1">MIN(_xlfn._xlws.FILTER($CN265:$CT265,$CN265:$CT265&gt;BP265))</f>
        <v>9.58</v>
      </c>
      <c r="CW265" s="16">
        <f t="shared" ca="1" si="293"/>
        <v>4.1505376344086038</v>
      </c>
      <c r="CX265" s="20">
        <f t="shared" ca="1" si="294"/>
        <v>-2.0752688172043019</v>
      </c>
      <c r="CY265" s="20">
        <f t="shared" ca="1" si="295"/>
        <v>-1.383512544802868</v>
      </c>
      <c r="CZ265" s="20">
        <f t="shared" ca="1" si="296"/>
        <v>-0.83010752688172074</v>
      </c>
      <c r="DA265" s="20">
        <f t="shared" ca="1" si="297"/>
        <v>-0.46117084826762267</v>
      </c>
      <c r="DB265" s="20">
        <f t="shared" ca="1" si="315"/>
        <v>-0.24414927261227082</v>
      </c>
      <c r="DC265" s="20">
        <f t="shared" ca="1" si="316"/>
        <v>-0.12577386770935162</v>
      </c>
      <c r="DD265" s="20">
        <f t="shared" ca="1" si="317"/>
        <v>-6.3854425144747748E-2</v>
      </c>
      <c r="DE265" s="21">
        <f t="shared" ca="1" si="318"/>
        <v>6.3854425144747748E-2</v>
      </c>
      <c r="DF265" s="21">
        <f t="shared" ca="1" si="319"/>
        <v>0.12577386770935162</v>
      </c>
      <c r="DG265" s="21">
        <f t="shared" ca="1" si="320"/>
        <v>0.24414927261227082</v>
      </c>
      <c r="DH265" s="21">
        <f t="shared" ca="1" si="298"/>
        <v>0.46117084826762267</v>
      </c>
      <c r="DI265" s="21">
        <f t="shared" ca="1" si="299"/>
        <v>0.83010752688172074</v>
      </c>
      <c r="DJ265" s="21">
        <f t="shared" ca="1" si="300"/>
        <v>1.383512544802868</v>
      </c>
      <c r="DK265" s="21">
        <f t="shared" ca="1" si="301"/>
        <v>2.0752688172043019</v>
      </c>
      <c r="DM265" s="16" cm="1">
        <f t="array" aca="1" ref="DM265" ca="1">MAX(_xlfn._xlws.FILTER(CX265:DK265,CX265:DK265&lt;BV265))</f>
        <v>-6.3854425144747748E-2</v>
      </c>
      <c r="DN265" s="16" cm="1">
        <f t="array" aca="1" ref="DN265" ca="1">MIN(_xlfn._xlws.FILTER(CX265:DK265,CX265:DK265&gt;BV265))</f>
        <v>6.3854425144747748E-2</v>
      </c>
      <c r="DO265" s="2" cm="1">
        <f t="array" aca="1" ref="DO265" ca="1">_FV(ED265,"Fechamento anterior",TRUE)</f>
        <v>5.92</v>
      </c>
      <c r="DP265" s="28">
        <f t="shared" ca="1" si="302"/>
        <v>0.52645375297577435</v>
      </c>
      <c r="DQ265" s="15">
        <f t="shared" ca="1" si="283"/>
        <v>5.5419818031430932</v>
      </c>
      <c r="DR265" s="15">
        <f t="shared" ca="1" si="284"/>
        <v>6.2980181968569067</v>
      </c>
      <c r="DS265" s="9"/>
      <c r="DT265" s="9"/>
      <c r="DU265" s="9"/>
      <c r="DV265" s="89">
        <v>0.1277088502894955</v>
      </c>
      <c r="DW265" s="89">
        <f t="shared" ca="1" si="303"/>
        <v>0.1277088502894955</v>
      </c>
      <c r="DX265" s="72">
        <f t="shared" ca="1" si="304"/>
        <v>0.7474392107497223</v>
      </c>
      <c r="DY265" s="37"/>
      <c r="DZ265" s="35">
        <f t="shared" si="314"/>
        <v>0.13044539087296267</v>
      </c>
      <c r="EA265" s="56"/>
      <c r="EB265" s="56"/>
      <c r="ED265" s="2" t="e" vm="267">
        <v>#VALUE!</v>
      </c>
      <c r="EF265" s="10" cm="1">
        <f t="array" aca="1" ref="EF265" ca="1">_FV(ED265,"Ações em circulação",TRUE)</f>
        <v>114333800</v>
      </c>
      <c r="EG265" s="18">
        <f>VLOOKUP(BQ265,Fundamentus!A:U,5,FALSE)</f>
        <v>0.60599999999999998</v>
      </c>
      <c r="EH265" s="2">
        <f t="shared" ca="1" si="305"/>
        <v>1120697643.5643566</v>
      </c>
      <c r="EI265" s="17">
        <v>-9254811.7019801978</v>
      </c>
      <c r="EJ265" s="17">
        <f t="shared" ca="1" si="306"/>
        <v>-9301790.4415841587</v>
      </c>
      <c r="EL265" s="16">
        <f t="shared" ca="1" si="282"/>
        <v>5.0761421319798217E-3</v>
      </c>
      <c r="EM265" s="32" t="str">
        <f>IF(VLOOKUP(BQ265,Fundamentus!A:U,3,FALSE)&lt;15,"Bom",IF(VLOOKUP(BQ265,Fundamentus!A:U,3,FALSE)&gt;15,"Ruim","n/a"))</f>
        <v>Bom</v>
      </c>
      <c r="EN265" s="28" t="str">
        <f>IF(VLOOKUP(BQ265,Fundamentus!A:U,4,FALSE)&lt;1,"Baixo",IF(VLOOKUP(BQ265,Fundamentus!A:U,4,FALSE)&lt;1.5,"Moderado",IF(VLOOKUP(BQ265,Fundamentus!A:U,4,FALSE)&gt;1.5,"Alto","n/a")))</f>
        <v>Baixo</v>
      </c>
      <c r="EO265" s="17" t="str">
        <f>IF(VLOOKUP(BQ265,Fundamentus!A:U,8,FALSE)&lt;0,"Risco elevado",IF(VLOOKUP(BQ265,Fundamentus!A:U,8,FALSE)&lt;1,"Saudável",IF(VLOOKUP(BQ265,Fundamentus!A:U,8,FALSE)&lt;3,"Estável",IF(VLOOKUP(BQ265,Fundamentus!A:U,8,FALSE)&gt;3,"Alerta","n/a"))))</f>
        <v>Alerta</v>
      </c>
      <c r="EP265" s="28" t="str">
        <f t="shared" si="307"/>
        <v>Ruim</v>
      </c>
      <c r="EQ265" s="17" t="str">
        <f>IF(VLOOKUP(BQ265,Fundamentus!A:U,12,FALSE)&lt;2,"Subvalorizada",IF(VLOOKUP(BQ265,Fundamentus!A:U,12,FALSE)&lt;6,"Muita barata",IF(VLOOKUP(BQ265,Fundamentus!A:U,12,FALSE)&lt;6,"Barata",IF(VLOOKUP(BQ265,Fundamentus!A:U,12,FALSE)&lt;8,"Atrativa",IF(VLOOKUP(BQ265,Fundamentus!A:U,12,FALSE)&gt;8,"Supervalorizada","n/a")))))</f>
        <v>Muita barata</v>
      </c>
      <c r="ES265" s="17" t="str">
        <f>IF(VLOOKUP(BQ265,Fundamentus!A:U,17,FALSE)&lt;0.1,"Fraco retorno",IF(VLOOKUP(BQ265,Fundamentus!A:U,17,FALSE)&gt;0.1,"Bom retorno","n/a"))</f>
        <v>Fraco retorno</v>
      </c>
      <c r="ET265" s="17" t="str">
        <f>IF(VLOOKUP(BQ265,Fundamentus!A:U,16,FALSE)&lt;0.1,"Ineficiente",IF(VLOOKUP(BQ265,Fundamentus!A:U,16,FALSE)&gt;0.1,"Eficiente","n/a"))</f>
        <v>Ineficiente</v>
      </c>
      <c r="EU265" s="33" t="str">
        <f>IF(VLOOKUP(BQ265,Fundamentus!A:U,16,FALSE)&lt;0.1,"Oper. Ineficiente",IF(VLOOKUP(BQ265,Fundamentus!A:U,16,FALSE)&gt;0.1,"Oper.Eficiente","n/a"))</f>
        <v>Oper. Ineficiente</v>
      </c>
      <c r="EV265" s="34">
        <f>VLOOKUP(BQ265,Fundamentus!A:U,14,FALSE)</f>
        <v>-8.3000000000000001E-3</v>
      </c>
      <c r="EW265" s="17" t="str">
        <f>IF(VLOOKUP(BQ265,Fundamentus!A:U,21,FALSE)&lt;0,"Negativo",IF(VLOOKUP(BQ265,Fundamentus!A:U,21,FALSE)&lt;0.05,"Fraco",IF(VLOOKUP(BQ265,Fundamentus!A:U,21,FALSE)&lt;0.1,"Bom",IF(VLOOKUP(BQ265,Fundamentus!A:U,21,FALSE)&gt;0.1,"Muito bom","n/a"))))</f>
        <v>Muito bom</v>
      </c>
      <c r="EY265" s="29" t="str">
        <f>IF(VLOOKUP(BQ265,Fundamentus!A:U,15,FALSE)&gt;1,"Bom",IF(VLOOKUP(BQ265,Fundamentus!A:U,15,FALSE)&lt;1,"Ruim","n/a"))</f>
        <v>Bom</v>
      </c>
      <c r="EZ265" s="17" t="str">
        <f>IF(VLOOKUP(BQ265,Fundamentus!A:U,20,FALSE)&lt;0.5,"Baixa",IF(VLOOKUP(BQ265,Fundamentus!A:U,20,FALSE)&lt;1,"Moderada",IF(VLOOKUP(BQ265,Fundamentus!A:U,20,FALSE)&lt;2,"Alerta",IF(VLOOKUP(BQ265,Fundamentus!A:U,20,FALSE)&gt;2,"Alta","n/a"))))</f>
        <v>Baixa</v>
      </c>
    </row>
    <row r="266" spans="1:156" s="2" customFormat="1" ht="11.25" hidden="1" x14ac:dyDescent="0.2">
      <c r="A266" s="4">
        <v>17.399999999999999</v>
      </c>
      <c r="B266" s="4">
        <v>16.7</v>
      </c>
      <c r="C266" s="4">
        <v>14.03</v>
      </c>
      <c r="D266" s="4">
        <v>13.93</v>
      </c>
      <c r="E266" s="4">
        <v>13.25</v>
      </c>
      <c r="F266" s="4">
        <v>13.49</v>
      </c>
      <c r="G266" s="4">
        <v>13.97</v>
      </c>
      <c r="H266" s="4">
        <v>13.97</v>
      </c>
      <c r="I266" s="4">
        <v>12.84</v>
      </c>
      <c r="J266" s="4">
        <v>13.13</v>
      </c>
      <c r="K266" s="4">
        <v>13.25</v>
      </c>
      <c r="L266" s="4">
        <v>13.5</v>
      </c>
      <c r="M266" s="4">
        <v>13.5</v>
      </c>
      <c r="N266" s="4">
        <v>13</v>
      </c>
      <c r="O266" s="4">
        <v>12.6</v>
      </c>
      <c r="P266" s="4">
        <v>11.65</v>
      </c>
      <c r="Q266" s="4">
        <v>11.51</v>
      </c>
      <c r="R266" s="4">
        <v>11</v>
      </c>
      <c r="S266" s="4">
        <v>11.6</v>
      </c>
      <c r="T266" s="4">
        <v>11</v>
      </c>
      <c r="U266" s="4">
        <v>11.61</v>
      </c>
      <c r="V266" s="4">
        <v>11.13</v>
      </c>
      <c r="W266" s="4">
        <v>11.05</v>
      </c>
      <c r="X266" s="4">
        <v>11</v>
      </c>
      <c r="Y266" s="4">
        <v>8.6999999999999993</v>
      </c>
      <c r="Z266" s="4">
        <v>7.98</v>
      </c>
      <c r="AA266" s="4">
        <v>7.99</v>
      </c>
      <c r="AB266" s="4">
        <v>8</v>
      </c>
      <c r="AC266" s="4">
        <v>7.5</v>
      </c>
      <c r="AD266" s="4">
        <v>7.1</v>
      </c>
      <c r="AE266" s="4">
        <v>6.55</v>
      </c>
      <c r="AF266" s="4">
        <v>6.41</v>
      </c>
      <c r="AG266" s="4">
        <v>6.99</v>
      </c>
      <c r="AH266" s="4">
        <v>6.97</v>
      </c>
      <c r="AI266" s="4">
        <v>6.96</v>
      </c>
      <c r="AJ266" s="4">
        <v>7.01</v>
      </c>
      <c r="AK266" s="4">
        <v>6.9</v>
      </c>
      <c r="AL266" s="4">
        <v>7.3</v>
      </c>
      <c r="AM266" s="4">
        <v>7.25</v>
      </c>
      <c r="AN266" s="4">
        <v>8.5500000000000007</v>
      </c>
      <c r="AO266" s="4">
        <v>7.25</v>
      </c>
      <c r="AP266" s="4">
        <v>7.12</v>
      </c>
      <c r="AQ266" s="4">
        <v>6.84</v>
      </c>
      <c r="AR266" s="4">
        <v>6.6</v>
      </c>
      <c r="AS266" s="4">
        <v>6.6</v>
      </c>
      <c r="AT266" s="4">
        <v>6.5</v>
      </c>
      <c r="AU266" s="4">
        <v>6.2949999999999999</v>
      </c>
      <c r="AV266" s="4">
        <v>6.35</v>
      </c>
      <c r="AW266" s="4">
        <v>6.09</v>
      </c>
      <c r="AX266" s="4">
        <v>6.05</v>
      </c>
      <c r="AY266" s="12">
        <v>6.09</v>
      </c>
      <c r="AZ266" s="12">
        <v>6.2</v>
      </c>
      <c r="BA266" s="12">
        <v>5.93</v>
      </c>
      <c r="BB266" s="15">
        <v>5.97</v>
      </c>
      <c r="BC266" s="52">
        <v>5.95</v>
      </c>
      <c r="BD266" s="52">
        <v>5.13</v>
      </c>
      <c r="BE266" s="52">
        <v>5.21</v>
      </c>
      <c r="BF266" s="52">
        <v>5.0999999999999996</v>
      </c>
      <c r="BG266" s="67">
        <v>5.08</v>
      </c>
      <c r="BH266" s="52">
        <v>4.53</v>
      </c>
      <c r="BI266" s="52">
        <v>4.03</v>
      </c>
      <c r="BJ266" s="52">
        <v>3.99</v>
      </c>
      <c r="BK266" s="52">
        <v>4.05</v>
      </c>
      <c r="BL266" s="52">
        <v>4.0199999999999996</v>
      </c>
      <c r="BM266" s="52">
        <v>4.05</v>
      </c>
      <c r="BN266" s="52">
        <v>4.1100000000000003</v>
      </c>
      <c r="BO266" s="52">
        <v>4.26</v>
      </c>
      <c r="BP266" s="52" cm="1">
        <f t="array" aca="1" ref="BP266" ca="1">_FV(ED266,"Preço")</f>
        <v>4.5</v>
      </c>
      <c r="BQ266" s="69" t="s">
        <v>262</v>
      </c>
      <c r="BR266" s="36" cm="1">
        <f t="array" aca="1" ref="BR266" ca="1">_FV(ED266,"Média de volume",TRUE)</f>
        <v>5530</v>
      </c>
      <c r="BS266" s="36">
        <v>20500</v>
      </c>
      <c r="BT266" s="36" cm="1">
        <f t="array" aca="1" ref="BT266" ca="1">_FV(ED266,"Volume")</f>
        <v>8100</v>
      </c>
      <c r="BU266" s="24" cm="1">
        <f t="array" aca="1" ref="BU266" ca="1">_FV(ED266,"Beta")</f>
        <v>1.2025999999999999</v>
      </c>
      <c r="BV266" s="71" cm="1">
        <f t="array" aca="1" ref="BV266" ca="1">_FV(ED266,"Variação (%)",TRUE)</f>
        <v>0</v>
      </c>
      <c r="BX266" s="17" cm="1">
        <f t="array" aca="1" ref="BX266" ca="1">_FV(ED266,"Baixo")</f>
        <v>4.42</v>
      </c>
      <c r="BY266" s="17" cm="1">
        <f t="array" aca="1" ref="BY266" ca="1">_FV(ED266,"Alto")</f>
        <v>4.9000000000000004</v>
      </c>
      <c r="BZ266" s="24"/>
      <c r="CA266" s="63" t="e">
        <f ca="1">SQRT(22.5*(BP266/VLOOKUP(BQ266,Fundamentus!A:U,3,FALSE))*(BP266/VLOOKUP(BQ266,Fundamentus!A:U,4,FALSE)))</f>
        <v>#NUM!</v>
      </c>
      <c r="CC266" s="62">
        <f t="shared" ca="1" si="308"/>
        <v>5.6338028169014134E-2</v>
      </c>
      <c r="CD266" s="8"/>
      <c r="CE266" s="61">
        <f t="shared" si="309"/>
        <v>3.99</v>
      </c>
      <c r="CF266" s="61">
        <f t="shared" si="310"/>
        <v>17.399999999999999</v>
      </c>
      <c r="CG266" s="61">
        <f t="shared" si="311"/>
        <v>8.6218656716417925</v>
      </c>
      <c r="CH266" s="14"/>
      <c r="CI266" s="35">
        <f t="shared" si="285"/>
        <v>4.1327675988671189</v>
      </c>
      <c r="CJ266" s="15">
        <f t="shared" si="312"/>
        <v>4.3050000000000068</v>
      </c>
      <c r="CK266" s="35">
        <f t="shared" si="286"/>
        <v>4.4772324011328948</v>
      </c>
      <c r="CM266" s="14"/>
      <c r="CN266" s="17">
        <f t="shared" si="287"/>
        <v>-13.709999999999999</v>
      </c>
      <c r="CO266" s="17">
        <f t="shared" si="288"/>
        <v>-4.8599999999999994</v>
      </c>
      <c r="CP266" s="17">
        <f t="shared" si="289"/>
        <v>-0.30000000000000071</v>
      </c>
      <c r="CQ266" s="38">
        <f t="shared" si="313"/>
        <v>8.5499999999999989</v>
      </c>
      <c r="CR266" s="17">
        <f t="shared" si="290"/>
        <v>13.109999999999998</v>
      </c>
      <c r="CS266" s="17">
        <f t="shared" si="291"/>
        <v>21.959999999999997</v>
      </c>
      <c r="CT266" s="17">
        <f t="shared" si="292"/>
        <v>26.519999999999996</v>
      </c>
      <c r="CU266" s="2" cm="1">
        <f t="array" aca="1" ref="CU266" ca="1">MAX(_xlfn._xlws.FILTER(CN266:CT266,CN266:CT266&lt;BP266))</f>
        <v>-0.30000000000000071</v>
      </c>
      <c r="CV266" s="2" cm="1">
        <f t="array" aca="1" ref="CV266" ca="1">MIN(_xlfn._xlws.FILTER($CN266:$CT266,$CN266:$CT266&gt;BP266))</f>
        <v>8.5499999999999989</v>
      </c>
      <c r="CW266" s="16">
        <f t="shared" ca="1" si="293"/>
        <v>-29.499999999999929</v>
      </c>
      <c r="CX266" s="20">
        <f t="shared" ca="1" si="294"/>
        <v>14.749999999999964</v>
      </c>
      <c r="CY266" s="20">
        <f t="shared" ca="1" si="295"/>
        <v>9.8333333333333091</v>
      </c>
      <c r="CZ266" s="20">
        <f t="shared" ca="1" si="296"/>
        <v>5.8999999999999861</v>
      </c>
      <c r="DA266" s="20">
        <f t="shared" ca="1" si="297"/>
        <v>3.2777777777777697</v>
      </c>
      <c r="DB266" s="20">
        <f t="shared" ca="1" si="315"/>
        <v>1.7352941176470547</v>
      </c>
      <c r="DC266" s="20">
        <f t="shared" ca="1" si="316"/>
        <v>0.89393939393939181</v>
      </c>
      <c r="DD266" s="20">
        <f t="shared" ca="1" si="317"/>
        <v>0.45384615384615273</v>
      </c>
      <c r="DE266" s="21">
        <f t="shared" ca="1" si="318"/>
        <v>-0.45384615384615273</v>
      </c>
      <c r="DF266" s="21">
        <f t="shared" ca="1" si="319"/>
        <v>-0.89393939393939181</v>
      </c>
      <c r="DG266" s="21">
        <f t="shared" ca="1" si="320"/>
        <v>-1.7352941176470547</v>
      </c>
      <c r="DH266" s="21">
        <f t="shared" ca="1" si="298"/>
        <v>-3.2777777777777697</v>
      </c>
      <c r="DI266" s="21">
        <f t="shared" ca="1" si="299"/>
        <v>-5.8999999999999861</v>
      </c>
      <c r="DJ266" s="21">
        <f t="shared" ca="1" si="300"/>
        <v>-9.8333333333333091</v>
      </c>
      <c r="DK266" s="21">
        <f t="shared" ca="1" si="301"/>
        <v>-14.749999999999964</v>
      </c>
      <c r="DM266" s="16" cm="1">
        <f t="array" aca="1" ref="DM266" ca="1">MAX(_xlfn._xlws.FILTER(CX266:DK266,CX266:DK266&lt;BV266))</f>
        <v>-0.45384615384615273</v>
      </c>
      <c r="DN266" s="16" cm="1">
        <f t="array" aca="1" ref="DN266" ca="1">MIN(_xlfn._xlws.FILTER(CX266:DK266,CX266:DK266&gt;BV266))</f>
        <v>0.45384615384615273</v>
      </c>
      <c r="DO266" s="2" cm="1">
        <f t="array" aca="1" ref="DO266" ca="1">_FV(ED266,"Fechamento anterior",TRUE)</f>
        <v>4.5</v>
      </c>
      <c r="DP266" s="28">
        <f t="shared" ca="1" si="302"/>
        <v>0.49999999999999989</v>
      </c>
      <c r="DQ266" s="15">
        <f t="shared" ca="1" si="283"/>
        <v>2.4576923076923127</v>
      </c>
      <c r="DR266" s="15">
        <f t="shared" ca="1" si="284"/>
        <v>6.5423076923076877</v>
      </c>
      <c r="DS266" s="9"/>
      <c r="DT266" s="9"/>
      <c r="DU266" s="9"/>
      <c r="DV266" s="89">
        <v>0.90769230769230547</v>
      </c>
      <c r="DW266" s="89">
        <f t="shared" ca="1" si="303"/>
        <v>0.90769230769230547</v>
      </c>
      <c r="DX266" s="72">
        <f t="shared" ca="1" si="304"/>
        <v>1.1321911482238387</v>
      </c>
      <c r="DY266" s="37"/>
      <c r="DZ266" s="35">
        <f t="shared" si="314"/>
        <v>8.6116200566443993E-2</v>
      </c>
      <c r="EA266" s="56"/>
      <c r="EB266" s="56"/>
      <c r="ED266" s="2" t="e" vm="268">
        <v>#VALUE!</v>
      </c>
      <c r="EF266" s="10" cm="1">
        <f t="array" aca="1" ref="EF266" ca="1">_FV(ED266,"Ações em circulação",TRUE)</f>
        <v>5783210</v>
      </c>
      <c r="EG266" s="18">
        <f>VLOOKUP(BQ266,Fundamentus!A:U,5,FALSE)</f>
        <v>2.4E-2</v>
      </c>
      <c r="EH266" s="2">
        <f t="shared" ca="1" si="305"/>
        <v>1084351875</v>
      </c>
      <c r="EI266" s="17">
        <v>-26586862.172499996</v>
      </c>
      <c r="EJ266" s="17">
        <f t="shared" ca="1" si="306"/>
        <v>-28084713.5625</v>
      </c>
      <c r="EL266" s="16">
        <f t="shared" ca="1" si="282"/>
        <v>5.6338028169014231E-2</v>
      </c>
      <c r="EM266" s="32" t="str">
        <f>IF(VLOOKUP(BQ266,Fundamentus!A:U,3,FALSE)&lt;15,"Bom",IF(VLOOKUP(BQ266,Fundamentus!A:U,3,FALSE)&gt;15,"Ruim","n/a"))</f>
        <v>Bom</v>
      </c>
      <c r="EN266" s="28" t="str">
        <f>IF(VLOOKUP(BQ266,Fundamentus!A:U,4,FALSE)&lt;1,"Baixo",IF(VLOOKUP(BQ266,Fundamentus!A:U,4,FALSE)&lt;1.5,"Moderado",IF(VLOOKUP(BQ266,Fundamentus!A:U,4,FALSE)&gt;1.5,"Alto","n/a")))</f>
        <v>Alto</v>
      </c>
      <c r="EO266" s="17" t="str">
        <f>IF(VLOOKUP(BQ266,Fundamentus!A:U,8,FALSE)&lt;0,"Risco elevado",IF(VLOOKUP(BQ266,Fundamentus!A:U,8,FALSE)&lt;1,"Saudável",IF(VLOOKUP(BQ266,Fundamentus!A:U,8,FALSE)&lt;3,"Estável",IF(VLOOKUP(BQ266,Fundamentus!A:U,8,FALSE)&gt;3,"Alerta","n/a"))))</f>
        <v>Saudável</v>
      </c>
      <c r="EP266" s="28" t="str">
        <f t="shared" si="307"/>
        <v>Ruim</v>
      </c>
      <c r="EQ266" s="17" t="str">
        <f>IF(VLOOKUP(BQ266,Fundamentus!A:U,12,FALSE)&lt;2,"Subvalorizada",IF(VLOOKUP(BQ266,Fundamentus!A:U,12,FALSE)&lt;6,"Muita barata",IF(VLOOKUP(BQ266,Fundamentus!A:U,12,FALSE)&lt;6,"Barata",IF(VLOOKUP(BQ266,Fundamentus!A:U,12,FALSE)&lt;8,"Atrativa",IF(VLOOKUP(BQ266,Fundamentus!A:U,12,FALSE)&gt;8,"Supervalorizada","n/a")))))</f>
        <v>Atrativa</v>
      </c>
      <c r="ES266" s="17" t="str">
        <f>IF(VLOOKUP(BQ266,Fundamentus!A:U,17,FALSE)&lt;0.1,"Fraco retorno",IF(VLOOKUP(BQ266,Fundamentus!A:U,17,FALSE)&gt;0.1,"Bom retorno","n/a"))</f>
        <v>Fraco retorno</v>
      </c>
      <c r="ET266" s="17" t="str">
        <f>IF(VLOOKUP(BQ266,Fundamentus!A:U,16,FALSE)&lt;0.1,"Ineficiente",IF(VLOOKUP(BQ266,Fundamentus!A:U,16,FALSE)&gt;0.1,"Eficiente","n/a"))</f>
        <v>Eficiente</v>
      </c>
      <c r="EU266" s="33" t="str">
        <f>IF(VLOOKUP(BQ266,Fundamentus!A:U,16,FALSE)&lt;0.1,"Oper. Ineficiente",IF(VLOOKUP(BQ266,Fundamentus!A:U,16,FALSE)&gt;0.1,"Oper.Eficiente","n/a"))</f>
        <v>Oper.Eficiente</v>
      </c>
      <c r="EV266" s="34">
        <f>VLOOKUP(BQ266,Fundamentus!A:U,14,FALSE)</f>
        <v>-2.5899999999999999E-2</v>
      </c>
      <c r="EW266" s="17" t="str">
        <f>IF(VLOOKUP(BQ266,Fundamentus!A:U,21,FALSE)&lt;0,"Negativo",IF(VLOOKUP(BQ266,Fundamentus!A:U,21,FALSE)&lt;0.05,"Fraco",IF(VLOOKUP(BQ266,Fundamentus!A:U,21,FALSE)&lt;0.1,"Bom",IF(VLOOKUP(BQ266,Fundamentus!A:U,21,FALSE)&gt;0.1,"Muito bom","n/a"))))</f>
        <v>Bom</v>
      </c>
      <c r="EY266" s="29" t="str">
        <f>IF(VLOOKUP(BQ266,Fundamentus!A:U,15,FALSE)&gt;1,"Bom",IF(VLOOKUP(BQ266,Fundamentus!A:U,15,FALSE)&lt;1,"Ruim","n/a"))</f>
        <v>Bom</v>
      </c>
      <c r="EZ266" s="17" t="str">
        <f>IF(VLOOKUP(BQ266,Fundamentus!A:U,20,FALSE)&lt;0.5,"Baixa",IF(VLOOKUP(BQ266,Fundamentus!A:U,20,FALSE)&lt;1,"Moderada",IF(VLOOKUP(BQ266,Fundamentus!A:U,20,FALSE)&lt;2,"Alerta",IF(VLOOKUP(BQ266,Fundamentus!A:U,20,FALSE)&gt;2,"Alta","n/a"))))</f>
        <v>Alta</v>
      </c>
    </row>
    <row r="267" spans="1:156" s="2" customFormat="1" ht="11.25" hidden="1" x14ac:dyDescent="0.2">
      <c r="A267" s="4">
        <v>1.61</v>
      </c>
      <c r="B267" s="4">
        <v>1.7</v>
      </c>
      <c r="C267" s="4">
        <v>1.71</v>
      </c>
      <c r="D267" s="4">
        <v>1.63</v>
      </c>
      <c r="E267" s="4">
        <v>4.54</v>
      </c>
      <c r="F267" s="4">
        <v>4.2699999999999996</v>
      </c>
      <c r="G267" s="4">
        <v>3.48</v>
      </c>
      <c r="H267" s="4">
        <v>2.84</v>
      </c>
      <c r="I267" s="4">
        <v>2.83</v>
      </c>
      <c r="J267" s="4">
        <v>2.94</v>
      </c>
      <c r="K267" s="4">
        <v>3.01</v>
      </c>
      <c r="L267" s="4">
        <v>2.85</v>
      </c>
      <c r="M267" s="4">
        <v>2.98</v>
      </c>
      <c r="N267" s="4">
        <v>2.65</v>
      </c>
      <c r="O267" s="4">
        <v>3.02</v>
      </c>
      <c r="P267" s="4">
        <v>2.82</v>
      </c>
      <c r="Q267" s="4">
        <v>3.6</v>
      </c>
      <c r="R267" s="4">
        <v>4.7</v>
      </c>
      <c r="S267" s="4">
        <v>7.56</v>
      </c>
      <c r="T267" s="4">
        <v>7.35</v>
      </c>
      <c r="U267" s="4">
        <v>4.8899999999999997</v>
      </c>
      <c r="V267" s="4">
        <v>4.96</v>
      </c>
      <c r="W267" s="4">
        <v>4.7</v>
      </c>
      <c r="X267" s="4">
        <v>4.53</v>
      </c>
      <c r="Y267" s="4">
        <v>4.3099999999999996</v>
      </c>
      <c r="Z267" s="4">
        <v>4.07</v>
      </c>
      <c r="AA267" s="4">
        <v>3.82</v>
      </c>
      <c r="AB267" s="4">
        <v>4.25</v>
      </c>
      <c r="AC267" s="4">
        <v>3.96</v>
      </c>
      <c r="AD267" s="4">
        <v>4.1100000000000003</v>
      </c>
      <c r="AE267" s="4">
        <v>4.46</v>
      </c>
      <c r="AF267" s="4">
        <v>4.97</v>
      </c>
      <c r="AG267" s="4">
        <v>5.42</v>
      </c>
      <c r="AH267" s="4">
        <v>5.6</v>
      </c>
      <c r="AI267" s="4">
        <v>6.5</v>
      </c>
      <c r="AJ267" s="4">
        <v>5.4</v>
      </c>
      <c r="AK267" s="4">
        <v>4.82</v>
      </c>
      <c r="AL267" s="4">
        <v>4.7</v>
      </c>
      <c r="AM267" s="4">
        <v>4.01</v>
      </c>
      <c r="AN267" s="4">
        <v>3.83</v>
      </c>
      <c r="AO267" s="4">
        <v>3.28</v>
      </c>
      <c r="AP267" s="4">
        <v>3.6</v>
      </c>
      <c r="AQ267" s="4">
        <v>3.45</v>
      </c>
      <c r="AR267" s="4">
        <v>3.12</v>
      </c>
      <c r="AS267" s="4">
        <v>3.21</v>
      </c>
      <c r="AT267" s="4">
        <v>3.36</v>
      </c>
      <c r="AU267" s="4">
        <v>3.36</v>
      </c>
      <c r="AV267" s="4">
        <v>3.3</v>
      </c>
      <c r="AW267" s="4">
        <v>3.02</v>
      </c>
      <c r="AX267" s="4">
        <v>2.7</v>
      </c>
      <c r="AY267" s="12">
        <v>2.76</v>
      </c>
      <c r="AZ267" s="12">
        <v>2.89</v>
      </c>
      <c r="BA267" s="12">
        <v>2.56</v>
      </c>
      <c r="BB267" s="15">
        <v>2.63</v>
      </c>
      <c r="BC267" s="52">
        <v>2.88</v>
      </c>
      <c r="BD267" s="52">
        <v>2.79</v>
      </c>
      <c r="BE267" s="52">
        <v>2.72</v>
      </c>
      <c r="BF267" s="52">
        <v>2.6</v>
      </c>
      <c r="BG267" s="67">
        <v>2.5</v>
      </c>
      <c r="BH267" s="52">
        <v>2.41</v>
      </c>
      <c r="BI267" s="52">
        <v>2.33</v>
      </c>
      <c r="BJ267" s="52">
        <v>2.2999999999999998</v>
      </c>
      <c r="BK267" s="52">
        <v>2.12</v>
      </c>
      <c r="BL267" s="52">
        <v>2.0299999999999998</v>
      </c>
      <c r="BM267" s="52">
        <v>1.99</v>
      </c>
      <c r="BN267" s="52">
        <v>1.82</v>
      </c>
      <c r="BO267" s="52">
        <v>1.8</v>
      </c>
      <c r="BP267" s="52" cm="1">
        <f t="array" aca="1" ref="BP267" ca="1">_FV(ED267,"Preço")</f>
        <v>1.76</v>
      </c>
      <c r="BQ267" s="69" t="s">
        <v>263</v>
      </c>
      <c r="BR267" s="36" cm="1">
        <f t="array" aca="1" ref="BR267" ca="1">_FV(ED267,"Média de volume",TRUE)</f>
        <v>2955130</v>
      </c>
      <c r="BS267" s="36">
        <v>257300</v>
      </c>
      <c r="BT267" s="36" cm="1">
        <f t="array" aca="1" ref="BT267" ca="1">_FV(ED267,"Volume")</f>
        <v>50500</v>
      </c>
      <c r="BU267" s="24" cm="1">
        <f t="array" aca="1" ref="BU267" ca="1">_FV(ED267,"Beta")</f>
        <v>1.4278</v>
      </c>
      <c r="BV267" s="71" cm="1">
        <f t="array" aca="1" ref="BV267" ca="1">_FV(ED267,"Variação (%)",TRUE)</f>
        <v>-5.6499999999999996E-3</v>
      </c>
      <c r="BX267" s="17" cm="1">
        <f t="array" aca="1" ref="BX267" ca="1">_FV(ED267,"Baixo")</f>
        <v>1.76</v>
      </c>
      <c r="BY267" s="17" cm="1">
        <f t="array" aca="1" ref="BY267" ca="1">_FV(ED267,"Alto")</f>
        <v>1.84</v>
      </c>
      <c r="BZ267" s="24"/>
      <c r="CA267" s="63">
        <f ca="1">SQRT(22.5*(BP267/VLOOKUP(BQ267,Fundamentus!A:U,3,FALSE))*(BP267/VLOOKUP(BQ267,Fundamentus!A:U,4,FALSE)))</f>
        <v>2.5299266727192524</v>
      </c>
      <c r="CC267" s="62">
        <f t="shared" ca="1" si="308"/>
        <v>-2.222222222222224E-2</v>
      </c>
      <c r="CD267" s="8"/>
      <c r="CE267" s="61">
        <f t="shared" si="309"/>
        <v>1.61</v>
      </c>
      <c r="CF267" s="61">
        <f t="shared" si="310"/>
        <v>7.56</v>
      </c>
      <c r="CG267" s="61">
        <f t="shared" si="311"/>
        <v>3.5064179104477611</v>
      </c>
      <c r="CH267" s="14"/>
      <c r="CI267" s="35">
        <f t="shared" si="285"/>
        <v>1.4479696374936242</v>
      </c>
      <c r="CJ267" s="15">
        <f t="shared" si="312"/>
        <v>1.6949999999999363</v>
      </c>
      <c r="CK267" s="35">
        <f t="shared" si="286"/>
        <v>1.9420303625062485</v>
      </c>
      <c r="CM267" s="14"/>
      <c r="CN267" s="17">
        <f t="shared" si="287"/>
        <v>-6.1966666666666654</v>
      </c>
      <c r="CO267" s="17">
        <f t="shared" si="288"/>
        <v>-2.2933333333333326</v>
      </c>
      <c r="CP267" s="17">
        <f t="shared" si="289"/>
        <v>-0.24666666666666615</v>
      </c>
      <c r="CQ267" s="38">
        <f t="shared" si="313"/>
        <v>3.6566666666666667</v>
      </c>
      <c r="CR267" s="17">
        <f t="shared" si="290"/>
        <v>5.7033333333333331</v>
      </c>
      <c r="CS267" s="17">
        <f t="shared" si="291"/>
        <v>9.6066666666666656</v>
      </c>
      <c r="CT267" s="17">
        <f t="shared" si="292"/>
        <v>11.653333333333332</v>
      </c>
      <c r="CU267" s="2" cm="1">
        <f t="array" aca="1" ref="CU267" ca="1">MAX(_xlfn._xlws.FILTER(CN267:CT267,CN267:CT267&lt;BP267))</f>
        <v>-0.24666666666666615</v>
      </c>
      <c r="CV267" s="2" cm="1">
        <f t="array" aca="1" ref="CV267" ca="1">MIN(_xlfn._xlws.FILTER($CN267:$CT267,$CN267:$CT267&gt;BP267))</f>
        <v>3.6566666666666667</v>
      </c>
      <c r="CW267" s="16">
        <f t="shared" ca="1" si="293"/>
        <v>-15.824324324324357</v>
      </c>
      <c r="CX267" s="20">
        <f t="shared" ca="1" si="294"/>
        <v>7.9121621621621783</v>
      </c>
      <c r="CY267" s="20">
        <f t="shared" ca="1" si="295"/>
        <v>5.2747747747747855</v>
      </c>
      <c r="CZ267" s="20">
        <f t="shared" ca="1" si="296"/>
        <v>3.1648648648648714</v>
      </c>
      <c r="DA267" s="20">
        <f t="shared" ca="1" si="297"/>
        <v>1.7582582582582618</v>
      </c>
      <c r="DB267" s="20">
        <f t="shared" ca="1" si="315"/>
        <v>0.93084260731319746</v>
      </c>
      <c r="DC267" s="20">
        <f t="shared" ca="1" si="316"/>
        <v>0.47952497952498052</v>
      </c>
      <c r="DD267" s="20">
        <f t="shared" ca="1" si="317"/>
        <v>0.24345114345114394</v>
      </c>
      <c r="DE267" s="21">
        <f t="shared" ca="1" si="318"/>
        <v>-0.24345114345114394</v>
      </c>
      <c r="DF267" s="21">
        <f t="shared" ca="1" si="319"/>
        <v>-0.47952497952498052</v>
      </c>
      <c r="DG267" s="21">
        <f t="shared" ca="1" si="320"/>
        <v>-0.93084260731319746</v>
      </c>
      <c r="DH267" s="21">
        <f t="shared" ca="1" si="298"/>
        <v>-1.7582582582582618</v>
      </c>
      <c r="DI267" s="21">
        <f t="shared" ca="1" si="299"/>
        <v>-3.1648648648648714</v>
      </c>
      <c r="DJ267" s="21">
        <f t="shared" ca="1" si="300"/>
        <v>-5.2747747747747855</v>
      </c>
      <c r="DK267" s="21">
        <f t="shared" ca="1" si="301"/>
        <v>-7.9121621621621783</v>
      </c>
      <c r="DM267" s="16" cm="1">
        <f t="array" aca="1" ref="DM267" ca="1">MAX(_xlfn._xlws.FILTER(CX267:DK267,CX267:DK267&lt;BV267))</f>
        <v>-0.24345114345114394</v>
      </c>
      <c r="DN267" s="16" cm="1">
        <f t="array" aca="1" ref="DN267" ca="1">MIN(_xlfn._xlws.FILTER(CX267:DK267,CX267:DK267&gt;BV267))</f>
        <v>0.24345114345114394</v>
      </c>
      <c r="DO267" s="2" cm="1">
        <f t="array" aca="1" ref="DO267" ca="1">_FV(ED267,"Fechamento anterior",TRUE)</f>
        <v>1.77</v>
      </c>
      <c r="DP267" s="28">
        <f t="shared" ca="1" si="302"/>
        <v>0.48839660920455275</v>
      </c>
      <c r="DQ267" s="15">
        <f t="shared" ca="1" si="283"/>
        <v>1.3390914760914752</v>
      </c>
      <c r="DR267" s="15">
        <f t="shared" ca="1" si="284"/>
        <v>2.2009085239085246</v>
      </c>
      <c r="DS267" s="9"/>
      <c r="DT267" s="9"/>
      <c r="DU267" s="9"/>
      <c r="DV267" s="89">
        <v>0.48690228690228787</v>
      </c>
      <c r="DW267" s="89">
        <f t="shared" ca="1" si="303"/>
        <v>0.48690228690228787</v>
      </c>
      <c r="DX267" s="72">
        <f t="shared" ca="1" si="304"/>
        <v>0.2631255499955103</v>
      </c>
      <c r="DY267" s="37"/>
      <c r="DZ267" s="35">
        <f t="shared" si="314"/>
        <v>0.12351518125315607</v>
      </c>
      <c r="EA267" s="56"/>
      <c r="EB267" s="56"/>
      <c r="ED267" s="2" t="e" vm="269">
        <v>#VALUE!</v>
      </c>
      <c r="EF267" s="10" cm="1">
        <f t="array" aca="1" ref="EF267" ca="1">_FV(ED267,"Ações em circulação",TRUE)</f>
        <v>31822290</v>
      </c>
      <c r="EG267" s="18">
        <f>VLOOKUP(BQ267,Fundamentus!A:U,5,FALSE)</f>
        <v>5.8079999999999998</v>
      </c>
      <c r="EH267" s="2">
        <f t="shared" ca="1" si="305"/>
        <v>9643118.1818181816</v>
      </c>
      <c r="EI267" s="17">
        <v>-18405973.086880166</v>
      </c>
      <c r="EJ267" s="17">
        <f t="shared" ca="1" si="306"/>
        <v>-17996951.462727275</v>
      </c>
      <c r="EL267" s="16">
        <f t="shared" ca="1" si="282"/>
        <v>-2.2222222222222143E-2</v>
      </c>
      <c r="EM267" s="32" t="str">
        <f>IF(VLOOKUP(BQ267,Fundamentus!A:U,3,FALSE)&lt;15,"Bom",IF(VLOOKUP(BQ267,Fundamentus!A:U,3,FALSE)&gt;15,"Ruim","n/a"))</f>
        <v>Bom</v>
      </c>
      <c r="EN267" s="28" t="str">
        <f>IF(VLOOKUP(BQ267,Fundamentus!A:U,4,FALSE)&lt;1,"Baixo",IF(VLOOKUP(BQ267,Fundamentus!A:U,4,FALSE)&lt;1.5,"Moderado",IF(VLOOKUP(BQ267,Fundamentus!A:U,4,FALSE)&gt;1.5,"Alto","n/a")))</f>
        <v>Baixo</v>
      </c>
      <c r="EO267" s="17" t="str">
        <f>IF(VLOOKUP(BQ267,Fundamentus!A:U,8,FALSE)&lt;0,"Risco elevado",IF(VLOOKUP(BQ267,Fundamentus!A:U,8,FALSE)&lt;1,"Saudável",IF(VLOOKUP(BQ267,Fundamentus!A:U,8,FALSE)&lt;3,"Estável",IF(VLOOKUP(BQ267,Fundamentus!A:U,8,FALSE)&gt;3,"Alerta","n/a"))))</f>
        <v>Risco elevado</v>
      </c>
      <c r="EP267" s="28" t="str">
        <f t="shared" si="307"/>
        <v>Bom</v>
      </c>
      <c r="EQ267" s="17" t="str">
        <f>IF(VLOOKUP(BQ267,Fundamentus!A:U,12,FALSE)&lt;2,"Subvalorizada",IF(VLOOKUP(BQ267,Fundamentus!A:U,12,FALSE)&lt;6,"Muita barata",IF(VLOOKUP(BQ267,Fundamentus!A:U,12,FALSE)&lt;6,"Barata",IF(VLOOKUP(BQ267,Fundamentus!A:U,12,FALSE)&lt;8,"Atrativa",IF(VLOOKUP(BQ267,Fundamentus!A:U,12,FALSE)&gt;8,"Supervalorizada","n/a")))))</f>
        <v>Subvalorizada</v>
      </c>
      <c r="ES267" s="17" t="str">
        <f>IF(VLOOKUP(BQ267,Fundamentus!A:U,17,FALSE)&lt;0.1,"Fraco retorno",IF(VLOOKUP(BQ267,Fundamentus!A:U,17,FALSE)&gt;0.1,"Bom retorno","n/a"))</f>
        <v>Bom retorno</v>
      </c>
      <c r="ET267" s="17" t="str">
        <f>IF(VLOOKUP(BQ267,Fundamentus!A:U,16,FALSE)&lt;0.1,"Ineficiente",IF(VLOOKUP(BQ267,Fundamentus!A:U,16,FALSE)&gt;0.1,"Eficiente","n/a"))</f>
        <v>Ineficiente</v>
      </c>
      <c r="EU267" s="33" t="str">
        <f>IF(VLOOKUP(BQ267,Fundamentus!A:U,16,FALSE)&lt;0.1,"Oper. Ineficiente",IF(VLOOKUP(BQ267,Fundamentus!A:U,16,FALSE)&gt;0.1,"Oper.Eficiente","n/a"))</f>
        <v>Oper. Ineficiente</v>
      </c>
      <c r="EV267" s="34">
        <f>VLOOKUP(BQ267,Fundamentus!A:U,14,FALSE)</f>
        <v>-1.8663000000000001</v>
      </c>
      <c r="EW267" s="17" t="str">
        <f>IF(VLOOKUP(BQ267,Fundamentus!A:U,21,FALSE)&lt;0,"Negativo",IF(VLOOKUP(BQ267,Fundamentus!A:U,21,FALSE)&lt;0.05,"Fraco",IF(VLOOKUP(BQ267,Fundamentus!A:U,21,FALSE)&lt;0.1,"Bom",IF(VLOOKUP(BQ267,Fundamentus!A:U,21,FALSE)&gt;0.1,"Muito bom","n/a"))))</f>
        <v>Negativo</v>
      </c>
      <c r="EY267" s="29" t="str">
        <f>IF(VLOOKUP(BQ267,Fundamentus!A:U,15,FALSE)&gt;1,"Bom",IF(VLOOKUP(BQ267,Fundamentus!A:U,15,FALSE)&lt;1,"Ruim","n/a"))</f>
        <v>Ruim</v>
      </c>
      <c r="EZ267" s="17" t="str">
        <f>IF(VLOOKUP(BQ267,Fundamentus!A:U,20,FALSE)&lt;0.5,"Baixa",IF(VLOOKUP(BQ267,Fundamentus!A:U,20,FALSE)&lt;1,"Moderada",IF(VLOOKUP(BQ267,Fundamentus!A:U,20,FALSE)&lt;2,"Alerta",IF(VLOOKUP(BQ267,Fundamentus!A:U,20,FALSE)&gt;2,"Alta","n/a"))))</f>
        <v>Baixa</v>
      </c>
    </row>
    <row r="268" spans="1:156" s="2" customFormat="1" ht="11.25" hidden="1" x14ac:dyDescent="0.2">
      <c r="A268" s="4">
        <v>10.65</v>
      </c>
      <c r="B268" s="4">
        <v>9.7899999999999991</v>
      </c>
      <c r="C268" s="4">
        <v>11.07</v>
      </c>
      <c r="D268" s="4">
        <v>10.49</v>
      </c>
      <c r="E268" s="4">
        <v>10.47</v>
      </c>
      <c r="F268" s="4">
        <v>10.41</v>
      </c>
      <c r="G268" s="4">
        <v>9.74</v>
      </c>
      <c r="H268" s="4">
        <v>9.8800000000000008</v>
      </c>
      <c r="I268" s="4">
        <v>9.86</v>
      </c>
      <c r="J268" s="4">
        <v>10.49</v>
      </c>
      <c r="K268" s="4">
        <v>10.46</v>
      </c>
      <c r="L268" s="4">
        <v>9.75</v>
      </c>
      <c r="M268" s="4">
        <v>9.6300000000000008</v>
      </c>
      <c r="N268" s="4">
        <v>8.74</v>
      </c>
      <c r="O268" s="4">
        <v>8.84</v>
      </c>
      <c r="P268" s="4">
        <v>8.7100000000000009</v>
      </c>
      <c r="Q268" s="4">
        <v>9.6</v>
      </c>
      <c r="R268" s="4">
        <v>8.65</v>
      </c>
      <c r="S268" s="4">
        <v>8.3800000000000008</v>
      </c>
      <c r="T268" s="4">
        <v>9.1999999999999993</v>
      </c>
      <c r="U268" s="4">
        <v>8.84</v>
      </c>
      <c r="V268" s="4">
        <v>8.0399999999999991</v>
      </c>
      <c r="W268" s="4">
        <v>8.2100000000000009</v>
      </c>
      <c r="X268" s="4">
        <v>8.01</v>
      </c>
      <c r="Y268" s="4">
        <v>7.76</v>
      </c>
      <c r="Z268" s="4">
        <v>7.14</v>
      </c>
      <c r="AA268" s="4">
        <v>7.27</v>
      </c>
      <c r="AB268" s="4">
        <v>7.32</v>
      </c>
      <c r="AC268" s="4">
        <v>7.95</v>
      </c>
      <c r="AD268" s="4">
        <v>8.15</v>
      </c>
      <c r="AE268" s="4">
        <v>6.7</v>
      </c>
      <c r="AF268" s="4">
        <v>6.36</v>
      </c>
      <c r="AG268" s="4">
        <v>5.85</v>
      </c>
      <c r="AH268" s="4">
        <v>5.94</v>
      </c>
      <c r="AI268" s="4">
        <v>5.35</v>
      </c>
      <c r="AJ268" s="4">
        <v>5.24</v>
      </c>
      <c r="AK268" s="4">
        <v>4.99</v>
      </c>
      <c r="AL268" s="4">
        <v>4.7699999999999996</v>
      </c>
      <c r="AM268" s="4">
        <v>4.88</v>
      </c>
      <c r="AN268" s="4">
        <v>4.92</v>
      </c>
      <c r="AO268" s="4">
        <v>4.1500000000000004</v>
      </c>
      <c r="AP268" s="4">
        <v>4.6399999999999997</v>
      </c>
      <c r="AQ268" s="4">
        <v>4.3899999999999997</v>
      </c>
      <c r="AR268" s="4">
        <v>4.41</v>
      </c>
      <c r="AS268" s="4">
        <v>4.3899999999999997</v>
      </c>
      <c r="AT268" s="4">
        <v>4.62</v>
      </c>
      <c r="AU268" s="4">
        <v>4.9400000000000004</v>
      </c>
      <c r="AV268" s="4">
        <v>4.05</v>
      </c>
      <c r="AW268" s="4">
        <v>3.99</v>
      </c>
      <c r="AX268" s="4">
        <v>4.3</v>
      </c>
      <c r="AY268" s="12">
        <v>4.4000000000000004</v>
      </c>
      <c r="AZ268" s="12">
        <v>4.66</v>
      </c>
      <c r="BA268" s="12">
        <v>4.38</v>
      </c>
      <c r="BB268" s="15">
        <v>4.53</v>
      </c>
      <c r="BC268" s="52">
        <v>4.59</v>
      </c>
      <c r="BD268" s="52">
        <v>4.33</v>
      </c>
      <c r="BE268" s="52">
        <v>4.9000000000000004</v>
      </c>
      <c r="BF268" s="52">
        <v>5.04</v>
      </c>
      <c r="BG268" s="67">
        <v>5</v>
      </c>
      <c r="BH268" s="52">
        <v>4</v>
      </c>
      <c r="BI268" s="52">
        <v>3.64</v>
      </c>
      <c r="BJ268" s="52">
        <v>3.76</v>
      </c>
      <c r="BK268" s="52">
        <v>4.03</v>
      </c>
      <c r="BL268" s="52">
        <v>3.92</v>
      </c>
      <c r="BM268" s="52">
        <v>3.87</v>
      </c>
      <c r="BN268" s="52">
        <v>3.6</v>
      </c>
      <c r="BO268" s="52">
        <v>3.67</v>
      </c>
      <c r="BP268" s="52" cm="1">
        <f t="array" aca="1" ref="BP268" ca="1">_FV(ED268,"Preço")</f>
        <v>3.91</v>
      </c>
      <c r="BQ268" s="69" t="s">
        <v>264</v>
      </c>
      <c r="BR268" s="36" cm="1">
        <f t="array" aca="1" ref="BR268" ca="1">_FV(ED268,"Média de volume",TRUE)</f>
        <v>1165500</v>
      </c>
      <c r="BS268" s="36">
        <v>496300</v>
      </c>
      <c r="BT268" s="36" cm="1">
        <f t="array" aca="1" ref="BT268" ca="1">_FV(ED268,"Volume")</f>
        <v>1058700</v>
      </c>
      <c r="BU268" s="24" cm="1">
        <f t="array" aca="1" ref="BU268" ca="1">_FV(ED268,"Beta")</f>
        <v>1.3717999999999999</v>
      </c>
      <c r="BV268" s="71" cm="1">
        <f t="array" aca="1" ref="BV268" ca="1">_FV(ED268,"Variação (%)",TRUE)</f>
        <v>2.5640000000000003E-3</v>
      </c>
      <c r="BX268" s="17" cm="1">
        <f t="array" aca="1" ref="BX268" ca="1">_FV(ED268,"Baixo")</f>
        <v>3.77</v>
      </c>
      <c r="BY268" s="17" cm="1">
        <f t="array" aca="1" ref="BY268" ca="1">_FV(ED268,"Alto")</f>
        <v>4.04</v>
      </c>
      <c r="BZ268" s="24"/>
      <c r="CA268" s="63">
        <f ca="1">SQRT(22.5*(BP268/VLOOKUP(BQ268,Fundamentus!A:U,3,FALSE))*(BP268/VLOOKUP(BQ268,Fundamentus!A:U,4,FALSE)))</f>
        <v>5.5181092735995723</v>
      </c>
      <c r="CC268" s="62">
        <f t="shared" ca="1" si="308"/>
        <v>6.5395095367847475E-2</v>
      </c>
      <c r="CD268" s="8"/>
      <c r="CE268" s="61">
        <f t="shared" si="309"/>
        <v>3.6</v>
      </c>
      <c r="CF268" s="61">
        <f t="shared" si="310"/>
        <v>11.07</v>
      </c>
      <c r="CG268" s="61">
        <f t="shared" si="311"/>
        <v>6.6373134328358203</v>
      </c>
      <c r="CH268" s="14"/>
      <c r="CI268" s="35">
        <f t="shared" si="285"/>
        <v>3.1906506615005976</v>
      </c>
      <c r="CJ268" s="15">
        <f t="shared" si="312"/>
        <v>3.5099999999999909</v>
      </c>
      <c r="CK268" s="35">
        <f t="shared" si="286"/>
        <v>3.8293493384993842</v>
      </c>
      <c r="CM268" s="14"/>
      <c r="CN268" s="17">
        <f t="shared" si="287"/>
        <v>-6.3133333333333344</v>
      </c>
      <c r="CO268" s="17">
        <f t="shared" si="288"/>
        <v>-1.3566666666666674</v>
      </c>
      <c r="CP268" s="17">
        <f t="shared" si="289"/>
        <v>1.1566666666666663</v>
      </c>
      <c r="CQ268" s="38">
        <f t="shared" si="313"/>
        <v>6.1133333333333333</v>
      </c>
      <c r="CR268" s="17">
        <f t="shared" si="290"/>
        <v>8.6266666666666669</v>
      </c>
      <c r="CS268" s="17">
        <f t="shared" si="291"/>
        <v>13.583333333333334</v>
      </c>
      <c r="CT268" s="17">
        <f t="shared" si="292"/>
        <v>16.096666666666668</v>
      </c>
      <c r="CU268" s="2" cm="1">
        <f t="array" aca="1" ref="CU268" ca="1">MAX(_xlfn._xlws.FILTER(CN268:CT268,CN268:CT268&lt;BP268))</f>
        <v>1.1566666666666663</v>
      </c>
      <c r="CV268" s="2" cm="1">
        <f t="array" aca="1" ref="CV268" ca="1">MIN(_xlfn._xlws.FILTER($CN268:$CT268,$CN268:$CT268&gt;BP268))</f>
        <v>6.1133333333333333</v>
      </c>
      <c r="CW268" s="16">
        <f t="shared" ca="1" si="293"/>
        <v>4.285302593659944</v>
      </c>
      <c r="CX268" s="20">
        <f t="shared" ca="1" si="294"/>
        <v>-2.142651296829972</v>
      </c>
      <c r="CY268" s="20">
        <f t="shared" ca="1" si="295"/>
        <v>-1.4284341978866479</v>
      </c>
      <c r="CZ268" s="20">
        <f t="shared" ca="1" si="296"/>
        <v>-0.85706051873198885</v>
      </c>
      <c r="DA268" s="20">
        <f t="shared" ca="1" si="297"/>
        <v>-0.47614473262888268</v>
      </c>
      <c r="DB268" s="20">
        <f t="shared" ca="1" si="315"/>
        <v>-0.25207662315646728</v>
      </c>
      <c r="DC268" s="20">
        <f t="shared" ca="1" si="316"/>
        <v>-0.12985765435333163</v>
      </c>
      <c r="DD268" s="20">
        <f t="shared" ca="1" si="317"/>
        <v>-6.5927732210152981E-2</v>
      </c>
      <c r="DE268" s="21">
        <f t="shared" ca="1" si="318"/>
        <v>6.5927732210152981E-2</v>
      </c>
      <c r="DF268" s="21">
        <f t="shared" ca="1" si="319"/>
        <v>0.12985765435333163</v>
      </c>
      <c r="DG268" s="21">
        <f t="shared" ca="1" si="320"/>
        <v>0.25207662315646728</v>
      </c>
      <c r="DH268" s="21">
        <f t="shared" ca="1" si="298"/>
        <v>0.47614473262888268</v>
      </c>
      <c r="DI268" s="21">
        <f t="shared" ca="1" si="299"/>
        <v>0.85706051873198885</v>
      </c>
      <c r="DJ268" s="21">
        <f t="shared" ca="1" si="300"/>
        <v>1.4284341978866479</v>
      </c>
      <c r="DK268" s="21">
        <f t="shared" ca="1" si="301"/>
        <v>2.142651296829972</v>
      </c>
      <c r="DM268" s="16" cm="1">
        <f t="array" aca="1" ref="DM268" ca="1">MAX(_xlfn._xlws.FILTER(CX268:DK268,CX268:DK268&lt;BV268))</f>
        <v>-6.5927732210152981E-2</v>
      </c>
      <c r="DN268" s="16" cm="1">
        <f t="array" aca="1" ref="DN268" ca="1">MIN(_xlfn._xlws.FILTER(CX268:DK268,CX268:DK268&gt;BV268))</f>
        <v>6.5927732210152981E-2</v>
      </c>
      <c r="DO268" s="2" cm="1">
        <f t="array" aca="1" ref="DO268" ca="1">_FV(ED268,"Fechamento anterior",TRUE)</f>
        <v>3.9</v>
      </c>
      <c r="DP268" s="28">
        <f t="shared" ca="1" si="302"/>
        <v>0.51944631248598971</v>
      </c>
      <c r="DQ268" s="15">
        <f t="shared" ca="1" si="283"/>
        <v>3.6428818443804034</v>
      </c>
      <c r="DR268" s="15">
        <f t="shared" ca="1" si="284"/>
        <v>4.1571181556195969</v>
      </c>
      <c r="DS268" s="9"/>
      <c r="DT268" s="9"/>
      <c r="DU268" s="9"/>
      <c r="DV268" s="89">
        <v>0.13185546442030596</v>
      </c>
      <c r="DW268" s="89">
        <f t="shared" ca="1" si="303"/>
        <v>0.13185546442030596</v>
      </c>
      <c r="DX268" s="72">
        <f t="shared" ca="1" si="304"/>
        <v>1.252546824989804</v>
      </c>
      <c r="DY268" s="37"/>
      <c r="DZ268" s="35">
        <f t="shared" si="314"/>
        <v>0.15967466924969664</v>
      </c>
      <c r="EA268" s="56"/>
      <c r="EB268" s="56"/>
      <c r="ED268" s="2" t="e" vm="270">
        <v>#VALUE!</v>
      </c>
      <c r="EF268" s="10" cm="1">
        <f t="array" aca="1" ref="EF268" ca="1">_FV(ED268,"Ações em circulação",TRUE)</f>
        <v>346494100</v>
      </c>
      <c r="EG268" s="18">
        <f>VLOOKUP(BQ268,Fundamentus!A:U,5,FALSE)</f>
        <v>0.749</v>
      </c>
      <c r="EH268" s="2">
        <f t="shared" ca="1" si="305"/>
        <v>1808800975.9679573</v>
      </c>
      <c r="EI268" s="17">
        <v>121560677.76395193</v>
      </c>
      <c r="EJ268" s="17">
        <f t="shared" ca="1" si="306"/>
        <v>129510149.87930574</v>
      </c>
      <c r="EL268" s="16">
        <f t="shared" ca="1" si="282"/>
        <v>6.5395095367847489E-2</v>
      </c>
      <c r="EM268" s="32" t="str">
        <f>IF(VLOOKUP(BQ268,Fundamentus!A:U,3,FALSE)&lt;15,"Bom",IF(VLOOKUP(BQ268,Fundamentus!A:U,3,FALSE)&gt;15,"Ruim","n/a"))</f>
        <v>Bom</v>
      </c>
      <c r="EN268" s="28" t="str">
        <f>IF(VLOOKUP(BQ268,Fundamentus!A:U,4,FALSE)&lt;1,"Baixo",IF(VLOOKUP(BQ268,Fundamentus!A:U,4,FALSE)&lt;1.5,"Moderado",IF(VLOOKUP(BQ268,Fundamentus!A:U,4,FALSE)&gt;1.5,"Alto","n/a")))</f>
        <v>Moderado</v>
      </c>
      <c r="EO268" s="17" t="str">
        <f>IF(VLOOKUP(BQ268,Fundamentus!A:U,8,FALSE)&lt;0,"Risco elevado",IF(VLOOKUP(BQ268,Fundamentus!A:U,8,FALSE)&lt;1,"Saudável",IF(VLOOKUP(BQ268,Fundamentus!A:U,8,FALSE)&lt;3,"Estável",IF(VLOOKUP(BQ268,Fundamentus!A:U,8,FALSE)&gt;3,"Alerta","n/a"))))</f>
        <v>Estável</v>
      </c>
      <c r="EP268" s="28" t="str">
        <f t="shared" si="307"/>
        <v>Ruim</v>
      </c>
      <c r="EQ268" s="17" t="str">
        <f>IF(VLOOKUP(BQ268,Fundamentus!A:U,12,FALSE)&lt;2,"Subvalorizada",IF(VLOOKUP(BQ268,Fundamentus!A:U,12,FALSE)&lt;6,"Muita barata",IF(VLOOKUP(BQ268,Fundamentus!A:U,12,FALSE)&lt;6,"Barata",IF(VLOOKUP(BQ268,Fundamentus!A:U,12,FALSE)&lt;8,"Atrativa",IF(VLOOKUP(BQ268,Fundamentus!A:U,12,FALSE)&gt;8,"Supervalorizada","n/a")))))</f>
        <v>Muita barata</v>
      </c>
      <c r="ES268" s="17" t="str">
        <f>IF(VLOOKUP(BQ268,Fundamentus!A:U,17,FALSE)&lt;0.1,"Fraco retorno",IF(VLOOKUP(BQ268,Fundamentus!A:U,17,FALSE)&gt;0.1,"Bom retorno","n/a"))</f>
        <v>Bom retorno</v>
      </c>
      <c r="ET268" s="17" t="str">
        <f>IF(VLOOKUP(BQ268,Fundamentus!A:U,16,FALSE)&lt;0.1,"Ineficiente",IF(VLOOKUP(BQ268,Fundamentus!A:U,16,FALSE)&gt;0.1,"Eficiente","n/a"))</f>
        <v>Eficiente</v>
      </c>
      <c r="EU268" s="33" t="str">
        <f>IF(VLOOKUP(BQ268,Fundamentus!A:U,16,FALSE)&lt;0.1,"Oper. Ineficiente",IF(VLOOKUP(BQ268,Fundamentus!A:U,16,FALSE)&gt;0.1,"Oper.Eficiente","n/a"))</f>
        <v>Oper.Eficiente</v>
      </c>
      <c r="EV268" s="34">
        <f>VLOOKUP(BQ268,Fundamentus!A:U,14,FALSE)</f>
        <v>7.1599999999999997E-2</v>
      </c>
      <c r="EW268" s="17" t="str">
        <f>IF(VLOOKUP(BQ268,Fundamentus!A:U,21,FALSE)&lt;0,"Negativo",IF(VLOOKUP(BQ268,Fundamentus!A:U,21,FALSE)&lt;0.05,"Fraco",IF(VLOOKUP(BQ268,Fundamentus!A:U,21,FALSE)&lt;0.1,"Bom",IF(VLOOKUP(BQ268,Fundamentus!A:U,21,FALSE)&gt;0.1,"Muito bom","n/a"))))</f>
        <v>Muito bom</v>
      </c>
      <c r="EY268" s="29" t="str">
        <f>IF(VLOOKUP(BQ268,Fundamentus!A:U,15,FALSE)&gt;1,"Bom",IF(VLOOKUP(BQ268,Fundamentus!A:U,15,FALSE)&lt;1,"Ruim","n/a"))</f>
        <v>Bom</v>
      </c>
      <c r="EZ268" s="17" t="str">
        <f>IF(VLOOKUP(BQ268,Fundamentus!A:U,20,FALSE)&lt;0.5,"Baixa",IF(VLOOKUP(BQ268,Fundamentus!A:U,20,FALSE)&lt;1,"Moderada",IF(VLOOKUP(BQ268,Fundamentus!A:U,20,FALSE)&lt;2,"Alerta",IF(VLOOKUP(BQ268,Fundamentus!A:U,20,FALSE)&gt;2,"Alta","n/a"))))</f>
        <v>Alerta</v>
      </c>
    </row>
    <row r="269" spans="1:156" s="5" customFormat="1" ht="11.25" hidden="1" x14ac:dyDescent="0.2">
      <c r="A269" s="4">
        <v>2.13</v>
      </c>
      <c r="B269" s="4">
        <v>2.12</v>
      </c>
      <c r="C269" s="4">
        <v>2.04</v>
      </c>
      <c r="D269" s="4">
        <v>2.2000000000000002</v>
      </c>
      <c r="E269" s="4">
        <v>2.38</v>
      </c>
      <c r="F269" s="4">
        <v>2.25</v>
      </c>
      <c r="G269" s="4">
        <v>2.2999999999999998</v>
      </c>
      <c r="H269" s="4">
        <v>2.2599999999999998</v>
      </c>
      <c r="I269" s="4">
        <v>1.91</v>
      </c>
      <c r="J269" s="4">
        <v>1.94</v>
      </c>
      <c r="K269" s="4">
        <v>2</v>
      </c>
      <c r="L269" s="4">
        <v>1.99</v>
      </c>
      <c r="M269" s="4">
        <v>1.96</v>
      </c>
      <c r="N269" s="4">
        <v>1.72</v>
      </c>
      <c r="O269" s="4">
        <v>1.65</v>
      </c>
      <c r="P269" s="4">
        <v>1.5</v>
      </c>
      <c r="Q269" s="4">
        <v>1.38</v>
      </c>
      <c r="R269" s="4">
        <v>1.38</v>
      </c>
      <c r="S269" s="4">
        <v>1.34</v>
      </c>
      <c r="T269" s="4">
        <v>1.39</v>
      </c>
      <c r="U269" s="4">
        <v>1.47</v>
      </c>
      <c r="V269" s="4">
        <v>1.65</v>
      </c>
      <c r="W269" s="4">
        <v>1.5</v>
      </c>
      <c r="X269" s="4">
        <v>1.51</v>
      </c>
      <c r="Y269" s="4">
        <v>1.39</v>
      </c>
      <c r="Z269" s="4">
        <v>1.35</v>
      </c>
      <c r="AA269" s="4">
        <v>1.38</v>
      </c>
      <c r="AB269" s="4">
        <v>1.33</v>
      </c>
      <c r="AC269" s="4">
        <v>1.33</v>
      </c>
      <c r="AD269" s="4">
        <v>1.3</v>
      </c>
      <c r="AE269" s="4">
        <v>1.29</v>
      </c>
      <c r="AF269" s="4">
        <v>1.19</v>
      </c>
      <c r="AG269" s="4">
        <v>1.19</v>
      </c>
      <c r="AH269" s="4">
        <v>1.1000000000000001</v>
      </c>
      <c r="AI269" s="4">
        <v>1.1100000000000001</v>
      </c>
      <c r="AJ269" s="4">
        <v>1.18</v>
      </c>
      <c r="AK269" s="4">
        <v>1.3</v>
      </c>
      <c r="AL269" s="4">
        <v>1.1399999999999999</v>
      </c>
      <c r="AM269" s="4">
        <v>1.1100000000000001</v>
      </c>
      <c r="AN269" s="4">
        <v>1.1299999999999999</v>
      </c>
      <c r="AO269" s="4">
        <v>1.1299999999999999</v>
      </c>
      <c r="AP269" s="4">
        <v>1.1399999999999999</v>
      </c>
      <c r="AQ269" s="4">
        <v>1.1200000000000001</v>
      </c>
      <c r="AR269" s="4">
        <v>1.1499999999999999</v>
      </c>
      <c r="AS269" s="4">
        <v>1.1100000000000001</v>
      </c>
      <c r="AT269" s="4">
        <v>1.1399999999999999</v>
      </c>
      <c r="AU269" s="4">
        <v>1.125</v>
      </c>
      <c r="AV269" s="4">
        <v>1.2</v>
      </c>
      <c r="AW269" s="4">
        <v>1.24</v>
      </c>
      <c r="AX269" s="4">
        <v>1.18</v>
      </c>
      <c r="AY269" s="12">
        <v>1.22</v>
      </c>
      <c r="AZ269" s="12">
        <v>1.25</v>
      </c>
      <c r="BA269" s="12">
        <v>1.26</v>
      </c>
      <c r="BB269" s="15">
        <v>1.18</v>
      </c>
      <c r="BC269" s="52">
        <v>1.2</v>
      </c>
      <c r="BD269" s="52">
        <v>1.27</v>
      </c>
      <c r="BE269" s="52">
        <v>1.26</v>
      </c>
      <c r="BF269" s="52">
        <v>1.25</v>
      </c>
      <c r="BG269" s="67">
        <v>1.19</v>
      </c>
      <c r="BH269" s="52">
        <v>1.18</v>
      </c>
      <c r="BI269" s="52">
        <v>1.17</v>
      </c>
      <c r="BJ269" s="52">
        <v>1.19</v>
      </c>
      <c r="BK269" s="52">
        <v>1.1200000000000001</v>
      </c>
      <c r="BL269" s="52">
        <v>1.1200000000000001</v>
      </c>
      <c r="BM269" s="52">
        <v>1.05</v>
      </c>
      <c r="BN269" s="52">
        <v>1.01</v>
      </c>
      <c r="BO269" s="52">
        <v>1.06</v>
      </c>
      <c r="BP269" s="52" cm="1">
        <f t="array" aca="1" ref="BP269" ca="1">_FV(ED269,"Preço")</f>
        <v>1.02</v>
      </c>
      <c r="BQ269" s="69" t="s">
        <v>265</v>
      </c>
      <c r="BR269" s="36" cm="1">
        <f t="array" aca="1" ref="BR269" ca="1">_FV(ED269,"Média de volume",TRUE)</f>
        <v>2130</v>
      </c>
      <c r="BS269" s="36">
        <v>100</v>
      </c>
      <c r="BT269" s="36" cm="1">
        <f t="array" aca="1" ref="BT269" ca="1">_FV(ED269,"Volume")</f>
        <v>5100</v>
      </c>
      <c r="BU269" s="24" cm="1">
        <f t="array" aca="1" ref="BU269" ca="1">_FV(ED269,"Beta")</f>
        <v>1.7172000000000001</v>
      </c>
      <c r="BV269" s="71" cm="1">
        <f t="array" aca="1" ref="BV269" ca="1">_FV(ED269,"Variação (%)",TRUE)</f>
        <v>9.9010000000000001E-3</v>
      </c>
      <c r="BX269" s="17" cm="1">
        <f t="array" aca="1" ref="BX269" ca="1">_FV(ED269,"Baixo")</f>
        <v>0.99</v>
      </c>
      <c r="BY269" s="17" cm="1">
        <f t="array" aca="1" ref="BY269" ca="1">_FV(ED269,"Alto")</f>
        <v>1.02</v>
      </c>
      <c r="BZ269" s="24"/>
      <c r="CA269" s="63" t="e">
        <f ca="1">SQRT(22.5*(BP269/VLOOKUP(BQ269,Fundamentus!A:U,3,FALSE))*(BP269/VLOOKUP(BQ269,Fundamentus!A:U,4,FALSE)))</f>
        <v>#NUM!</v>
      </c>
      <c r="CC269" s="62">
        <f t="shared" ca="1" si="308"/>
        <v>-3.7735849056603807E-2</v>
      </c>
      <c r="CD269" s="8"/>
      <c r="CE269" s="61">
        <f t="shared" si="309"/>
        <v>1.01</v>
      </c>
      <c r="CF269" s="61">
        <f t="shared" si="310"/>
        <v>2.38</v>
      </c>
      <c r="CG269" s="61">
        <f t="shared" si="311"/>
        <v>1.4224626865671648</v>
      </c>
      <c r="CH269" s="14"/>
      <c r="CI269" s="35">
        <f t="shared" si="285"/>
        <v>0.91977089698934533</v>
      </c>
      <c r="CJ269" s="15">
        <f t="shared" si="312"/>
        <v>1.0049999999999955</v>
      </c>
      <c r="CK269" s="35">
        <f t="shared" si="286"/>
        <v>1.0902291030106457</v>
      </c>
      <c r="CM269" s="14"/>
      <c r="CN269" s="17">
        <f t="shared" si="287"/>
        <v>-0.78333333333333344</v>
      </c>
      <c r="CO269" s="17">
        <f t="shared" si="288"/>
        <v>0.11333333333333329</v>
      </c>
      <c r="CP269" s="17">
        <f t="shared" si="289"/>
        <v>0.58666666666666645</v>
      </c>
      <c r="CQ269" s="38">
        <f t="shared" si="313"/>
        <v>1.4833333333333332</v>
      </c>
      <c r="CR269" s="17">
        <f t="shared" si="290"/>
        <v>1.9566666666666663</v>
      </c>
      <c r="CS269" s="17">
        <f t="shared" si="291"/>
        <v>2.8533333333333331</v>
      </c>
      <c r="CT269" s="17">
        <f t="shared" si="292"/>
        <v>3.3266666666666662</v>
      </c>
      <c r="CU269" s="2" cm="1">
        <f t="array" aca="1" ref="CU269" ca="1">MAX(_xlfn._xlws.FILTER(CN269:CT269,CN269:CT269&lt;BP269))</f>
        <v>0.58666666666666645</v>
      </c>
      <c r="CV269" s="2" cm="1">
        <f t="array" aca="1" ref="CV269" ca="1">MIN(_xlfn._xlws.FILTER($CN269:$CT269,$CN269:$CT269&gt;BP269))</f>
        <v>1.4833333333333332</v>
      </c>
      <c r="CW269" s="16">
        <f t="shared" ca="1" si="293"/>
        <v>1.5284090909090917</v>
      </c>
      <c r="CX269" s="20">
        <f t="shared" ca="1" si="294"/>
        <v>-0.76420454545454586</v>
      </c>
      <c r="CY269" s="20">
        <f t="shared" ca="1" si="295"/>
        <v>-0.50946969696969724</v>
      </c>
      <c r="CZ269" s="20">
        <f t="shared" ca="1" si="296"/>
        <v>-0.30568181818181833</v>
      </c>
      <c r="DA269" s="20">
        <f t="shared" ca="1" si="297"/>
        <v>-0.1698232323232324</v>
      </c>
      <c r="DB269" s="20">
        <f t="shared" ca="1" si="315"/>
        <v>-8.9906417112299519E-2</v>
      </c>
      <c r="DC269" s="20">
        <f t="shared" ca="1" si="316"/>
        <v>-4.6315426997245203E-2</v>
      </c>
      <c r="DD269" s="20">
        <f t="shared" ca="1" si="317"/>
        <v>-2.3513986013986025E-2</v>
      </c>
      <c r="DE269" s="21">
        <f t="shared" ca="1" si="318"/>
        <v>2.3513986013986025E-2</v>
      </c>
      <c r="DF269" s="21">
        <f t="shared" ca="1" si="319"/>
        <v>4.6315426997245203E-2</v>
      </c>
      <c r="DG269" s="21">
        <f t="shared" ca="1" si="320"/>
        <v>8.9906417112299519E-2</v>
      </c>
      <c r="DH269" s="21">
        <f t="shared" ca="1" si="298"/>
        <v>0.1698232323232324</v>
      </c>
      <c r="DI269" s="21">
        <f t="shared" ca="1" si="299"/>
        <v>0.30568181818181833</v>
      </c>
      <c r="DJ269" s="21">
        <f t="shared" ca="1" si="300"/>
        <v>0.50946969696969724</v>
      </c>
      <c r="DK269" s="21">
        <f t="shared" ca="1" si="301"/>
        <v>0.76420454545454586</v>
      </c>
      <c r="DM269" s="16" cm="1">
        <f t="array" aca="1" ref="DM269" ca="1">MAX(_xlfn._xlws.FILTER(CX269:DK269,CX269:DK269&lt;BV269))</f>
        <v>-2.3513986013986025E-2</v>
      </c>
      <c r="DN269" s="16" cm="1">
        <f t="array" aca="1" ref="DN269" ca="1">MIN(_xlfn._xlws.FILTER(CX269:DK269,CX269:DK269&gt;BV269))</f>
        <v>2.3513986013986025E-2</v>
      </c>
      <c r="DO269" s="2" cm="1">
        <f t="array" aca="1" ref="DO269" ca="1">_FV(ED269,"Fechamento anterior",TRUE)</f>
        <v>1.01</v>
      </c>
      <c r="DP269" s="28">
        <f t="shared" ca="1" si="302"/>
        <v>0.71053406455887369</v>
      </c>
      <c r="DQ269" s="15">
        <f t="shared" ca="1" si="283"/>
        <v>0.98625087412587409</v>
      </c>
      <c r="DR269" s="15">
        <f t="shared" ca="1" si="284"/>
        <v>1.0337491258741258</v>
      </c>
      <c r="DS269" s="9"/>
      <c r="DT269" s="9"/>
      <c r="DU269" s="9"/>
      <c r="DV269" s="89">
        <v>4.702797202797205E-2</v>
      </c>
      <c r="DW269" s="89">
        <f t="shared" ca="1" si="303"/>
        <v>4.702797202797205E-2</v>
      </c>
      <c r="DX269" s="72">
        <f t="shared" ca="1" si="304"/>
        <v>0.17599622042402799</v>
      </c>
      <c r="DY269" s="37"/>
      <c r="DZ269" s="35">
        <f t="shared" si="314"/>
        <v>4.2614551505325067E-2</v>
      </c>
      <c r="EA269" s="56"/>
      <c r="EB269" s="56"/>
      <c r="ED269" s="5" t="e" vm="271">
        <v>#VALUE!</v>
      </c>
      <c r="EF269" s="10" cm="1">
        <f t="array" aca="1" ref="EF269" ca="1">_FV(ED269,"Ações em circulação",TRUE)</f>
        <v>26710360</v>
      </c>
      <c r="EG269" s="18">
        <f>VLOOKUP(BQ269,Fundamentus!A:U,5,FALSE)</f>
        <v>8.5000000000000006E-2</v>
      </c>
      <c r="EH269" s="2">
        <f t="shared" ca="1" si="305"/>
        <v>320524319.99999994</v>
      </c>
      <c r="EI269" s="17">
        <v>-137034830.94400001</v>
      </c>
      <c r="EJ269" s="17">
        <f t="shared" ca="1" si="306"/>
        <v>-131863705.24799997</v>
      </c>
      <c r="EK269" s="2"/>
      <c r="EL269" s="16">
        <f t="shared" ca="1" si="282"/>
        <v>-3.7735849056604098E-2</v>
      </c>
      <c r="EM269" s="32" t="str">
        <f>IF(VLOOKUP(BQ269,Fundamentus!A:U,3,FALSE)&lt;15,"Bom",IF(VLOOKUP(BQ269,Fundamentus!A:U,3,FALSE)&gt;15,"Ruim","n/a"))</f>
        <v>Bom</v>
      </c>
      <c r="EN269" s="28" t="str">
        <f>IF(VLOOKUP(BQ269,Fundamentus!A:U,4,FALSE)&lt;1,"Baixo",IF(VLOOKUP(BQ269,Fundamentus!A:U,4,FALSE)&lt;1.5,"Moderado",IF(VLOOKUP(BQ269,Fundamentus!A:U,4,FALSE)&gt;1.5,"Alto","n/a")))</f>
        <v>Baixo</v>
      </c>
      <c r="EO269" s="17" t="str">
        <f>IF(VLOOKUP(BQ269,Fundamentus!A:U,8,FALSE)&lt;0,"Risco elevado",IF(VLOOKUP(BQ269,Fundamentus!A:U,8,FALSE)&lt;1,"Saudável",IF(VLOOKUP(BQ269,Fundamentus!A:U,8,FALSE)&lt;3,"Estável",IF(VLOOKUP(BQ269,Fundamentus!A:U,8,FALSE)&gt;3,"Alerta","n/a"))))</f>
        <v>Risco elevado</v>
      </c>
      <c r="EP269" s="28" t="str">
        <f t="shared" si="307"/>
        <v>Ruim</v>
      </c>
      <c r="EQ269" s="17" t="str">
        <f>IF(VLOOKUP(BQ269,Fundamentus!A:U,12,FALSE)&lt;2,"Subvalorizada",IF(VLOOKUP(BQ269,Fundamentus!A:U,12,FALSE)&lt;6,"Muita barata",IF(VLOOKUP(BQ269,Fundamentus!A:U,12,FALSE)&lt;6,"Barata",IF(VLOOKUP(BQ269,Fundamentus!A:U,12,FALSE)&lt;8,"Atrativa",IF(VLOOKUP(BQ269,Fundamentus!A:U,12,FALSE)&gt;8,"Supervalorizada","n/a")))))</f>
        <v>Subvalorizada</v>
      </c>
      <c r="ER269" s="2"/>
      <c r="ES269" s="17" t="str">
        <f>IF(VLOOKUP(BQ269,Fundamentus!A:U,17,FALSE)&lt;0.1,"Fraco retorno",IF(VLOOKUP(BQ269,Fundamentus!A:U,17,FALSE)&gt;0.1,"Bom retorno","n/a"))</f>
        <v>Fraco retorno</v>
      </c>
      <c r="ET269" s="17" t="str">
        <f>IF(VLOOKUP(BQ269,Fundamentus!A:U,16,FALSE)&lt;0.1,"Ineficiente",IF(VLOOKUP(BQ269,Fundamentus!A:U,16,FALSE)&gt;0.1,"Eficiente","n/a"))</f>
        <v>Ineficiente</v>
      </c>
      <c r="EU269" s="33" t="str">
        <f>IF(VLOOKUP(BQ269,Fundamentus!A:U,16,FALSE)&lt;0.1,"Oper. Ineficiente",IF(VLOOKUP(BQ269,Fundamentus!A:U,16,FALSE)&gt;0.1,"Oper.Eficiente","n/a"))</f>
        <v>Oper. Ineficiente</v>
      </c>
      <c r="EV269" s="34">
        <f>VLOOKUP(BQ269,Fundamentus!A:U,14,FALSE)</f>
        <v>-0.41139999999999999</v>
      </c>
      <c r="EW269" s="17" t="str">
        <f>IF(VLOOKUP(BQ269,Fundamentus!A:U,21,FALSE)&lt;0,"Negativo",IF(VLOOKUP(BQ269,Fundamentus!A:U,21,FALSE)&lt;0.05,"Fraco",IF(VLOOKUP(BQ269,Fundamentus!A:U,21,FALSE)&lt;0.1,"Bom",IF(VLOOKUP(BQ269,Fundamentus!A:U,21,FALSE)&gt;0.1,"Muito bom","n/a"))))</f>
        <v>Negativo</v>
      </c>
      <c r="EY269" s="29" t="str">
        <f>IF(VLOOKUP(BQ269,Fundamentus!A:U,15,FALSE)&gt;1,"Bom",IF(VLOOKUP(BQ269,Fundamentus!A:U,15,FALSE)&lt;1,"Ruim","n/a"))</f>
        <v>Ruim</v>
      </c>
      <c r="EZ269" s="17" t="str">
        <f>IF(VLOOKUP(BQ269,Fundamentus!A:U,20,FALSE)&lt;0.5,"Baixa",IF(VLOOKUP(BQ269,Fundamentus!A:U,20,FALSE)&lt;1,"Moderada",IF(VLOOKUP(BQ269,Fundamentus!A:U,20,FALSE)&lt;2,"Alerta",IF(VLOOKUP(BQ269,Fundamentus!A:U,20,FALSE)&gt;2,"Alta","n/a"))))</f>
        <v>Alta</v>
      </c>
    </row>
    <row r="270" spans="1:156" s="2" customFormat="1" ht="11.25" hidden="1" x14ac:dyDescent="0.2">
      <c r="A270" s="4">
        <v>5.59</v>
      </c>
      <c r="B270" s="4">
        <v>5.59</v>
      </c>
      <c r="C270" s="4">
        <v>5.58</v>
      </c>
      <c r="D270" s="4">
        <v>5.56</v>
      </c>
      <c r="E270" s="4">
        <v>5.6</v>
      </c>
      <c r="F270" s="4">
        <v>5.64</v>
      </c>
      <c r="G270" s="4">
        <v>5.64</v>
      </c>
      <c r="H270" s="4">
        <v>5.64</v>
      </c>
      <c r="I270" s="4">
        <v>5.63</v>
      </c>
      <c r="J270" s="4">
        <v>5.68</v>
      </c>
      <c r="K270" s="4">
        <v>5.73</v>
      </c>
      <c r="L270" s="4">
        <v>5.75</v>
      </c>
      <c r="M270" s="4">
        <v>5.76</v>
      </c>
      <c r="N270" s="4">
        <v>5.78</v>
      </c>
      <c r="O270" s="4">
        <v>5.79</v>
      </c>
      <c r="P270" s="4">
        <v>5.82</v>
      </c>
      <c r="Q270" s="4">
        <v>5.83</v>
      </c>
      <c r="R270" s="4">
        <v>5.83</v>
      </c>
      <c r="S270" s="4">
        <v>5.83</v>
      </c>
      <c r="T270" s="4">
        <v>5.83</v>
      </c>
      <c r="U270" s="4">
        <v>5.83</v>
      </c>
      <c r="V270" s="4">
        <v>5.83</v>
      </c>
      <c r="W270" s="4">
        <v>5.83</v>
      </c>
      <c r="X270" s="4">
        <v>5.83</v>
      </c>
      <c r="Y270" s="4">
        <v>5.83</v>
      </c>
      <c r="Z270" s="4">
        <v>5.83</v>
      </c>
      <c r="AA270" s="4">
        <v>5.83</v>
      </c>
      <c r="AB270" s="4">
        <v>5.83</v>
      </c>
      <c r="AC270" s="4">
        <v>5.83</v>
      </c>
      <c r="AD270" s="4">
        <v>5.83</v>
      </c>
      <c r="AE270" s="4">
        <v>5.83</v>
      </c>
      <c r="AF270" s="4">
        <v>5.83</v>
      </c>
      <c r="AG270" s="4">
        <v>5.83</v>
      </c>
      <c r="AH270" s="4" t="e">
        <v>#N/A</v>
      </c>
      <c r="AI270" s="4">
        <v>5.83</v>
      </c>
      <c r="AJ270" s="4">
        <v>5.83</v>
      </c>
      <c r="AK270" s="4">
        <v>5.83</v>
      </c>
      <c r="AL270" s="4">
        <v>5.83</v>
      </c>
      <c r="AM270" s="4">
        <v>5.83</v>
      </c>
      <c r="AN270" s="4">
        <v>5.83</v>
      </c>
      <c r="AO270" s="4">
        <v>5.83</v>
      </c>
      <c r="AP270" s="4">
        <v>5.83</v>
      </c>
      <c r="AQ270" s="4">
        <v>5.83</v>
      </c>
      <c r="AR270" s="4">
        <v>5.83</v>
      </c>
      <c r="AS270" s="4">
        <v>5.83</v>
      </c>
      <c r="AT270" s="4">
        <v>5.83</v>
      </c>
      <c r="AU270" s="4">
        <v>5.8250000000000002</v>
      </c>
      <c r="AV270" s="4">
        <v>5.83</v>
      </c>
      <c r="AW270" s="4">
        <v>5.83</v>
      </c>
      <c r="AX270" s="4">
        <v>5.83</v>
      </c>
      <c r="AY270" s="12">
        <v>5.83</v>
      </c>
      <c r="AZ270" s="12">
        <v>5.83</v>
      </c>
      <c r="BA270" s="12">
        <v>5.83</v>
      </c>
      <c r="BB270" s="15" t="e" vm="272">
        <v>#VALUE!</v>
      </c>
      <c r="BC270" s="52" t="e" vm="272">
        <v>#VALUE!</v>
      </c>
      <c r="BD270" s="52" t="e" vm="272">
        <v>#VALUE!</v>
      </c>
      <c r="BE270" s="52" t="e" vm="272">
        <v>#VALUE!</v>
      </c>
      <c r="BF270" s="52" t="e" vm="272">
        <v>#VALUE!</v>
      </c>
      <c r="BG270" s="67" t="e" vm="272">
        <v>#VALUE!</v>
      </c>
      <c r="BH270" s="52" t="e" vm="272">
        <v>#VALUE!</v>
      </c>
      <c r="BI270" s="52" t="e" vm="272">
        <v>#VALUE!</v>
      </c>
      <c r="BJ270" s="52" t="e" vm="272">
        <v>#VALUE!</v>
      </c>
      <c r="BK270" s="52" t="e" vm="272">
        <v>#VALUE!</v>
      </c>
      <c r="BL270" s="52" t="e" vm="272">
        <v>#VALUE!</v>
      </c>
      <c r="BM270" s="52" t="e" vm="272">
        <v>#VALUE!</v>
      </c>
      <c r="BN270" s="52" t="e" vm="272">
        <v>#VALUE!</v>
      </c>
      <c r="BO270" s="52" t="e" vm="272">
        <v>#VALUE!</v>
      </c>
      <c r="BP270" s="52" t="e" cm="1" vm="272">
        <f t="array" ref="BP270">_FV(ED270,"Preço")</f>
        <v>#VALUE!</v>
      </c>
      <c r="BQ270" s="69" t="s">
        <v>266</v>
      </c>
      <c r="BR270" s="36" t="e" cm="1" vm="3">
        <f t="array" ref="BR270">_FV(ED270,"Média de volume",TRUE)</f>
        <v>#VALUE!</v>
      </c>
      <c r="BS270" s="36" t="e" vm="273">
        <v>#VALUE!</v>
      </c>
      <c r="BT270" s="36" t="e" cm="1" vm="273">
        <f t="array" ref="BT270">_FV(ED270,"Volume")</f>
        <v>#VALUE!</v>
      </c>
      <c r="BU270" s="24" t="e" cm="1" vm="137">
        <f t="array" ref="BU270">_FV(ED270,"Beta")</f>
        <v>#VALUE!</v>
      </c>
      <c r="BV270" s="71" t="e" cm="1" vm="274">
        <f t="array" ref="BV270">_FV(ED270,"Variação (%)",TRUE)</f>
        <v>#VALUE!</v>
      </c>
      <c r="BX270" s="17" t="e" cm="1" vm="275">
        <f t="array" ref="BX270">_FV(ED270,"Baixo")</f>
        <v>#VALUE!</v>
      </c>
      <c r="BY270" s="17" t="e" cm="1" vm="276">
        <f t="array" ref="BY270">_FV(ED270,"Alto")</f>
        <v>#VALUE!</v>
      </c>
      <c r="BZ270" s="24"/>
      <c r="CA270" s="63" t="e" vm="152">
        <f>SQRT(22.5*(BP270/VLOOKUP(BQ270,Fundamentus!A:U,3,FALSE))*(BP270/VLOOKUP(BQ270,Fundamentus!A:U,4,FALSE)))</f>
        <v>#VALUE!</v>
      </c>
      <c r="CC270" s="62" t="e" vm="152">
        <f t="shared" si="308"/>
        <v>#VALUE!</v>
      </c>
      <c r="CD270" s="8"/>
      <c r="CE270" s="61" t="e">
        <f t="shared" si="309"/>
        <v>#N/A</v>
      </c>
      <c r="CF270" s="61" t="e">
        <f t="shared" si="310"/>
        <v>#N/A</v>
      </c>
      <c r="CG270" s="61" t="e">
        <f t="shared" si="311"/>
        <v>#N/A</v>
      </c>
      <c r="CH270" s="14"/>
      <c r="CI270" s="35" t="e">
        <f t="shared" si="285"/>
        <v>#VALUE!</v>
      </c>
      <c r="CJ270" s="15" t="e">
        <f t="shared" si="312"/>
        <v>#VALUE!</v>
      </c>
      <c r="CK270" s="35" t="e">
        <f t="shared" si="286"/>
        <v>#VALUE!</v>
      </c>
      <c r="CM270" s="14"/>
      <c r="CN270" s="17" t="e">
        <f t="shared" si="287"/>
        <v>#N/A</v>
      </c>
      <c r="CO270" s="17" t="e">
        <f t="shared" si="288"/>
        <v>#N/A</v>
      </c>
      <c r="CP270" s="17" t="e">
        <f t="shared" si="289"/>
        <v>#N/A</v>
      </c>
      <c r="CQ270" s="38" t="e">
        <f t="shared" si="313"/>
        <v>#N/A</v>
      </c>
      <c r="CR270" s="17" t="e">
        <f t="shared" si="290"/>
        <v>#N/A</v>
      </c>
      <c r="CS270" s="17" t="e">
        <f t="shared" si="291"/>
        <v>#N/A</v>
      </c>
      <c r="CT270" s="17" t="e">
        <f t="shared" si="292"/>
        <v>#N/A</v>
      </c>
      <c r="CU270" s="2" t="e" cm="1">
        <f t="array" ref="CU270">MAX(_xlfn._xlws.FILTER(CN270:CT270,CN270:CT270&lt;BP270))</f>
        <v>#N/A</v>
      </c>
      <c r="CV270" s="2" t="e" cm="1">
        <f t="array" ref="CV270">MIN(_xlfn._xlws.FILTER($CN270:$CT270,$CN270:$CT270&gt;BP270))</f>
        <v>#N/A</v>
      </c>
      <c r="CW270" s="16" t="e">
        <f t="shared" si="293"/>
        <v>#N/A</v>
      </c>
      <c r="CX270" s="20" t="e">
        <f t="shared" si="294"/>
        <v>#N/A</v>
      </c>
      <c r="CY270" s="20" t="e">
        <f t="shared" si="295"/>
        <v>#N/A</v>
      </c>
      <c r="CZ270" s="20" t="e">
        <f t="shared" si="296"/>
        <v>#N/A</v>
      </c>
      <c r="DA270" s="20" t="e">
        <f t="shared" si="297"/>
        <v>#N/A</v>
      </c>
      <c r="DB270" s="20" t="e">
        <f t="shared" si="315"/>
        <v>#N/A</v>
      </c>
      <c r="DC270" s="20" t="e">
        <f t="shared" si="316"/>
        <v>#N/A</v>
      </c>
      <c r="DD270" s="20" t="e">
        <f t="shared" si="317"/>
        <v>#N/A</v>
      </c>
      <c r="DE270" s="21" t="e">
        <f t="shared" si="318"/>
        <v>#N/A</v>
      </c>
      <c r="DF270" s="21" t="e">
        <f t="shared" si="319"/>
        <v>#N/A</v>
      </c>
      <c r="DG270" s="21" t="e">
        <f t="shared" si="320"/>
        <v>#N/A</v>
      </c>
      <c r="DH270" s="21" t="e">
        <f t="shared" si="298"/>
        <v>#N/A</v>
      </c>
      <c r="DI270" s="21" t="e">
        <f t="shared" si="299"/>
        <v>#N/A</v>
      </c>
      <c r="DJ270" s="21" t="e">
        <f t="shared" si="300"/>
        <v>#N/A</v>
      </c>
      <c r="DK270" s="21" t="e">
        <f t="shared" si="301"/>
        <v>#N/A</v>
      </c>
      <c r="DM270" s="16" t="e" cm="1">
        <f t="array" ref="DM270">MAX(_xlfn._xlws.FILTER(CX270:DK270,CX270:DK270&lt;BV270))</f>
        <v>#N/A</v>
      </c>
      <c r="DN270" s="16" t="e" cm="1">
        <f t="array" ref="DN270">MIN(_xlfn._xlws.FILTER(CX270:DK270,CX270:DK270&gt;BV270))</f>
        <v>#N/A</v>
      </c>
      <c r="DO270" s="2" t="e" cm="1" vm="277">
        <f t="array" ref="DO270">_FV(ED270,"Fechamento anterior",TRUE)</f>
        <v>#VALUE!</v>
      </c>
      <c r="DP270" s="28" t="e" vm="152">
        <f t="shared" si="302"/>
        <v>#VALUE!</v>
      </c>
      <c r="DQ270" s="15" t="e" vm="152">
        <f t="shared" si="283"/>
        <v>#VALUE!</v>
      </c>
      <c r="DR270" s="15" t="e" vm="152">
        <f t="shared" si="284"/>
        <v>#VALUE!</v>
      </c>
      <c r="DS270" s="9"/>
      <c r="DT270" s="9"/>
      <c r="DU270" s="9"/>
      <c r="DV270" s="89" t="e">
        <v>#N/A</v>
      </c>
      <c r="DW270" s="89" t="e">
        <f t="shared" si="303"/>
        <v>#N/A</v>
      </c>
      <c r="DX270" s="72" t="e" vm="152">
        <f t="shared" si="304"/>
        <v>#VALUE!</v>
      </c>
      <c r="DY270" s="37"/>
      <c r="DZ270" s="35" t="e" vm="152">
        <f t="shared" si="314"/>
        <v>#VALUE!</v>
      </c>
      <c r="EA270" s="56"/>
      <c r="EB270" s="56"/>
      <c r="ED270" s="2" t="s">
        <v>266</v>
      </c>
      <c r="EF270" s="10" t="e" cm="1" vm="151">
        <f t="array" ref="EF270">_FV(ED270,"Ações em circulação",TRUE)</f>
        <v>#VALUE!</v>
      </c>
      <c r="EG270" s="18" t="e">
        <f>VLOOKUP(BQ270,Fundamentus!A:U,5,FALSE)</f>
        <v>#N/A</v>
      </c>
      <c r="EH270" s="2" t="e" vm="152">
        <f t="shared" si="305"/>
        <v>#VALUE!</v>
      </c>
      <c r="EI270" s="17" t="e" vm="152">
        <v>#VALUE!</v>
      </c>
      <c r="EJ270" s="17" t="e" vm="152">
        <f t="shared" si="306"/>
        <v>#VALUE!</v>
      </c>
      <c r="EL270" s="16" t="e" vm="152">
        <f t="shared" si="282"/>
        <v>#VALUE!</v>
      </c>
      <c r="EM270" s="32" t="e">
        <f>IF(VLOOKUP(BQ270,Fundamentus!A:U,3,FALSE)&lt;15,"Bom",IF(VLOOKUP(BQ270,Fundamentus!A:U,3,FALSE)&gt;15,"Ruim","n/a"))</f>
        <v>#N/A</v>
      </c>
      <c r="EN270" s="28" t="e">
        <f>IF(VLOOKUP(BQ270,Fundamentus!A:U,4,FALSE)&lt;1,"Baixo",IF(VLOOKUP(BQ270,Fundamentus!A:U,4,FALSE)&lt;1.5,"Moderado",IF(VLOOKUP(BQ270,Fundamentus!A:U,4,FALSE)&gt;1.5,"Alto","n/a")))</f>
        <v>#N/A</v>
      </c>
      <c r="EO270" s="17" t="e">
        <f>IF(VLOOKUP(BQ270,Fundamentus!A:U,8,FALSE)&lt;0,"Risco elevado",IF(VLOOKUP(BQ270,Fundamentus!A:U,8,FALSE)&lt;1,"Saudável",IF(VLOOKUP(BQ270,Fundamentus!A:U,8,FALSE)&lt;3,"Estável",IF(VLOOKUP(BQ270,Fundamentus!A:U,8,FALSE)&gt;3,"Alerta","n/a"))))</f>
        <v>#N/A</v>
      </c>
      <c r="EP270" s="28" t="e">
        <f t="shared" si="307"/>
        <v>#N/A</v>
      </c>
      <c r="EQ270" s="17" t="e">
        <f>IF(VLOOKUP(BQ270,Fundamentus!A:U,12,FALSE)&lt;2,"Subvalorizada",IF(VLOOKUP(BQ270,Fundamentus!A:U,12,FALSE)&lt;6,"Muita barata",IF(VLOOKUP(BQ270,Fundamentus!A:U,12,FALSE)&lt;6,"Barata",IF(VLOOKUP(BQ270,Fundamentus!A:U,12,FALSE)&lt;8,"Atrativa",IF(VLOOKUP(BQ270,Fundamentus!A:U,12,FALSE)&gt;8,"Supervalorizada","n/a")))))</f>
        <v>#N/A</v>
      </c>
      <c r="ES270" s="17" t="e">
        <f>IF(VLOOKUP(BQ270,Fundamentus!A:U,17,FALSE)&lt;0.1,"Fraco retorno",IF(VLOOKUP(BQ270,Fundamentus!A:U,17,FALSE)&gt;0.1,"Bom retorno","n/a"))</f>
        <v>#N/A</v>
      </c>
      <c r="ET270" s="17" t="e">
        <f>IF(VLOOKUP(BQ270,Fundamentus!A:U,16,FALSE)&lt;0.1,"Ineficiente",IF(VLOOKUP(BQ270,Fundamentus!A:U,16,FALSE)&gt;0.1,"Eficiente","n/a"))</f>
        <v>#N/A</v>
      </c>
      <c r="EU270" s="33" t="e">
        <f>IF(VLOOKUP(BQ270,Fundamentus!A:U,16,FALSE)&lt;0.1,"Oper. Ineficiente",IF(VLOOKUP(BQ270,Fundamentus!A:U,16,FALSE)&gt;0.1,"Oper.Eficiente","n/a"))</f>
        <v>#N/A</v>
      </c>
      <c r="EV270" s="34" t="e">
        <f>VLOOKUP(BQ270,Fundamentus!A:U,14,FALSE)</f>
        <v>#N/A</v>
      </c>
      <c r="EW270" s="17" t="e">
        <f>IF(VLOOKUP(BQ270,Fundamentus!A:U,21,FALSE)&lt;0,"Negativo",IF(VLOOKUP(BQ270,Fundamentus!A:U,21,FALSE)&lt;0.05,"Fraco",IF(VLOOKUP(BQ270,Fundamentus!A:U,21,FALSE)&lt;0.1,"Bom",IF(VLOOKUP(BQ270,Fundamentus!A:U,21,FALSE)&gt;0.1,"Muito bom","n/a"))))</f>
        <v>#N/A</v>
      </c>
      <c r="EY270" s="29" t="e">
        <f>IF(VLOOKUP(BQ270,Fundamentus!A:U,15,FALSE)&gt;1,"Bom",IF(VLOOKUP(BQ270,Fundamentus!A:U,15,FALSE)&lt;1,"Ruim","n/a"))</f>
        <v>#N/A</v>
      </c>
      <c r="EZ270" s="17" t="e">
        <f>IF(VLOOKUP(BQ270,Fundamentus!A:U,20,FALSE)&lt;0.5,"Baixa",IF(VLOOKUP(BQ270,Fundamentus!A:U,20,FALSE)&lt;1,"Moderada",IF(VLOOKUP(BQ270,Fundamentus!A:U,20,FALSE)&lt;2,"Alerta",IF(VLOOKUP(BQ270,Fundamentus!A:U,20,FALSE)&gt;2,"Alta","n/a"))))</f>
        <v>#N/A</v>
      </c>
    </row>
    <row r="271" spans="1:156" s="2" customFormat="1" ht="11.25" hidden="1" x14ac:dyDescent="0.2">
      <c r="A271" s="4">
        <v>12.17</v>
      </c>
      <c r="B271" s="4">
        <v>11.6</v>
      </c>
      <c r="C271" s="4">
        <v>11.59</v>
      </c>
      <c r="D271" s="4">
        <v>11.7</v>
      </c>
      <c r="E271" s="4">
        <v>11.41</v>
      </c>
      <c r="F271" s="4">
        <v>11.21</v>
      </c>
      <c r="G271" s="4">
        <v>11.08</v>
      </c>
      <c r="H271" s="4">
        <v>11.19</v>
      </c>
      <c r="I271" s="4">
        <v>11.3</v>
      </c>
      <c r="J271" s="4">
        <v>11.48</v>
      </c>
      <c r="K271" s="4">
        <v>11.64</v>
      </c>
      <c r="L271" s="4">
        <v>11.29</v>
      </c>
      <c r="M271" s="4">
        <v>11.22</v>
      </c>
      <c r="N271" s="4">
        <v>11.48</v>
      </c>
      <c r="O271" s="4">
        <v>11.69</v>
      </c>
      <c r="P271" s="4">
        <v>11.55</v>
      </c>
      <c r="Q271" s="4">
        <v>11.84</v>
      </c>
      <c r="R271" s="4">
        <v>11.77</v>
      </c>
      <c r="S271" s="4">
        <v>11.96</v>
      </c>
      <c r="T271" s="4">
        <v>11.75</v>
      </c>
      <c r="U271" s="4">
        <v>11.47</v>
      </c>
      <c r="V271" s="4">
        <v>11.37</v>
      </c>
      <c r="W271" s="4">
        <v>11.41</v>
      </c>
      <c r="X271" s="4">
        <v>11.44</v>
      </c>
      <c r="Y271" s="4">
        <v>11.41</v>
      </c>
      <c r="Z271" s="4">
        <v>11.42</v>
      </c>
      <c r="AA271" s="4">
        <v>11.48</v>
      </c>
      <c r="AB271" s="4">
        <v>11.68</v>
      </c>
      <c r="AC271" s="4">
        <v>11.29</v>
      </c>
      <c r="AD271" s="4">
        <v>11.36</v>
      </c>
      <c r="AE271" s="4">
        <v>11.4</v>
      </c>
      <c r="AF271" s="4">
        <v>11.49</v>
      </c>
      <c r="AG271" s="4">
        <v>11.3</v>
      </c>
      <c r="AH271" s="4">
        <v>10.88</v>
      </c>
      <c r="AI271" s="4">
        <v>11.08</v>
      </c>
      <c r="AJ271" s="4">
        <v>10.7</v>
      </c>
      <c r="AK271" s="4">
        <v>10.83</v>
      </c>
      <c r="AL271" s="4">
        <v>10.9</v>
      </c>
      <c r="AM271" s="4">
        <v>10.72</v>
      </c>
      <c r="AN271" s="4">
        <v>11.1</v>
      </c>
      <c r="AO271" s="4">
        <v>10.99</v>
      </c>
      <c r="AP271" s="4">
        <v>11.04</v>
      </c>
      <c r="AQ271" s="4">
        <v>10.91</v>
      </c>
      <c r="AR271" s="4">
        <v>10.94</v>
      </c>
      <c r="AS271" s="4">
        <v>11.08</v>
      </c>
      <c r="AT271" s="4">
        <v>11.35</v>
      </c>
      <c r="AU271" s="4">
        <v>11.515000000000001</v>
      </c>
      <c r="AV271" s="4">
        <v>11.34</v>
      </c>
      <c r="AW271" s="4">
        <v>11.4</v>
      </c>
      <c r="AX271" s="4">
        <v>11.3</v>
      </c>
      <c r="AY271" s="12">
        <v>11.44</v>
      </c>
      <c r="AZ271" s="12">
        <v>12</v>
      </c>
      <c r="BA271" s="12">
        <v>11.95</v>
      </c>
      <c r="BB271" s="15">
        <v>11.94</v>
      </c>
      <c r="BC271" s="52">
        <v>11.74</v>
      </c>
      <c r="BD271" s="52">
        <v>11.72</v>
      </c>
      <c r="BE271" s="52">
        <v>11.74</v>
      </c>
      <c r="BF271" s="52">
        <v>11.48</v>
      </c>
      <c r="BG271" s="67">
        <v>11.34</v>
      </c>
      <c r="BH271" s="52">
        <v>11.41</v>
      </c>
      <c r="BI271" s="52">
        <v>11.44</v>
      </c>
      <c r="BJ271" s="52">
        <v>11.62</v>
      </c>
      <c r="BK271" s="52">
        <v>11.3</v>
      </c>
      <c r="BL271" s="52">
        <v>11.17</v>
      </c>
      <c r="BM271" s="52">
        <v>11.05</v>
      </c>
      <c r="BN271" s="52">
        <v>11.12</v>
      </c>
      <c r="BO271" s="52">
        <v>11.19</v>
      </c>
      <c r="BP271" s="52" cm="1">
        <f t="array" aca="1" ref="BP271" ca="1">_FV(ED271,"Preço")</f>
        <v>11.19</v>
      </c>
      <c r="BQ271" s="69" t="s">
        <v>267</v>
      </c>
      <c r="BR271" s="36" cm="1">
        <f t="array" aca="1" ref="BR271" ca="1">_FV(ED271,"Média de volume",TRUE)</f>
        <v>2357510</v>
      </c>
      <c r="BS271" s="36">
        <v>62300</v>
      </c>
      <c r="BT271" s="36" cm="1">
        <f t="array" aca="1" ref="BT271" ca="1">_FV(ED271,"Volume")</f>
        <v>88500</v>
      </c>
      <c r="BU271" s="24" cm="1">
        <f t="array" aca="1" ref="BU271" ca="1">_FV(ED271,"Beta")</f>
        <v>0.71150000000000002</v>
      </c>
      <c r="BV271" s="71" cm="1">
        <f t="array" aca="1" ref="BV271" ca="1">_FV(ED271,"Variação (%)",TRUE)</f>
        <v>3.5870000000000003E-3</v>
      </c>
      <c r="BX271" s="17" cm="1">
        <f t="array" aca="1" ref="BX271" ca="1">_FV(ED271,"Baixo")</f>
        <v>11.12</v>
      </c>
      <c r="BY271" s="17" cm="1">
        <f t="array" aca="1" ref="BY271" ca="1">_FV(ED271,"Alto")</f>
        <v>11.28</v>
      </c>
      <c r="BZ271" s="24"/>
      <c r="CA271" s="63">
        <f ca="1">SQRT(22.5*(BP271/VLOOKUP(BQ271,Fundamentus!A:U,3,FALSE))*(BP271/VLOOKUP(BQ271,Fundamentus!A:U,4,FALSE)))</f>
        <v>16.036632336320135</v>
      </c>
      <c r="CC271" s="62">
        <f t="shared" ca="1" si="308"/>
        <v>0</v>
      </c>
      <c r="CD271" s="8"/>
      <c r="CE271" s="61">
        <f t="shared" si="309"/>
        <v>10.7</v>
      </c>
      <c r="CF271" s="61">
        <f t="shared" si="310"/>
        <v>12.17</v>
      </c>
      <c r="CG271" s="61">
        <f t="shared" si="311"/>
        <v>11.390522388059706</v>
      </c>
      <c r="CH271" s="14"/>
      <c r="CI271" s="35">
        <f t="shared" si="285"/>
        <v>10.999784988575485</v>
      </c>
      <c r="CJ271" s="15">
        <f t="shared" si="312"/>
        <v>11.164999999999992</v>
      </c>
      <c r="CK271" s="35">
        <f t="shared" si="286"/>
        <v>11.330215011424499</v>
      </c>
      <c r="CM271" s="14"/>
      <c r="CN271" s="17">
        <f t="shared" si="287"/>
        <v>9.0666666666666629</v>
      </c>
      <c r="CO271" s="17">
        <f t="shared" si="288"/>
        <v>9.8833333333333311</v>
      </c>
      <c r="CP271" s="17">
        <f t="shared" si="289"/>
        <v>10.536666666666664</v>
      </c>
      <c r="CQ271" s="38">
        <f t="shared" si="313"/>
        <v>11.353333333333332</v>
      </c>
      <c r="CR271" s="17">
        <f t="shared" si="290"/>
        <v>12.006666666666664</v>
      </c>
      <c r="CS271" s="17">
        <f t="shared" si="291"/>
        <v>12.823333333333332</v>
      </c>
      <c r="CT271" s="17">
        <f t="shared" si="292"/>
        <v>13.476666666666665</v>
      </c>
      <c r="CU271" s="2" cm="1">
        <f t="array" aca="1" ref="CU271" ca="1">MAX(_xlfn._xlws.FILTER(CN271:CT271,CN271:CT271&lt;BP271))</f>
        <v>10.536666666666664</v>
      </c>
      <c r="CV271" s="2" cm="1">
        <f t="array" aca="1" ref="CV271" ca="1">MIN(_xlfn._xlws.FILTER($CN271:$CT271,$CN271:$CT271&gt;BP271))</f>
        <v>11.353333333333332</v>
      </c>
      <c r="CW271" s="16">
        <f t="shared" ca="1" si="293"/>
        <v>7.7507118000632813E-2</v>
      </c>
      <c r="CX271" s="20">
        <f t="shared" ca="1" si="294"/>
        <v>-3.8753559000316407E-2</v>
      </c>
      <c r="CY271" s="20">
        <f t="shared" ca="1" si="295"/>
        <v>-2.5835706000210939E-2</v>
      </c>
      <c r="CZ271" s="20">
        <f t="shared" ca="1" si="296"/>
        <v>-1.5501423600126563E-2</v>
      </c>
      <c r="DA271" s="20">
        <f t="shared" ca="1" si="297"/>
        <v>-8.611902000070313E-3</v>
      </c>
      <c r="DB271" s="20">
        <f t="shared" ca="1" si="315"/>
        <v>-4.5592422353313419E-3</v>
      </c>
      <c r="DC271" s="20">
        <f t="shared" ca="1" si="316"/>
        <v>-2.3487005454737218E-3</v>
      </c>
      <c r="DD271" s="20">
        <f t="shared" ca="1" si="317"/>
        <v>-1.1924172000097356E-3</v>
      </c>
      <c r="DE271" s="21">
        <f t="shared" ca="1" si="318"/>
        <v>1.1924172000097356E-3</v>
      </c>
      <c r="DF271" s="21">
        <f t="shared" ca="1" si="319"/>
        <v>2.3487005454737218E-3</v>
      </c>
      <c r="DG271" s="21">
        <f t="shared" ca="1" si="320"/>
        <v>4.5592422353313419E-3</v>
      </c>
      <c r="DH271" s="21">
        <f t="shared" ca="1" si="298"/>
        <v>8.611902000070313E-3</v>
      </c>
      <c r="DI271" s="21">
        <f t="shared" ca="1" si="299"/>
        <v>1.5501423600126563E-2</v>
      </c>
      <c r="DJ271" s="21">
        <f t="shared" ca="1" si="300"/>
        <v>2.5835706000210939E-2</v>
      </c>
      <c r="DK271" s="21">
        <f t="shared" ca="1" si="301"/>
        <v>3.8753559000316407E-2</v>
      </c>
      <c r="DM271" s="16" cm="1">
        <f t="array" aca="1" ref="DM271" ca="1">MAX(_xlfn._xlws.FILTER(CX271:DK271,CX271:DK271&lt;BV271))</f>
        <v>2.3487005454737218E-3</v>
      </c>
      <c r="DN271" s="16" cm="1">
        <f t="array" aca="1" ref="DN271" ca="1">MIN(_xlfn._xlws.FILTER(CX271:DK271,CX271:DK271&gt;BV271))</f>
        <v>4.5592422353313419E-3</v>
      </c>
      <c r="DO271" s="2" cm="1">
        <f t="array" aca="1" ref="DO271" ca="1">_FV(ED271,"Fechamento anterior",TRUE)</f>
        <v>11.15</v>
      </c>
      <c r="DP271" s="28">
        <f t="shared" ca="1" si="302"/>
        <v>0.56038002196390768</v>
      </c>
      <c r="DQ271" s="15">
        <f t="shared" ca="1" si="283"/>
        <v>11.176188011082033</v>
      </c>
      <c r="DR271" s="15">
        <f t="shared" ca="1" si="284"/>
        <v>11.200835550923944</v>
      </c>
      <c r="DS271" s="9"/>
      <c r="DT271" s="9"/>
      <c r="DU271" s="9"/>
      <c r="DV271" s="89">
        <v>1.1562833454639861E-3</v>
      </c>
      <c r="DW271" s="89">
        <f t="shared" ca="1" si="303"/>
        <v>2.2105416898576201E-3</v>
      </c>
      <c r="DX271" s="72">
        <f t="shared" ca="1" si="304"/>
        <v>0.15131796913884452</v>
      </c>
      <c r="DY271" s="37"/>
      <c r="DZ271" s="35">
        <f t="shared" si="314"/>
        <v>8.2607505712253629E-2</v>
      </c>
      <c r="EA271" s="56"/>
      <c r="EB271" s="56"/>
      <c r="ED271" s="2" t="e" vm="278">
        <v>#VALUE!</v>
      </c>
      <c r="EF271" s="10" cm="1">
        <f t="array" aca="1" ref="EF271" ca="1">_FV(ED271,"Ações em circulação",TRUE)</f>
        <v>344498900</v>
      </c>
      <c r="EG271" s="18">
        <f>VLOOKUP(BQ271,Fundamentus!A:U,5,FALSE)</f>
        <v>2.9239999999999999</v>
      </c>
      <c r="EH271" s="2">
        <f t="shared" ca="1" si="305"/>
        <v>1318379853.2831738</v>
      </c>
      <c r="EI271" s="17">
        <v>559652247.7187072</v>
      </c>
      <c r="EJ271" s="17">
        <f t="shared" ca="1" si="306"/>
        <v>559652247.7187072</v>
      </c>
      <c r="EL271" s="16">
        <f t="shared" ca="1" si="282"/>
        <v>0</v>
      </c>
      <c r="EM271" s="32" t="str">
        <f>IF(VLOOKUP(BQ271,Fundamentus!A:U,3,FALSE)&lt;15,"Bom",IF(VLOOKUP(BQ271,Fundamentus!A:U,3,FALSE)&gt;15,"Ruim","n/a"))</f>
        <v>Bom</v>
      </c>
      <c r="EN271" s="28" t="str">
        <f>IF(VLOOKUP(BQ271,Fundamentus!A:U,4,FALSE)&lt;1,"Baixo",IF(VLOOKUP(BQ271,Fundamentus!A:U,4,FALSE)&lt;1.5,"Moderado",IF(VLOOKUP(BQ271,Fundamentus!A:U,4,FALSE)&gt;1.5,"Alto","n/a")))</f>
        <v>Alto</v>
      </c>
      <c r="EO271" s="17" t="str">
        <f>IF(VLOOKUP(BQ271,Fundamentus!A:U,8,FALSE)&lt;0,"Risco elevado",IF(VLOOKUP(BQ271,Fundamentus!A:U,8,FALSE)&lt;1,"Saudável",IF(VLOOKUP(BQ271,Fundamentus!A:U,8,FALSE)&lt;3,"Estável",IF(VLOOKUP(BQ271,Fundamentus!A:U,8,FALSE)&gt;3,"Alerta","n/a"))))</f>
        <v>Alerta</v>
      </c>
      <c r="EP271" s="28" t="str">
        <f t="shared" si="307"/>
        <v>Bom</v>
      </c>
      <c r="EQ271" s="17" t="str">
        <f>IF(VLOOKUP(BQ271,Fundamentus!A:U,12,FALSE)&lt;2,"Subvalorizada",IF(VLOOKUP(BQ271,Fundamentus!A:U,12,FALSE)&lt;6,"Muita barata",IF(VLOOKUP(BQ271,Fundamentus!A:U,12,FALSE)&lt;6,"Barata",IF(VLOOKUP(BQ271,Fundamentus!A:U,12,FALSE)&lt;8,"Atrativa",IF(VLOOKUP(BQ271,Fundamentus!A:U,12,FALSE)&gt;8,"Supervalorizada","n/a")))))</f>
        <v>Supervalorizada</v>
      </c>
      <c r="ES271" s="17" t="str">
        <f>IF(VLOOKUP(BQ271,Fundamentus!A:U,17,FALSE)&lt;0.1,"Fraco retorno",IF(VLOOKUP(BQ271,Fundamentus!A:U,17,FALSE)&gt;0.1,"Bom retorno","n/a"))</f>
        <v>Bom retorno</v>
      </c>
      <c r="ET271" s="17" t="str">
        <f>IF(VLOOKUP(BQ271,Fundamentus!A:U,16,FALSE)&lt;0.1,"Ineficiente",IF(VLOOKUP(BQ271,Fundamentus!A:U,16,FALSE)&gt;0.1,"Eficiente","n/a"))</f>
        <v>Eficiente</v>
      </c>
      <c r="EU271" s="33" t="str">
        <f>IF(VLOOKUP(BQ271,Fundamentus!A:U,16,FALSE)&lt;0.1,"Oper. Ineficiente",IF(VLOOKUP(BQ271,Fundamentus!A:U,16,FALSE)&gt;0.1,"Oper.Eficiente","n/a"))</f>
        <v>Oper.Eficiente</v>
      </c>
      <c r="EV271" s="34">
        <f>VLOOKUP(BQ271,Fundamentus!A:U,14,FALSE)</f>
        <v>0.42449999999999999</v>
      </c>
      <c r="EW271" s="17" t="str">
        <f>IF(VLOOKUP(BQ271,Fundamentus!A:U,21,FALSE)&lt;0,"Negativo",IF(VLOOKUP(BQ271,Fundamentus!A:U,21,FALSE)&lt;0.05,"Fraco",IF(VLOOKUP(BQ271,Fundamentus!A:U,21,FALSE)&lt;0.1,"Bom",IF(VLOOKUP(BQ271,Fundamentus!A:U,21,FALSE)&gt;0.1,"Muito bom","n/a"))))</f>
        <v>Fraco</v>
      </c>
      <c r="EY271" s="29" t="str">
        <f>IF(VLOOKUP(BQ271,Fundamentus!A:U,15,FALSE)&gt;1,"Bom",IF(VLOOKUP(BQ271,Fundamentus!A:U,15,FALSE)&lt;1,"Ruim","n/a"))</f>
        <v>Bom</v>
      </c>
      <c r="EZ271" s="17" t="str">
        <f>IF(VLOOKUP(BQ271,Fundamentus!A:U,20,FALSE)&lt;0.5,"Baixa",IF(VLOOKUP(BQ271,Fundamentus!A:U,20,FALSE)&lt;1,"Moderada",IF(VLOOKUP(BQ271,Fundamentus!A:U,20,FALSE)&lt;2,"Alerta",IF(VLOOKUP(BQ271,Fundamentus!A:U,20,FALSE)&gt;2,"Alta","n/a"))))</f>
        <v>Alerta</v>
      </c>
    </row>
    <row r="273" spans="1:143" ht="11.25" customHeight="1" x14ac:dyDescent="0.25">
      <c r="EL273" s="16">
        <v>5.1817927712916045E-3</v>
      </c>
    </row>
    <row r="274" spans="1:143" ht="11.25" customHeight="1" x14ac:dyDescent="0.25">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c r="AA274" s="58"/>
      <c r="AB274" s="58"/>
      <c r="AC274" s="58"/>
      <c r="AD274" s="58"/>
      <c r="AE274" s="58"/>
      <c r="AF274" s="58"/>
      <c r="AG274" s="58"/>
      <c r="AH274" s="58"/>
      <c r="AI274" s="58"/>
      <c r="AJ274" s="58"/>
      <c r="AK274" s="58"/>
      <c r="AL274" s="58"/>
      <c r="AM274" s="58"/>
      <c r="AN274" s="58"/>
      <c r="AO274" s="58"/>
      <c r="AP274" s="58"/>
      <c r="AQ274" s="58"/>
      <c r="AR274" s="58"/>
      <c r="AS274" s="58"/>
      <c r="AT274" s="57"/>
      <c r="AU274" s="57"/>
      <c r="AV274" s="57"/>
      <c r="AW274" s="57"/>
      <c r="AX274" s="57"/>
      <c r="AY274" s="57"/>
      <c r="AZ274" s="57"/>
      <c r="BA274" s="57"/>
      <c r="BB274" s="57"/>
      <c r="BC274" s="57"/>
      <c r="BD274" s="57"/>
      <c r="BE274" s="57"/>
      <c r="BF274" s="57"/>
      <c r="BG274" s="57"/>
      <c r="BH274" s="57"/>
      <c r="BI274" s="57"/>
      <c r="BJ274" s="57"/>
      <c r="BK274" s="57"/>
      <c r="BL274" s="57"/>
      <c r="BM274" s="57"/>
      <c r="BN274" s="57"/>
      <c r="BO274" s="57"/>
      <c r="BV274" s="1"/>
      <c r="CY274" s="1" t="s">
        <v>275</v>
      </c>
      <c r="CZ274" s="1" t="s">
        <v>269</v>
      </c>
      <c r="DA274" s="1" t="s">
        <v>271</v>
      </c>
      <c r="DB274" s="1" t="s">
        <v>270</v>
      </c>
      <c r="DC274" s="1" t="s">
        <v>279</v>
      </c>
      <c r="DD274" s="1" t="s">
        <v>280</v>
      </c>
      <c r="DE274" s="1" t="s">
        <v>281</v>
      </c>
      <c r="DF274" s="1" t="s">
        <v>283</v>
      </c>
      <c r="DW274" s="84"/>
      <c r="EL274" s="16">
        <v>1.3079483012150783E-2</v>
      </c>
    </row>
    <row r="275" spans="1:143" x14ac:dyDescent="0.25">
      <c r="BD275" s="37"/>
      <c r="BV275" s="1"/>
      <c r="CP275" s="16"/>
      <c r="EL275" s="16">
        <v>7.6645501222152301E-3</v>
      </c>
    </row>
    <row r="276" spans="1:143" x14ac:dyDescent="0.25">
      <c r="BQ276" s="78"/>
      <c r="BV276" s="1"/>
      <c r="BY276" s="80"/>
      <c r="CA276" s="59"/>
      <c r="CO276" s="65"/>
      <c r="EL276" s="16">
        <v>6.1350601295095952E-3</v>
      </c>
    </row>
    <row r="277" spans="1:143" x14ac:dyDescent="0.25">
      <c r="BV277" s="1"/>
      <c r="CN277" s="19"/>
      <c r="CO277" s="19"/>
    </row>
    <row r="278" spans="1:143" x14ac:dyDescent="0.25">
      <c r="BV278" s="1"/>
      <c r="EM278" s="7"/>
    </row>
    <row r="279" spans="1:143" x14ac:dyDescent="0.25">
      <c r="BV279" s="1"/>
      <c r="BY279" s="77"/>
    </row>
  </sheetData>
  <autoFilter ref="A5:FL271" xr:uid="{00000000-0001-0000-0000-000000000000}">
    <filterColumn colId="68">
      <filters>
        <filter val="MRVE3"/>
      </filters>
    </filterColumn>
  </autoFilter>
  <sortState xmlns:xlrd2="http://schemas.microsoft.com/office/spreadsheetml/2017/richdata2" ref="A19:FB186">
    <sortCondition descending="1" ref="CC19:CC186"/>
  </sortState>
  <conditionalFormatting sqref="AY6:AZ271">
    <cfRule type="expression" dxfId="53" priority="177">
      <formula>AY6&gt;AX6</formula>
    </cfRule>
  </conditionalFormatting>
  <conditionalFormatting sqref="BA6:BO271">
    <cfRule type="expression" dxfId="52" priority="111">
      <formula>BA6=AZ6</formula>
    </cfRule>
    <cfRule type="expression" dxfId="51" priority="112">
      <formula>BA6&gt;=AZ6</formula>
    </cfRule>
  </conditionalFormatting>
  <conditionalFormatting sqref="BD275">
    <cfRule type="expression" dxfId="50" priority="31">
      <formula>BD275=BC275</formula>
    </cfRule>
    <cfRule type="expression" dxfId="49" priority="32">
      <formula>BD275&gt;=BC275</formula>
    </cfRule>
  </conditionalFormatting>
  <conditionalFormatting sqref="BP6:BP271">
    <cfRule type="expression" dxfId="48" priority="179">
      <formula>BP6&gt;=BJ6</formula>
    </cfRule>
  </conditionalFormatting>
  <conditionalFormatting sqref="BV2">
    <cfRule type="cellIs" dxfId="47" priority="1" operator="greaterThan">
      <formula>0</formula>
    </cfRule>
  </conditionalFormatting>
  <conditionalFormatting sqref="BV4">
    <cfRule type="cellIs" dxfId="46" priority="3" operator="greaterThan">
      <formula>0</formula>
    </cfRule>
  </conditionalFormatting>
  <conditionalFormatting sqref="BV6:BV271">
    <cfRule type="cellIs" dxfId="45" priority="19" operator="greaterThan">
      <formula>0</formula>
    </cfRule>
  </conditionalFormatting>
  <conditionalFormatting sqref="CC3 BP272:BP1048576 CA272:CA1048576 CC6:CD1048576">
    <cfRule type="cellIs" dxfId="44" priority="114" operator="greaterThan">
      <formula>0.009</formula>
    </cfRule>
  </conditionalFormatting>
  <conditionalFormatting sqref="CC3 CC6:CC1048576">
    <cfRule type="cellIs" dxfId="43" priority="110" operator="between">
      <formula>0</formula>
      <formula>0.009</formula>
    </cfRule>
  </conditionalFormatting>
  <conditionalFormatting sqref="CI3">
    <cfRule type="cellIs" dxfId="42" priority="17" operator="between">
      <formula>0</formula>
      <formula>0.009</formula>
    </cfRule>
    <cfRule type="cellIs" dxfId="41" priority="18" operator="greaterThan">
      <formula>0.009</formula>
    </cfRule>
  </conditionalFormatting>
  <conditionalFormatting sqref="DP6:DP271">
    <cfRule type="cellIs" dxfId="40" priority="121" operator="lessThan">
      <formula>0.1</formula>
    </cfRule>
    <cfRule type="cellIs" dxfId="39" priority="120" operator="greaterThan">
      <formula>0.9</formula>
    </cfRule>
  </conditionalFormatting>
  <conditionalFormatting sqref="DV6:DW271">
    <cfRule type="cellIs" dxfId="38" priority="2" operator="lessThan">
      <formula>0.01</formula>
    </cfRule>
  </conditionalFormatting>
  <conditionalFormatting sqref="EM6:EM271">
    <cfRule type="containsText" dxfId="37" priority="69" operator="containsText" text="Bom">
      <formula>NOT(ISERROR(SEARCH("Bom",EM6)))</formula>
    </cfRule>
  </conditionalFormatting>
  <conditionalFormatting sqref="EN6:EO271">
    <cfRule type="containsText" dxfId="36" priority="66" operator="containsText" text="Baixo">
      <formula>NOT(ISERROR(SEARCH("Baixo",EN6)))</formula>
    </cfRule>
    <cfRule type="containsText" dxfId="35" priority="67" operator="containsText" text="Moderado">
      <formula>NOT(ISERROR(SEARCH("Moderado",EN6)))</formula>
    </cfRule>
    <cfRule type="containsText" dxfId="34" priority="68" operator="containsText" text="Alto">
      <formula>NOT(ISERROR(SEARCH("Alto",EN6)))</formula>
    </cfRule>
  </conditionalFormatting>
  <conditionalFormatting sqref="EO6:EO271">
    <cfRule type="containsText" dxfId="33" priority="52" operator="containsText" text="Risco elevado">
      <formula>NOT(ISERROR(SEARCH("Risco elevado",EO6)))</formula>
    </cfRule>
    <cfRule type="containsText" dxfId="32" priority="53" operator="containsText" text="Estável">
      <formula>NOT(ISERROR(SEARCH("Estável",EO6)))</formula>
    </cfRule>
    <cfRule type="containsText" dxfId="31" priority="54" operator="containsText" text="Alerta">
      <formula>NOT(ISERROR(SEARCH("Alerta",EO6)))</formula>
    </cfRule>
    <cfRule type="containsText" dxfId="30" priority="55" operator="containsText" text="Saudável">
      <formula>NOT(ISERROR(SEARCH("Saudável",EO6)))</formula>
    </cfRule>
  </conditionalFormatting>
  <conditionalFormatting sqref="EP6:EP271">
    <cfRule type="containsText" dxfId="29" priority="64" operator="containsText" text="Ruim">
      <formula>NOT(ISERROR(SEARCH("Ruim",EP6)))</formula>
    </cfRule>
    <cfRule type="containsText" dxfId="28" priority="65" operator="containsText" text="Bom">
      <formula>NOT(ISERROR(SEARCH("Bom",EP6)))</formula>
    </cfRule>
  </conditionalFormatting>
  <conditionalFormatting sqref="EQ6:EW271">
    <cfRule type="containsText" dxfId="27" priority="80" operator="containsText" text="Atrativa">
      <formula>NOT(ISERROR(SEARCH("Atrativa",EQ6)))</formula>
    </cfRule>
    <cfRule type="containsText" dxfId="26" priority="81" operator="containsText" text="Barata">
      <formula>NOT(ISERROR(SEARCH("Barata",EQ6)))</formula>
    </cfRule>
    <cfRule type="containsText" dxfId="25" priority="82" operator="containsText" text="Muito barata">
      <formula>NOT(ISERROR(SEARCH("Muito barata",EQ6)))</formula>
    </cfRule>
    <cfRule type="containsText" dxfId="24" priority="83" operator="containsText" text="Subvalorizada">
      <formula>NOT(ISERROR(SEARCH("Subvalorizada",EQ6)))</formula>
    </cfRule>
    <cfRule type="containsText" dxfId="23" priority="79" operator="containsText" text="Supervalorizada">
      <formula>NOT(ISERROR(SEARCH("Supervalorizada",EQ6)))</formula>
    </cfRule>
  </conditionalFormatting>
  <conditionalFormatting sqref="ES6:ES271">
    <cfRule type="containsText" dxfId="22" priority="63" operator="containsText" text="Bom retorno">
      <formula>NOT(ISERROR(SEARCH("Bom retorno",ES6)))</formula>
    </cfRule>
    <cfRule type="containsText" dxfId="21" priority="62" operator="containsText" text="Fraco retorno">
      <formula>NOT(ISERROR(SEARCH("Fraco retorno",ES6)))</formula>
    </cfRule>
  </conditionalFormatting>
  <conditionalFormatting sqref="ET6:ET271">
    <cfRule type="containsText" dxfId="20" priority="61" operator="containsText" text="Eficiente">
      <formula>NOT(ISERROR(SEARCH("Eficiente",ET6)))</formula>
    </cfRule>
    <cfRule type="containsText" dxfId="19" priority="60" operator="containsText" text="Ineficiente">
      <formula>NOT(ISERROR(SEARCH("Ineficiente",ET6)))</formula>
    </cfRule>
  </conditionalFormatting>
  <conditionalFormatting sqref="EU6:EU271">
    <cfRule type="containsText" dxfId="18" priority="58" operator="containsText" text="Oper.Ineficiente">
      <formula>NOT(ISERROR(SEARCH("Oper.Ineficiente",EU6)))</formula>
    </cfRule>
    <cfRule type="containsText" dxfId="17" priority="59" operator="containsText" text="Oper.Eficiente">
      <formula>NOT(ISERROR(SEARCH("Oper.Eficiente",EU6)))</formula>
    </cfRule>
  </conditionalFormatting>
  <conditionalFormatting sqref="EV6:EV271">
    <cfRule type="cellIs" dxfId="16" priority="57" operator="greaterThan">
      <formula>0</formula>
    </cfRule>
  </conditionalFormatting>
  <conditionalFormatting sqref="EV9">
    <cfRule type="containsText" dxfId="15" priority="56" operator="containsText" text="Risco elevado">
      <formula>NOT(ISERROR(SEARCH("Risco elevado",EV9)))</formula>
    </cfRule>
  </conditionalFormatting>
  <conditionalFormatting sqref="EW6:EW271">
    <cfRule type="containsText" dxfId="14" priority="74" operator="containsText" text="Supervalorizada">
      <formula>NOT(ISERROR(SEARCH("Supervalorizada",EW6)))</formula>
    </cfRule>
    <cfRule type="containsText" dxfId="13" priority="75" operator="containsText" text="Atrativa">
      <formula>NOT(ISERROR(SEARCH("Atrativa",EW6)))</formula>
    </cfRule>
    <cfRule type="containsText" dxfId="12" priority="76" operator="containsText" text="Barata">
      <formula>NOT(ISERROR(SEARCH("Barata",EW6)))</formula>
    </cfRule>
    <cfRule type="containsText" dxfId="11" priority="77" operator="containsText" text="Muito barata">
      <formula>NOT(ISERROR(SEARCH("Muito barata",EW6)))</formula>
    </cfRule>
    <cfRule type="containsText" dxfId="10" priority="78" operator="containsText" text="Subvalorizada">
      <formula>NOT(ISERROR(SEARCH("Subvalorizada",EW6)))</formula>
    </cfRule>
    <cfRule type="containsText" dxfId="9" priority="70" operator="containsText" text="Muito Bom">
      <formula>NOT(ISERROR(SEARCH("Muito Bom",EW6)))</formula>
    </cfRule>
    <cfRule type="containsText" dxfId="8" priority="73" operator="containsText" text="Negativo">
      <formula>NOT(ISERROR(SEARCH("Negativo",EW6)))</formula>
    </cfRule>
    <cfRule type="containsText" dxfId="7" priority="72" operator="containsText" text="Fraco">
      <formula>NOT(ISERROR(SEARCH("Fraco",EW6)))</formula>
    </cfRule>
    <cfRule type="containsText" dxfId="6" priority="71" operator="containsText" text="Bom">
      <formula>NOT(ISERROR(SEARCH("Bom",EW6)))</formula>
    </cfRule>
  </conditionalFormatting>
  <conditionalFormatting sqref="EY6:EY271">
    <cfRule type="containsText" dxfId="5" priority="88" operator="containsText" text="Ruim">
      <formula>NOT(ISERROR(SEARCH("Ruim",EY6)))</formula>
    </cfRule>
    <cfRule type="containsText" dxfId="4" priority="89" operator="containsText" text="Bom">
      <formula>NOT(ISERROR(SEARCH("Bom",EY6)))</formula>
    </cfRule>
  </conditionalFormatting>
  <conditionalFormatting sqref="EZ6:EZ271">
    <cfRule type="containsText" dxfId="3" priority="84" operator="containsText" text="Baixa">
      <formula>NOT(ISERROR(SEARCH("Baixa",EZ6)))</formula>
    </cfRule>
    <cfRule type="containsText" dxfId="2" priority="86" operator="containsText" text="Alta">
      <formula>NOT(ISERROR(SEARCH("Alta",EZ6)))</formula>
    </cfRule>
    <cfRule type="containsText" dxfId="1" priority="87" operator="containsText" text="Alerta">
      <formula>NOT(ISERROR(SEARCH("Alerta",EZ6)))</formula>
    </cfRule>
    <cfRule type="containsText" dxfId="0" priority="85" operator="containsText" text="Moderada">
      <formula>NOT(ISERROR(SEARCH("Moderada",EZ6)))</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7E73B-9077-4527-BA68-3A59FB51CD5E}">
  <dimension ref="A1:F267"/>
  <sheetViews>
    <sheetView zoomScale="110" zoomScaleNormal="110" workbookViewId="0">
      <selection activeCell="H5" sqref="H5"/>
    </sheetView>
  </sheetViews>
  <sheetFormatPr defaultRowHeight="15" x14ac:dyDescent="0.25"/>
  <cols>
    <col min="2" max="2" width="10.85546875" bestFit="1" customWidth="1"/>
    <col min="3" max="5" width="11.85546875" customWidth="1"/>
    <col min="6" max="6" width="10.85546875" bestFit="1" customWidth="1"/>
  </cols>
  <sheetData>
    <row r="1" spans="1:6" x14ac:dyDescent="0.25">
      <c r="A1" t="s">
        <v>475</v>
      </c>
      <c r="B1" s="79">
        <v>45850</v>
      </c>
      <c r="C1" s="79">
        <v>45857</v>
      </c>
      <c r="D1" s="79">
        <v>45864</v>
      </c>
      <c r="E1" s="79">
        <v>45871</v>
      </c>
      <c r="F1" s="79">
        <v>45878</v>
      </c>
    </row>
    <row r="2" spans="1:6" x14ac:dyDescent="0.25">
      <c r="A2" s="13" t="str">
        <f>Bovespa!BQ6</f>
        <v>EQPA7</v>
      </c>
      <c r="B2" s="13">
        <v>8.0500000000000007</v>
      </c>
      <c r="C2" s="13">
        <v>8.0500000000000007</v>
      </c>
      <c r="D2" s="13">
        <f ca="1">Bovespa!BP6</f>
        <v>6.52</v>
      </c>
      <c r="E2" s="13">
        <v>6.52</v>
      </c>
      <c r="F2">
        <v>6.52</v>
      </c>
    </row>
    <row r="3" spans="1:6" x14ac:dyDescent="0.25">
      <c r="A3" s="13" t="str">
        <f>Bovespa!BQ7</f>
        <v>CGRA4</v>
      </c>
      <c r="B3" s="13">
        <v>28.7</v>
      </c>
      <c r="C3" s="13">
        <v>27.52</v>
      </c>
      <c r="D3" s="13">
        <f ca="1">Bovespa!BP7</f>
        <v>26</v>
      </c>
      <c r="E3" s="13">
        <v>26.87</v>
      </c>
      <c r="F3">
        <v>27.08</v>
      </c>
    </row>
    <row r="4" spans="1:6" x14ac:dyDescent="0.25">
      <c r="A4" s="13" t="str">
        <f>Bovespa!BQ8</f>
        <v>ISAE4</v>
      </c>
      <c r="B4" s="13">
        <v>22.8</v>
      </c>
      <c r="C4" s="13">
        <v>22.44</v>
      </c>
      <c r="D4" s="13">
        <f ca="1">Bovespa!BP8</f>
        <v>22.13</v>
      </c>
      <c r="E4" s="13">
        <v>21.6</v>
      </c>
      <c r="F4">
        <v>21.82</v>
      </c>
    </row>
    <row r="5" spans="1:6" x14ac:dyDescent="0.25">
      <c r="A5" s="13" t="str">
        <f>Bovespa!BQ9</f>
        <v>BEES3</v>
      </c>
      <c r="B5" s="13">
        <v>8.5</v>
      </c>
      <c r="C5" s="13">
        <v>8.49</v>
      </c>
      <c r="D5" s="13">
        <f ca="1">Bovespa!BP9</f>
        <v>8.5399999999999991</v>
      </c>
      <c r="E5" s="13">
        <v>8.3800000000000008</v>
      </c>
      <c r="F5">
        <v>8.5</v>
      </c>
    </row>
    <row r="6" spans="1:6" x14ac:dyDescent="0.25">
      <c r="A6" s="13" t="str">
        <f>Bovespa!BQ10</f>
        <v>ABEV3</v>
      </c>
      <c r="B6" s="13">
        <v>13.3</v>
      </c>
      <c r="C6" s="13">
        <v>13.32</v>
      </c>
      <c r="D6" s="13">
        <f ca="1">Bovespa!BP10</f>
        <v>12.04</v>
      </c>
      <c r="E6" s="13">
        <v>12.29</v>
      </c>
      <c r="F6">
        <v>12.4</v>
      </c>
    </row>
    <row r="7" spans="1:6" x14ac:dyDescent="0.25">
      <c r="A7" s="13" t="str">
        <f>Bovespa!BQ11</f>
        <v>RPMG3</v>
      </c>
      <c r="B7" s="13">
        <v>2.9</v>
      </c>
      <c r="C7" s="13">
        <v>2.9</v>
      </c>
      <c r="D7" s="13">
        <f ca="1">Bovespa!BP11</f>
        <v>2.9</v>
      </c>
      <c r="E7" s="13">
        <v>2.91</v>
      </c>
      <c r="F7">
        <v>2.92</v>
      </c>
    </row>
    <row r="8" spans="1:6" x14ac:dyDescent="0.25">
      <c r="A8" s="13" t="str">
        <f>Bovespa!BQ12</f>
        <v>DMVF3</v>
      </c>
      <c r="B8" s="13">
        <v>4.74</v>
      </c>
      <c r="C8" s="13">
        <v>4.6900000000000004</v>
      </c>
      <c r="D8" s="13">
        <f ca="1">Bovespa!BP12</f>
        <v>4.55</v>
      </c>
      <c r="E8" s="13">
        <v>4.67</v>
      </c>
      <c r="F8">
        <v>4.6100000000000003</v>
      </c>
    </row>
    <row r="9" spans="1:6" x14ac:dyDescent="0.25">
      <c r="A9" s="13" t="str">
        <f>Bovespa!BQ13</f>
        <v>SLCE3</v>
      </c>
      <c r="B9" s="13">
        <v>18.2</v>
      </c>
      <c r="C9" s="13">
        <v>18.2</v>
      </c>
      <c r="D9" s="13">
        <f ca="1">Bovespa!BP13</f>
        <v>16.899999999999999</v>
      </c>
      <c r="E9" s="13">
        <v>18.14</v>
      </c>
      <c r="F9">
        <v>17.32</v>
      </c>
    </row>
    <row r="10" spans="1:6" x14ac:dyDescent="0.25">
      <c r="A10" s="13" t="str">
        <f>Bovespa!BQ14</f>
        <v>OPCT3</v>
      </c>
      <c r="B10" s="13">
        <v>6.82</v>
      </c>
      <c r="C10" s="13">
        <v>6.42</v>
      </c>
      <c r="D10" s="13">
        <f ca="1">Bovespa!BP14</f>
        <v>6.36</v>
      </c>
      <c r="E10" s="13">
        <v>6.1</v>
      </c>
      <c r="F10">
        <v>6.38</v>
      </c>
    </row>
    <row r="11" spans="1:6" x14ac:dyDescent="0.25">
      <c r="A11" s="13" t="str">
        <f>Bovespa!BQ15</f>
        <v>SANB4</v>
      </c>
      <c r="B11" s="13">
        <v>14.44</v>
      </c>
      <c r="C11" s="13">
        <v>13.79</v>
      </c>
      <c r="D11" s="13">
        <f ca="1">Bovespa!BP15</f>
        <v>14.08</v>
      </c>
      <c r="E11" s="13">
        <v>13.64</v>
      </c>
      <c r="F11">
        <v>14.1</v>
      </c>
    </row>
    <row r="12" spans="1:6" x14ac:dyDescent="0.25">
      <c r="A12" s="13" t="str">
        <f>Bovespa!BQ16</f>
        <v>WHRL4</v>
      </c>
      <c r="B12" s="13">
        <v>4.2</v>
      </c>
      <c r="C12" s="13">
        <v>4.17</v>
      </c>
      <c r="D12" s="13">
        <f ca="1">Bovespa!BP16</f>
        <v>4.5</v>
      </c>
      <c r="E12" s="13">
        <v>4.4000000000000004</v>
      </c>
      <c r="F12">
        <v>4.76</v>
      </c>
    </row>
    <row r="13" spans="1:6" x14ac:dyDescent="0.25">
      <c r="A13" s="13" t="str">
        <f>Bovespa!BQ17</f>
        <v>TELB4</v>
      </c>
      <c r="B13" s="13">
        <v>7.96</v>
      </c>
      <c r="C13" s="13">
        <v>7.3</v>
      </c>
      <c r="D13" s="13">
        <f ca="1">Bovespa!BP17</f>
        <v>7.28</v>
      </c>
      <c r="E13" s="13">
        <v>7.6</v>
      </c>
      <c r="F13">
        <v>7.4</v>
      </c>
    </row>
    <row r="14" spans="1:6" x14ac:dyDescent="0.25">
      <c r="A14" s="13" t="str">
        <f>Bovespa!BQ18</f>
        <v>PETR4</v>
      </c>
      <c r="B14" s="13">
        <v>32.6</v>
      </c>
      <c r="C14" s="13">
        <v>30.99</v>
      </c>
      <c r="D14" s="13">
        <f ca="1">Bovespa!BP18</f>
        <v>30.17</v>
      </c>
      <c r="E14" s="13">
        <v>32.21</v>
      </c>
      <c r="F14">
        <v>30.53</v>
      </c>
    </row>
    <row r="15" spans="1:6" x14ac:dyDescent="0.25">
      <c r="A15" s="13" t="str">
        <f>Bovespa!BQ19</f>
        <v>ASAI3</v>
      </c>
      <c r="B15" s="13">
        <v>9.98</v>
      </c>
      <c r="C15" s="13">
        <v>9.7200000000000006</v>
      </c>
      <c r="D15" s="13">
        <f ca="1">Bovespa!BP19</f>
        <v>10.039999999999999</v>
      </c>
      <c r="E15" s="13">
        <v>9.6999999999999993</v>
      </c>
      <c r="F15">
        <v>9.92</v>
      </c>
    </row>
    <row r="16" spans="1:6" x14ac:dyDescent="0.25">
      <c r="A16" s="13" t="str">
        <f>Bovespa!BQ20</f>
        <v>SHUL4</v>
      </c>
      <c r="B16" s="13">
        <v>5.19</v>
      </c>
      <c r="C16" s="13">
        <v>5.0999999999999996</v>
      </c>
      <c r="D16" s="13">
        <f ca="1">Bovespa!BP20</f>
        <v>4.7300000000000004</v>
      </c>
      <c r="E16" s="13">
        <v>5</v>
      </c>
      <c r="F16">
        <v>4.79</v>
      </c>
    </row>
    <row r="17" spans="1:6" x14ac:dyDescent="0.25">
      <c r="A17" s="13" t="str">
        <f>Bovespa!BQ21</f>
        <v>LEVE3</v>
      </c>
      <c r="B17" s="13">
        <v>29.2</v>
      </c>
      <c r="C17" s="13">
        <v>28.7</v>
      </c>
      <c r="D17" s="13">
        <f ca="1">Bovespa!BP21</f>
        <v>27.44</v>
      </c>
      <c r="E17" s="13">
        <v>28.29</v>
      </c>
      <c r="F17">
        <v>27.54</v>
      </c>
    </row>
    <row r="18" spans="1:6" x14ac:dyDescent="0.25">
      <c r="A18" s="13" t="str">
        <f>Bovespa!BQ22</f>
        <v>CPLE6</v>
      </c>
      <c r="B18" s="13">
        <v>11.95</v>
      </c>
      <c r="C18" s="13">
        <v>11.88</v>
      </c>
      <c r="D18" s="13">
        <f ca="1">Bovespa!BP22</f>
        <v>12.06</v>
      </c>
      <c r="E18" s="13">
        <v>11.93</v>
      </c>
      <c r="F18">
        <v>12.31</v>
      </c>
    </row>
    <row r="19" spans="1:6" x14ac:dyDescent="0.25">
      <c r="A19" s="13" t="str">
        <f>Bovespa!BQ23</f>
        <v>CEBR6</v>
      </c>
      <c r="B19" s="13">
        <v>21.73</v>
      </c>
      <c r="C19" s="13">
        <v>21.15</v>
      </c>
      <c r="D19" s="13">
        <f ca="1">Bovespa!BP23</f>
        <v>24</v>
      </c>
      <c r="E19" s="13">
        <v>20.9</v>
      </c>
      <c r="F19">
        <v>20.75</v>
      </c>
    </row>
    <row r="20" spans="1:6" x14ac:dyDescent="0.25">
      <c r="A20" s="13" t="str">
        <f>Bovespa!BQ24</f>
        <v>PRNR3</v>
      </c>
      <c r="B20" s="13">
        <v>15.56</v>
      </c>
      <c r="C20" s="13">
        <v>15.25</v>
      </c>
      <c r="D20" s="13">
        <f ca="1">Bovespa!BP24</f>
        <v>15.17</v>
      </c>
      <c r="E20" s="13">
        <v>14.95</v>
      </c>
      <c r="F20">
        <v>15.29</v>
      </c>
    </row>
    <row r="21" spans="1:6" x14ac:dyDescent="0.25">
      <c r="A21" s="13" t="str">
        <f>Bovespa!BQ25</f>
        <v>CMIG4</v>
      </c>
      <c r="B21" s="13">
        <v>10.8</v>
      </c>
      <c r="C21" s="13">
        <v>10.38</v>
      </c>
      <c r="D21" s="13">
        <f ca="1">Bovespa!BP25</f>
        <v>10.72</v>
      </c>
      <c r="E21" s="13">
        <v>10.34</v>
      </c>
      <c r="F21">
        <v>10.67</v>
      </c>
    </row>
    <row r="22" spans="1:6" x14ac:dyDescent="0.25">
      <c r="A22" s="13" t="str">
        <f>Bovespa!BQ26</f>
        <v>BEES4</v>
      </c>
      <c r="B22" s="13">
        <v>8.52</v>
      </c>
      <c r="C22" s="13">
        <v>8.42</v>
      </c>
      <c r="D22" s="13">
        <f ca="1">Bovespa!BP26</f>
        <v>8.5</v>
      </c>
      <c r="E22" s="13">
        <v>8.48</v>
      </c>
      <c r="F22">
        <v>8.5</v>
      </c>
    </row>
    <row r="23" spans="1:6" x14ac:dyDescent="0.25">
      <c r="A23" s="13" t="str">
        <f>Bovespa!BQ27</f>
        <v>POMO3</v>
      </c>
      <c r="B23" s="13">
        <v>6.44</v>
      </c>
      <c r="C23" s="13">
        <v>6.44</v>
      </c>
      <c r="D23" s="13">
        <f ca="1">Bovespa!BP27</f>
        <v>7.1</v>
      </c>
      <c r="E23" s="13">
        <v>7.01</v>
      </c>
      <c r="F23">
        <v>7.08</v>
      </c>
    </row>
    <row r="24" spans="1:6" x14ac:dyDescent="0.25">
      <c r="A24" s="13" t="str">
        <f>Bovespa!BQ28</f>
        <v>BMOB3</v>
      </c>
      <c r="B24" s="13">
        <v>21.89</v>
      </c>
      <c r="C24" s="13">
        <v>21.6</v>
      </c>
      <c r="D24" s="13">
        <f ca="1">Bovespa!BP28</f>
        <v>21.45</v>
      </c>
      <c r="E24" s="13">
        <v>20.23</v>
      </c>
      <c r="F24">
        <v>20.399999999999999</v>
      </c>
    </row>
    <row r="25" spans="1:6" x14ac:dyDescent="0.25">
      <c r="A25" s="13" t="str">
        <f>Bovespa!BQ29</f>
        <v>MTSA4</v>
      </c>
      <c r="B25" s="13">
        <v>43.16</v>
      </c>
      <c r="C25" s="13">
        <v>43.67</v>
      </c>
      <c r="D25" s="13">
        <f ca="1">Bovespa!BP29</f>
        <v>39.72</v>
      </c>
      <c r="E25" s="13">
        <v>43.98</v>
      </c>
      <c r="F25">
        <v>42.23</v>
      </c>
    </row>
    <row r="26" spans="1:6" x14ac:dyDescent="0.25">
      <c r="A26" s="13" t="str">
        <f>Bovespa!BQ30</f>
        <v>CAMB3</v>
      </c>
      <c r="B26" s="13">
        <v>9.91</v>
      </c>
      <c r="C26" s="13">
        <v>9.5500000000000007</v>
      </c>
      <c r="D26" s="13">
        <f ca="1">Bovespa!BP30</f>
        <v>9.25</v>
      </c>
      <c r="E26" s="13">
        <v>9.2799999999999994</v>
      </c>
      <c r="F26">
        <v>9.39</v>
      </c>
    </row>
    <row r="27" spans="1:6" x14ac:dyDescent="0.25">
      <c r="A27" s="13" t="str">
        <f>Bovespa!BQ31</f>
        <v>BRAP3</v>
      </c>
      <c r="B27" s="13">
        <v>15.4</v>
      </c>
      <c r="C27" s="13">
        <v>14.99</v>
      </c>
      <c r="D27" s="13">
        <f ca="1">Bovespa!BP31</f>
        <v>14.61</v>
      </c>
      <c r="E27" s="13">
        <v>14.49</v>
      </c>
      <c r="F27">
        <v>14.8</v>
      </c>
    </row>
    <row r="28" spans="1:6" x14ac:dyDescent="0.25">
      <c r="A28" s="13" t="str">
        <f>Bovespa!BQ32</f>
        <v>HAGA4</v>
      </c>
      <c r="B28" s="13">
        <v>1.17</v>
      </c>
      <c r="C28" s="13">
        <v>1.19</v>
      </c>
      <c r="D28" s="13">
        <f ca="1">Bovespa!BP32</f>
        <v>1.17</v>
      </c>
      <c r="E28" s="13">
        <v>1.1599999999999999</v>
      </c>
      <c r="F28">
        <v>1.17</v>
      </c>
    </row>
    <row r="29" spans="1:6" x14ac:dyDescent="0.25">
      <c r="A29" s="13" t="str">
        <f>Bovespa!BQ33</f>
        <v>SANB3</v>
      </c>
      <c r="B29" s="13">
        <v>13.3</v>
      </c>
      <c r="C29" s="13">
        <v>12.5</v>
      </c>
      <c r="D29" s="13">
        <f ca="1">Bovespa!BP33</f>
        <v>12.85</v>
      </c>
      <c r="E29" s="13">
        <v>12.31</v>
      </c>
      <c r="F29">
        <v>12.71</v>
      </c>
    </row>
    <row r="30" spans="1:6" x14ac:dyDescent="0.25">
      <c r="A30" s="13" t="str">
        <f>Bovespa!BQ34</f>
        <v>CSUD3</v>
      </c>
      <c r="B30" s="13">
        <v>18.39</v>
      </c>
      <c r="C30" s="13">
        <v>17.5</v>
      </c>
      <c r="D30" s="13">
        <f ca="1">Bovespa!BP34</f>
        <v>17.38</v>
      </c>
      <c r="E30" s="13">
        <v>18.100000000000001</v>
      </c>
      <c r="F30">
        <v>17.25</v>
      </c>
    </row>
    <row r="31" spans="1:6" x14ac:dyDescent="0.25">
      <c r="A31" s="13" t="str">
        <f>Bovespa!BQ35</f>
        <v>BLAU3</v>
      </c>
      <c r="B31" s="13">
        <v>13.01</v>
      </c>
      <c r="C31" s="13">
        <v>12.18</v>
      </c>
      <c r="D31" s="13">
        <f ca="1">Bovespa!BP35</f>
        <v>12.12</v>
      </c>
      <c r="E31" s="13">
        <v>12.3</v>
      </c>
      <c r="F31">
        <v>12.4</v>
      </c>
    </row>
    <row r="32" spans="1:6" x14ac:dyDescent="0.25">
      <c r="A32" s="13" t="str">
        <f>Bovespa!BQ36</f>
        <v>GGBR3</v>
      </c>
      <c r="B32" s="13">
        <v>14.94</v>
      </c>
      <c r="C32" s="13">
        <v>14.65</v>
      </c>
      <c r="D32" s="13">
        <f ca="1">Bovespa!BP36</f>
        <v>14.5</v>
      </c>
      <c r="E32" s="13">
        <v>14.37</v>
      </c>
      <c r="F32">
        <v>14.84</v>
      </c>
    </row>
    <row r="33" spans="1:6" x14ac:dyDescent="0.25">
      <c r="A33" s="13" t="str">
        <f>Bovespa!BQ37</f>
        <v>CRFB3</v>
      </c>
      <c r="B33" s="13">
        <v>8.48</v>
      </c>
      <c r="C33" s="13">
        <v>8.48</v>
      </c>
      <c r="D33" s="13">
        <f ca="1">Bovespa!BP37</f>
        <v>8.48</v>
      </c>
      <c r="E33" s="13">
        <v>8.48</v>
      </c>
      <c r="F33">
        <v>8.48</v>
      </c>
    </row>
    <row r="34" spans="1:6" x14ac:dyDescent="0.25">
      <c r="A34" s="13" t="str">
        <f>Bovespa!BQ38</f>
        <v>SAPR3</v>
      </c>
      <c r="B34" s="13">
        <v>7.89</v>
      </c>
      <c r="C34" s="13">
        <v>7.83</v>
      </c>
      <c r="D34" s="13">
        <f ca="1">Bovespa!BP38</f>
        <v>7.88</v>
      </c>
      <c r="E34" s="13">
        <v>7.54</v>
      </c>
      <c r="F34">
        <v>7.59</v>
      </c>
    </row>
    <row r="35" spans="1:6" x14ac:dyDescent="0.25">
      <c r="A35" s="13" t="str">
        <f>Bovespa!BQ39</f>
        <v>ABCB4</v>
      </c>
      <c r="B35" s="13">
        <v>20.98</v>
      </c>
      <c r="C35" s="13">
        <v>20.8</v>
      </c>
      <c r="D35" s="13">
        <f ca="1">Bovespa!BP39</f>
        <v>21.93</v>
      </c>
      <c r="E35" s="13">
        <v>21.24</v>
      </c>
      <c r="F35">
        <v>21.45</v>
      </c>
    </row>
    <row r="36" spans="1:6" x14ac:dyDescent="0.25">
      <c r="A36" s="13" t="str">
        <f>Bovespa!BQ40</f>
        <v>BRSR6</v>
      </c>
      <c r="B36" s="13">
        <v>11.18</v>
      </c>
      <c r="C36" s="13">
        <v>10.61</v>
      </c>
      <c r="D36" s="13">
        <f ca="1">Bovespa!BP40</f>
        <v>11.82</v>
      </c>
      <c r="E36" s="13">
        <v>10.78</v>
      </c>
      <c r="F36">
        <v>10.84</v>
      </c>
    </row>
    <row r="37" spans="1:6" x14ac:dyDescent="0.25">
      <c r="A37" s="13" t="str">
        <f>Bovespa!BQ41</f>
        <v>PORT3</v>
      </c>
      <c r="B37" s="13">
        <v>17.5</v>
      </c>
      <c r="C37" s="13">
        <v>17.53</v>
      </c>
      <c r="D37" s="13">
        <f ca="1">Bovespa!BP41</f>
        <v>17.809999999999999</v>
      </c>
      <c r="E37" s="13">
        <v>17.71</v>
      </c>
      <c r="F37">
        <v>17.7</v>
      </c>
    </row>
    <row r="38" spans="1:6" x14ac:dyDescent="0.25">
      <c r="A38" s="13" t="str">
        <f>Bovespa!BQ42</f>
        <v>PINE4</v>
      </c>
      <c r="B38" s="13">
        <v>6.07</v>
      </c>
      <c r="C38" s="13">
        <v>5.74</v>
      </c>
      <c r="D38" s="13">
        <f ca="1">Bovespa!BP42</f>
        <v>6.12</v>
      </c>
      <c r="E38" s="13">
        <v>5.87</v>
      </c>
      <c r="F38">
        <v>5.8</v>
      </c>
    </row>
    <row r="39" spans="1:6" x14ac:dyDescent="0.25">
      <c r="A39" s="13" t="str">
        <f>Bovespa!BQ43</f>
        <v>ITSA3</v>
      </c>
      <c r="B39" s="13">
        <v>10.5</v>
      </c>
      <c r="C39" s="13">
        <v>10.41</v>
      </c>
      <c r="D39" s="13">
        <f ca="1">Bovespa!BP43</f>
        <v>10.97</v>
      </c>
      <c r="E39" s="13">
        <v>10.34</v>
      </c>
      <c r="F39">
        <v>10.89</v>
      </c>
    </row>
    <row r="40" spans="1:6" x14ac:dyDescent="0.25">
      <c r="A40" s="13" t="str">
        <f>Bovespa!BQ44</f>
        <v>MEAL3</v>
      </c>
      <c r="B40" s="13">
        <v>1.21</v>
      </c>
      <c r="C40" s="13">
        <v>1.35</v>
      </c>
      <c r="D40" s="13">
        <f ca="1">Bovespa!BP44</f>
        <v>1.29</v>
      </c>
      <c r="E40" s="13">
        <v>1.34</v>
      </c>
      <c r="F40">
        <v>1.37</v>
      </c>
    </row>
    <row r="41" spans="1:6" x14ac:dyDescent="0.25">
      <c r="A41" s="13" t="str">
        <f>Bovespa!BQ45</f>
        <v>BBSE3</v>
      </c>
      <c r="B41" s="13">
        <v>35.22</v>
      </c>
      <c r="C41" s="13">
        <v>34.32</v>
      </c>
      <c r="D41" s="13">
        <f ca="1">Bovespa!BP45</f>
        <v>32.79</v>
      </c>
      <c r="E41" s="13">
        <v>33.44</v>
      </c>
      <c r="F41">
        <v>34.5</v>
      </c>
    </row>
    <row r="42" spans="1:6" x14ac:dyDescent="0.25">
      <c r="A42" s="13" t="str">
        <f>Bovespa!BQ46</f>
        <v>GOAU3</v>
      </c>
      <c r="B42" s="13">
        <v>9.31</v>
      </c>
      <c r="C42" s="13">
        <v>9</v>
      </c>
      <c r="D42" s="13">
        <f ca="1">Bovespa!BP46</f>
        <v>9.01</v>
      </c>
      <c r="E42" s="13">
        <v>9.09</v>
      </c>
      <c r="F42">
        <v>9.15</v>
      </c>
    </row>
    <row r="43" spans="1:6" x14ac:dyDescent="0.25">
      <c r="A43" s="13" t="str">
        <f>Bovespa!BQ47</f>
        <v>ITUB4</v>
      </c>
      <c r="B43" s="13">
        <v>34.96</v>
      </c>
      <c r="C43" s="13">
        <v>35.07</v>
      </c>
      <c r="D43" s="13">
        <f ca="1">Bovespa!BP47</f>
        <v>37.49</v>
      </c>
      <c r="E43" s="13">
        <v>34.93</v>
      </c>
      <c r="F43">
        <v>36.950000000000003</v>
      </c>
    </row>
    <row r="44" spans="1:6" x14ac:dyDescent="0.25">
      <c r="A44" s="13" t="str">
        <f>Bovespa!BQ48</f>
        <v>AGRO3</v>
      </c>
      <c r="B44" s="13">
        <v>20.8</v>
      </c>
      <c r="C44" s="13">
        <v>20.49</v>
      </c>
      <c r="D44" s="13">
        <f ca="1">Bovespa!BP48</f>
        <v>20.21</v>
      </c>
      <c r="E44" s="13">
        <v>20.48</v>
      </c>
      <c r="F44">
        <v>20.34</v>
      </c>
    </row>
    <row r="45" spans="1:6" x14ac:dyDescent="0.25">
      <c r="A45" s="13" t="str">
        <f>Bovespa!BQ49</f>
        <v>BMGB4</v>
      </c>
      <c r="B45" s="13">
        <v>3.64</v>
      </c>
      <c r="C45" s="13">
        <v>3.68</v>
      </c>
      <c r="D45" s="13">
        <f ca="1">Bovespa!BP49</f>
        <v>3.59</v>
      </c>
      <c r="E45" s="13">
        <v>3.43</v>
      </c>
      <c r="F45">
        <v>3.54</v>
      </c>
    </row>
    <row r="46" spans="1:6" x14ac:dyDescent="0.25">
      <c r="A46" s="13" t="str">
        <f>Bovespa!BQ50</f>
        <v>LAND3</v>
      </c>
      <c r="B46" s="13">
        <v>10.14</v>
      </c>
      <c r="C46" s="13">
        <v>9.8800000000000008</v>
      </c>
      <c r="D46" s="13">
        <f ca="1">Bovespa!BP50</f>
        <v>10.1</v>
      </c>
      <c r="E46" s="13">
        <v>10.99</v>
      </c>
      <c r="F46">
        <v>10.38</v>
      </c>
    </row>
    <row r="47" spans="1:6" x14ac:dyDescent="0.25">
      <c r="A47" s="13" t="str">
        <f>Bovespa!BQ51</f>
        <v>GGBR4</v>
      </c>
      <c r="B47" s="13">
        <v>16.690000000000001</v>
      </c>
      <c r="C47" s="13">
        <v>16.11</v>
      </c>
      <c r="D47" s="13">
        <f ca="1">Bovespa!BP51</f>
        <v>16.23</v>
      </c>
      <c r="E47" s="13">
        <v>16.05</v>
      </c>
      <c r="F47">
        <v>16.420000000000002</v>
      </c>
    </row>
    <row r="48" spans="1:6" x14ac:dyDescent="0.25">
      <c r="A48" s="13" t="str">
        <f>Bovespa!BQ52</f>
        <v>ITSA4</v>
      </c>
      <c r="B48" s="13">
        <v>10.48</v>
      </c>
      <c r="C48" s="13">
        <v>10.45</v>
      </c>
      <c r="D48" s="13">
        <f ca="1">Bovespa!BP52</f>
        <v>11.03</v>
      </c>
      <c r="E48" s="13">
        <v>10.34</v>
      </c>
      <c r="F48">
        <v>10.88</v>
      </c>
    </row>
    <row r="49" spans="1:6" x14ac:dyDescent="0.25">
      <c r="A49" s="13" t="str">
        <f>Bovespa!BQ53</f>
        <v>SMFT3</v>
      </c>
      <c r="B49" s="13">
        <v>22.71</v>
      </c>
      <c r="C49" s="13">
        <v>21.95</v>
      </c>
      <c r="D49" s="13">
        <f ca="1">Bovespa!BP53</f>
        <v>23.57</v>
      </c>
      <c r="E49" s="13">
        <v>20.95</v>
      </c>
      <c r="F49">
        <v>23.47</v>
      </c>
    </row>
    <row r="50" spans="1:6" x14ac:dyDescent="0.25">
      <c r="A50" s="13" t="str">
        <f>Bovespa!BQ54</f>
        <v>FLRY3</v>
      </c>
      <c r="B50" s="13">
        <v>12.62</v>
      </c>
      <c r="C50" s="13">
        <v>12.63</v>
      </c>
      <c r="D50" s="13">
        <f ca="1">Bovespa!BP54</f>
        <v>14.08</v>
      </c>
      <c r="E50" s="13">
        <v>14.24</v>
      </c>
      <c r="F50">
        <v>14.49</v>
      </c>
    </row>
    <row r="51" spans="1:6" x14ac:dyDescent="0.25">
      <c r="A51" s="13" t="str">
        <f>Bovespa!BQ55</f>
        <v>ROMI3</v>
      </c>
      <c r="B51" s="13">
        <v>8.9600000000000009</v>
      </c>
      <c r="C51" s="13">
        <v>8.4</v>
      </c>
      <c r="D51" s="13">
        <f ca="1">Bovespa!BP55</f>
        <v>7.58</v>
      </c>
      <c r="E51" s="13">
        <v>7.88</v>
      </c>
      <c r="F51">
        <v>7.86</v>
      </c>
    </row>
    <row r="52" spans="1:6" x14ac:dyDescent="0.25">
      <c r="A52" s="13" t="str">
        <f>Bovespa!BQ56</f>
        <v>TAEE4</v>
      </c>
      <c r="B52" s="13">
        <v>11.36</v>
      </c>
      <c r="C52" s="13">
        <v>11.24</v>
      </c>
      <c r="D52" s="13">
        <f ca="1">Bovespa!BP56</f>
        <v>11.3</v>
      </c>
      <c r="E52" s="13">
        <v>11.14</v>
      </c>
      <c r="F52">
        <v>11.18</v>
      </c>
    </row>
    <row r="53" spans="1:6" x14ac:dyDescent="0.25">
      <c r="A53" s="13" t="str">
        <f>Bovespa!BQ57</f>
        <v>RAIL3</v>
      </c>
      <c r="B53" s="13">
        <v>17.12</v>
      </c>
      <c r="C53" s="13">
        <v>16.579999999999998</v>
      </c>
      <c r="D53" s="13">
        <f ca="1">Bovespa!BP57</f>
        <v>15.96</v>
      </c>
      <c r="E53" s="13">
        <v>16.329999999999998</v>
      </c>
      <c r="F53">
        <v>15.36</v>
      </c>
    </row>
    <row r="54" spans="1:6" x14ac:dyDescent="0.25">
      <c r="A54" s="13" t="str">
        <f>Bovespa!BQ58</f>
        <v>CYRE3</v>
      </c>
      <c r="B54" s="13">
        <v>25.6</v>
      </c>
      <c r="C54" s="13">
        <v>26.58</v>
      </c>
      <c r="D54" s="13">
        <f ca="1">Bovespa!BP58</f>
        <v>25.8</v>
      </c>
      <c r="E54" s="13">
        <v>24.51</v>
      </c>
      <c r="F54">
        <v>25.33</v>
      </c>
    </row>
    <row r="55" spans="1:6" x14ac:dyDescent="0.25">
      <c r="A55" s="13" t="str">
        <f>Bovespa!BQ59</f>
        <v>CXSE3</v>
      </c>
      <c r="B55" s="13">
        <v>14.4</v>
      </c>
      <c r="C55" s="13">
        <v>13.97</v>
      </c>
      <c r="D55" s="13">
        <f ca="1">Bovespa!BP59</f>
        <v>13.62</v>
      </c>
      <c r="E55" s="13">
        <v>13.69</v>
      </c>
      <c r="F55">
        <v>13.4</v>
      </c>
    </row>
    <row r="56" spans="1:6" x14ac:dyDescent="0.25">
      <c r="A56" s="13" t="str">
        <f>Bovespa!BQ60</f>
        <v>ALLD3</v>
      </c>
      <c r="B56" s="13">
        <v>6.97</v>
      </c>
      <c r="C56" s="13">
        <v>6.91</v>
      </c>
      <c r="D56" s="13">
        <f ca="1">Bovespa!BP60</f>
        <v>9.15</v>
      </c>
      <c r="E56" s="13">
        <v>7.96</v>
      </c>
      <c r="F56">
        <v>8.56</v>
      </c>
    </row>
    <row r="57" spans="1:6" x14ac:dyDescent="0.25">
      <c r="A57" s="13" t="str">
        <f>Bovespa!BQ61</f>
        <v>DEXP3</v>
      </c>
      <c r="B57" s="13">
        <v>9.17</v>
      </c>
      <c r="C57" s="13">
        <v>8.67</v>
      </c>
      <c r="D57" s="13">
        <f ca="1">Bovespa!BP61</f>
        <v>8.4</v>
      </c>
      <c r="E57" s="13">
        <v>8.27</v>
      </c>
      <c r="F57">
        <v>8.6199999999999992</v>
      </c>
    </row>
    <row r="58" spans="1:6" x14ac:dyDescent="0.25">
      <c r="A58" s="13" t="str">
        <f>Bovespa!BQ62</f>
        <v>VLID3</v>
      </c>
      <c r="B58" s="13">
        <v>23.34</v>
      </c>
      <c r="C58" s="13">
        <v>22.18</v>
      </c>
      <c r="D58" s="13">
        <f ca="1">Bovespa!BP62</f>
        <v>20.67</v>
      </c>
      <c r="E58" s="13">
        <v>22.02</v>
      </c>
      <c r="F58">
        <v>22</v>
      </c>
    </row>
    <row r="59" spans="1:6" x14ac:dyDescent="0.25">
      <c r="A59" s="13" t="str">
        <f>Bovespa!BQ63</f>
        <v>HAGA3</v>
      </c>
      <c r="B59" s="13">
        <v>1.98</v>
      </c>
      <c r="C59" s="13">
        <v>1.94</v>
      </c>
      <c r="D59" s="13">
        <f ca="1">Bovespa!BP63</f>
        <v>1.92</v>
      </c>
      <c r="E59" s="13">
        <v>2.04</v>
      </c>
      <c r="F59">
        <v>1.9</v>
      </c>
    </row>
    <row r="60" spans="1:6" x14ac:dyDescent="0.25">
      <c r="A60" s="13" t="str">
        <f>Bovespa!BQ64</f>
        <v>BRAV3</v>
      </c>
      <c r="B60" s="13">
        <v>17.79</v>
      </c>
      <c r="C60" s="13">
        <v>18.739999999999998</v>
      </c>
      <c r="D60" s="13">
        <f ca="1">Bovespa!BP64</f>
        <v>19.54</v>
      </c>
      <c r="E60" s="13">
        <v>19.39</v>
      </c>
      <c r="F60">
        <v>19.93</v>
      </c>
    </row>
    <row r="61" spans="1:6" x14ac:dyDescent="0.25">
      <c r="A61" s="13" t="str">
        <f>Bovespa!BQ65</f>
        <v>MILS3</v>
      </c>
      <c r="B61" s="13">
        <v>11.25</v>
      </c>
      <c r="C61" s="13">
        <v>11.16</v>
      </c>
      <c r="D61" s="13">
        <f ca="1">Bovespa!BP65</f>
        <v>12.19</v>
      </c>
      <c r="E61" s="13">
        <v>11.36</v>
      </c>
      <c r="F61">
        <v>11.62</v>
      </c>
    </row>
    <row r="62" spans="1:6" x14ac:dyDescent="0.25">
      <c r="A62" s="13" t="str">
        <f>Bovespa!BQ66</f>
        <v>STBP3</v>
      </c>
      <c r="B62" s="13">
        <v>13.82</v>
      </c>
      <c r="C62" s="13">
        <v>13.86</v>
      </c>
      <c r="D62" s="13">
        <f ca="1">Bovespa!BP66</f>
        <v>14.11</v>
      </c>
      <c r="E62" s="13">
        <v>13.96</v>
      </c>
      <c r="F62">
        <v>13.99</v>
      </c>
    </row>
    <row r="63" spans="1:6" x14ac:dyDescent="0.25">
      <c r="A63" s="13" t="str">
        <f>Bovespa!BQ67</f>
        <v>VBBR3</v>
      </c>
      <c r="B63" s="13">
        <v>21.74</v>
      </c>
      <c r="C63" s="13">
        <v>20.239999999999998</v>
      </c>
      <c r="D63" s="13">
        <f ca="1">Bovespa!BP67</f>
        <v>20.86</v>
      </c>
      <c r="E63" s="13">
        <v>21.2</v>
      </c>
      <c r="F63">
        <v>21.4</v>
      </c>
    </row>
    <row r="64" spans="1:6" x14ac:dyDescent="0.25">
      <c r="A64" s="13" t="str">
        <f>Bovespa!BQ68</f>
        <v>FRAS3</v>
      </c>
      <c r="B64" s="13">
        <v>23.91</v>
      </c>
      <c r="C64" s="13">
        <v>23.75</v>
      </c>
      <c r="D64" s="13">
        <f ca="1">Bovespa!BP68</f>
        <v>22.27</v>
      </c>
      <c r="E64" s="13">
        <v>23.65</v>
      </c>
      <c r="F64">
        <v>21.46</v>
      </c>
    </row>
    <row r="65" spans="1:6" x14ac:dyDescent="0.25">
      <c r="A65" s="13" t="str">
        <f>Bovespa!BQ69</f>
        <v>ALUP4</v>
      </c>
      <c r="B65" s="13">
        <v>9.6199999999999992</v>
      </c>
      <c r="C65" s="13">
        <v>9.5500000000000007</v>
      </c>
      <c r="D65" s="13">
        <f ca="1">Bovespa!BP69</f>
        <v>9.52</v>
      </c>
      <c r="E65" s="13">
        <v>9.4600000000000009</v>
      </c>
      <c r="F65">
        <v>9.36</v>
      </c>
    </row>
    <row r="66" spans="1:6" x14ac:dyDescent="0.25">
      <c r="A66" s="13" t="str">
        <f>Bovespa!BQ70</f>
        <v>TRIS3</v>
      </c>
      <c r="B66" s="13">
        <v>6.7</v>
      </c>
      <c r="C66" s="13">
        <v>6.3</v>
      </c>
      <c r="D66" s="13">
        <f ca="1">Bovespa!BP70</f>
        <v>6.53</v>
      </c>
      <c r="E66" s="13">
        <v>6.4</v>
      </c>
      <c r="F66">
        <v>6.15</v>
      </c>
    </row>
    <row r="67" spans="1:6" x14ac:dyDescent="0.25">
      <c r="A67" s="13" t="str">
        <f>Bovespa!BQ71</f>
        <v>TGMA3</v>
      </c>
      <c r="B67" s="13">
        <v>35.340000000000003</v>
      </c>
      <c r="C67" s="13">
        <v>33.82</v>
      </c>
      <c r="D67" s="13">
        <f ca="1">Bovespa!BP71</f>
        <v>36.44</v>
      </c>
      <c r="E67" s="13">
        <v>37.229999999999997</v>
      </c>
      <c r="F67">
        <v>36.1</v>
      </c>
    </row>
    <row r="68" spans="1:6" x14ac:dyDescent="0.25">
      <c r="A68" s="13" t="str">
        <f>Bovespa!BQ72</f>
        <v>REDE3</v>
      </c>
      <c r="B68" s="13">
        <v>6.61</v>
      </c>
      <c r="C68" s="13">
        <v>6.55</v>
      </c>
      <c r="D68" s="13">
        <f ca="1">Bovespa!BP72</f>
        <v>6.61</v>
      </c>
      <c r="E68" s="13">
        <v>6.28</v>
      </c>
      <c r="F68">
        <v>6.59</v>
      </c>
    </row>
    <row r="69" spans="1:6" x14ac:dyDescent="0.25">
      <c r="A69" s="13" t="str">
        <f>Bovespa!BQ73</f>
        <v>RNEW3</v>
      </c>
      <c r="B69" s="13">
        <v>0.98</v>
      </c>
      <c r="C69" s="13">
        <v>1.4</v>
      </c>
      <c r="D69" s="13">
        <f ca="1">Bovespa!BP73</f>
        <v>1.04</v>
      </c>
      <c r="E69" s="13">
        <v>1.21</v>
      </c>
      <c r="F69">
        <v>1.04</v>
      </c>
    </row>
    <row r="70" spans="1:6" x14ac:dyDescent="0.25">
      <c r="A70" s="13" t="str">
        <f>Bovespa!BQ74</f>
        <v>CVCB3</v>
      </c>
      <c r="B70" s="13">
        <v>2.37</v>
      </c>
      <c r="C70" s="13">
        <v>2.39</v>
      </c>
      <c r="D70" s="13">
        <f ca="1">Bovespa!BP74</f>
        <v>2.0299999999999998</v>
      </c>
      <c r="E70" s="13">
        <v>2.35</v>
      </c>
      <c r="F70">
        <v>2.29</v>
      </c>
    </row>
    <row r="71" spans="1:6" x14ac:dyDescent="0.25">
      <c r="A71" s="13" t="str">
        <f>Bovespa!BQ75</f>
        <v>ORVR3</v>
      </c>
      <c r="B71" s="13">
        <v>51.22</v>
      </c>
      <c r="C71" s="13">
        <v>49</v>
      </c>
      <c r="D71" s="13">
        <f ca="1">Bovespa!BP75</f>
        <v>51.89</v>
      </c>
      <c r="E71" s="13">
        <v>47.93</v>
      </c>
      <c r="F71">
        <v>48.3</v>
      </c>
    </row>
    <row r="72" spans="1:6" x14ac:dyDescent="0.25">
      <c r="A72" s="13" t="str">
        <f>Bovespa!BQ76</f>
        <v>IRBR3</v>
      </c>
      <c r="B72" s="13">
        <v>44.36</v>
      </c>
      <c r="C72" s="13">
        <v>44.2</v>
      </c>
      <c r="D72" s="13">
        <f ca="1">Bovespa!BP76</f>
        <v>47.03</v>
      </c>
      <c r="E72" s="13">
        <v>44.32</v>
      </c>
      <c r="F72">
        <v>46.38</v>
      </c>
    </row>
    <row r="73" spans="1:6" x14ac:dyDescent="0.25">
      <c r="A73" s="13" t="str">
        <f>Bovespa!BQ77</f>
        <v>EALT4</v>
      </c>
      <c r="B73" s="13">
        <v>14.3</v>
      </c>
      <c r="C73" s="13">
        <v>14.14</v>
      </c>
      <c r="D73" s="13">
        <f ca="1">Bovespa!BP77</f>
        <v>11.31</v>
      </c>
      <c r="E73" s="13">
        <v>12.98</v>
      </c>
      <c r="F73">
        <v>13.95</v>
      </c>
    </row>
    <row r="74" spans="1:6" x14ac:dyDescent="0.25">
      <c r="A74" s="13" t="str">
        <f>Bovespa!BQ78</f>
        <v>GRND3</v>
      </c>
      <c r="B74" s="13">
        <v>5.31</v>
      </c>
      <c r="C74" s="13">
        <v>5.0999999999999996</v>
      </c>
      <c r="D74" s="13">
        <f ca="1">Bovespa!BP78</f>
        <v>5.3</v>
      </c>
      <c r="E74" s="13">
        <v>5.03</v>
      </c>
      <c r="F74">
        <v>5.26</v>
      </c>
    </row>
    <row r="75" spans="1:6" x14ac:dyDescent="0.25">
      <c r="A75" s="13" t="str">
        <f>Bovespa!BQ79</f>
        <v>BPAN4</v>
      </c>
      <c r="B75" s="13">
        <v>7.43</v>
      </c>
      <c r="C75" s="13">
        <v>7.6</v>
      </c>
      <c r="D75" s="13">
        <f ca="1">Bovespa!BP79</f>
        <v>8.25</v>
      </c>
      <c r="E75" s="13">
        <v>7.73</v>
      </c>
      <c r="F75">
        <v>7.42</v>
      </c>
    </row>
    <row r="76" spans="1:6" x14ac:dyDescent="0.25">
      <c r="A76" s="13" t="str">
        <f>Bovespa!BQ80</f>
        <v>WEGE3</v>
      </c>
      <c r="B76" s="13">
        <v>39.450000000000003</v>
      </c>
      <c r="C76" s="13">
        <v>42.37</v>
      </c>
      <c r="D76" s="13">
        <f ca="1">Bovespa!BP80</f>
        <v>35.97</v>
      </c>
      <c r="E76" s="13">
        <v>37.18</v>
      </c>
      <c r="F76">
        <v>38.07</v>
      </c>
    </row>
    <row r="77" spans="1:6" x14ac:dyDescent="0.25">
      <c r="A77" s="13" t="str">
        <f>Bovespa!BQ81</f>
        <v>EGIE3</v>
      </c>
      <c r="B77" s="13">
        <v>41.6</v>
      </c>
      <c r="C77" s="13">
        <v>41.71</v>
      </c>
      <c r="D77" s="13">
        <f ca="1">Bovespa!BP81</f>
        <v>39.35</v>
      </c>
      <c r="E77" s="13">
        <v>40.200000000000003</v>
      </c>
      <c r="F77">
        <v>40.6</v>
      </c>
    </row>
    <row r="78" spans="1:6" x14ac:dyDescent="0.25">
      <c r="A78" s="13" t="str">
        <f>Bovespa!BQ82</f>
        <v>JBSS3</v>
      </c>
      <c r="B78" s="13">
        <v>39.03</v>
      </c>
      <c r="C78" s="13">
        <v>39.03</v>
      </c>
      <c r="D78" s="13">
        <f ca="1">Bovespa!BP82</f>
        <v>39.03</v>
      </c>
      <c r="E78" s="13">
        <v>39.03</v>
      </c>
      <c r="F78">
        <v>39.03</v>
      </c>
    </row>
    <row r="79" spans="1:6" x14ac:dyDescent="0.25">
      <c r="A79" s="13" t="str">
        <f>Bovespa!BQ83</f>
        <v>PFRM3</v>
      </c>
      <c r="B79" s="13">
        <v>8.2899999999999991</v>
      </c>
      <c r="C79" s="13">
        <v>8.02</v>
      </c>
      <c r="D79" s="13">
        <f ca="1">Bovespa!BP83</f>
        <v>7.99</v>
      </c>
      <c r="E79" s="13">
        <v>7.39</v>
      </c>
      <c r="F79">
        <v>7.41</v>
      </c>
    </row>
    <row r="80" spans="1:6" x14ac:dyDescent="0.25">
      <c r="A80" s="13" t="str">
        <f>Bovespa!BQ84</f>
        <v>EQTL3</v>
      </c>
      <c r="B80" s="13">
        <v>34.340000000000003</v>
      </c>
      <c r="C80" s="13">
        <v>34.22</v>
      </c>
      <c r="D80" s="13">
        <f ca="1">Bovespa!BP84</f>
        <v>35.9</v>
      </c>
      <c r="E80" s="13">
        <v>34.33</v>
      </c>
      <c r="F80">
        <v>35.69</v>
      </c>
    </row>
    <row r="81" spans="1:6" x14ac:dyDescent="0.25">
      <c r="A81" s="13" t="str">
        <f>Bovespa!BQ85</f>
        <v>NEOE3</v>
      </c>
      <c r="B81" s="13">
        <v>24.23</v>
      </c>
      <c r="C81" s="13">
        <v>23.5</v>
      </c>
      <c r="D81" s="13">
        <f ca="1">Bovespa!BP85</f>
        <v>26.7</v>
      </c>
      <c r="E81" s="13">
        <v>24.76</v>
      </c>
      <c r="F81">
        <v>26.8</v>
      </c>
    </row>
    <row r="82" spans="1:6" x14ac:dyDescent="0.25">
      <c r="A82" s="13" t="str">
        <f>Bovespa!BQ86</f>
        <v>POSI3</v>
      </c>
      <c r="B82" s="13">
        <v>4.62</v>
      </c>
      <c r="C82" s="13">
        <v>4.3899999999999997</v>
      </c>
      <c r="D82" s="13">
        <f ca="1">Bovespa!BP86</f>
        <v>4.07</v>
      </c>
      <c r="E82" s="13">
        <v>3.97</v>
      </c>
      <c r="F82">
        <v>4.08</v>
      </c>
    </row>
    <row r="83" spans="1:6" x14ac:dyDescent="0.25">
      <c r="A83" s="13" t="str">
        <f>Bovespa!BQ87</f>
        <v>WEST3</v>
      </c>
      <c r="B83" s="13">
        <v>3.57</v>
      </c>
      <c r="C83" s="13">
        <v>3.63</v>
      </c>
      <c r="D83" s="13">
        <f ca="1">Bovespa!BP87</f>
        <v>4.43</v>
      </c>
      <c r="E83" s="13">
        <v>4.24</v>
      </c>
      <c r="F83">
        <v>4.8</v>
      </c>
    </row>
    <row r="84" spans="1:6" x14ac:dyDescent="0.25">
      <c r="A84" s="13" t="str">
        <f>Bovespa!BQ88</f>
        <v>MDIA3</v>
      </c>
      <c r="B84" s="13">
        <v>26.75</v>
      </c>
      <c r="C84" s="13">
        <v>24.73</v>
      </c>
      <c r="D84" s="13">
        <f ca="1">Bovespa!BP88</f>
        <v>28.98</v>
      </c>
      <c r="E84" s="13">
        <v>24.17</v>
      </c>
      <c r="F84">
        <v>24.8</v>
      </c>
    </row>
    <row r="85" spans="1:6" x14ac:dyDescent="0.25">
      <c r="A85" s="13" t="str">
        <f>Bovespa!BQ89</f>
        <v>BBDC4</v>
      </c>
      <c r="B85" s="13">
        <v>16.05</v>
      </c>
      <c r="C85" s="13">
        <v>15.67</v>
      </c>
      <c r="D85" s="13">
        <f ca="1">Bovespa!BP89</f>
        <v>16.03</v>
      </c>
      <c r="E85" s="13">
        <v>15.56</v>
      </c>
      <c r="F85">
        <v>15.97</v>
      </c>
    </row>
    <row r="86" spans="1:6" x14ac:dyDescent="0.25">
      <c r="A86" s="13" t="str">
        <f>Bovespa!BQ90</f>
        <v>PSSA3</v>
      </c>
      <c r="B86" s="13">
        <v>52.35</v>
      </c>
      <c r="C86" s="13">
        <v>51.81</v>
      </c>
      <c r="D86" s="13">
        <f ca="1">Bovespa!BP90</f>
        <v>52.36</v>
      </c>
      <c r="E86" s="13">
        <v>52.27</v>
      </c>
      <c r="F86">
        <v>53.55</v>
      </c>
    </row>
    <row r="87" spans="1:6" x14ac:dyDescent="0.25">
      <c r="A87" s="13" t="str">
        <f>Bovespa!BQ91</f>
        <v>RNEW4</v>
      </c>
      <c r="B87" s="13">
        <v>0.99</v>
      </c>
      <c r="C87" s="13">
        <v>1.31</v>
      </c>
      <c r="D87" s="13">
        <f ca="1">Bovespa!BP91</f>
        <v>1.01</v>
      </c>
      <c r="E87" s="13">
        <v>1.1499999999999999</v>
      </c>
      <c r="F87">
        <v>0.99</v>
      </c>
    </row>
    <row r="88" spans="1:6" x14ac:dyDescent="0.25">
      <c r="A88" s="13" t="str">
        <f>Bovespa!BQ92</f>
        <v>UNIP6</v>
      </c>
      <c r="B88" s="13">
        <v>58.9</v>
      </c>
      <c r="C88" s="13">
        <v>56.17</v>
      </c>
      <c r="D88" s="13">
        <f ca="1">Bovespa!BP92</f>
        <v>57.47</v>
      </c>
      <c r="E88" s="13">
        <v>55.13</v>
      </c>
      <c r="F88">
        <v>59.74</v>
      </c>
    </row>
    <row r="89" spans="1:6" x14ac:dyDescent="0.25">
      <c r="A89" s="13" t="str">
        <f>Bovespa!BQ93</f>
        <v>EZTC3</v>
      </c>
      <c r="B89" s="13">
        <v>13.26</v>
      </c>
      <c r="C89" s="13">
        <v>13.09</v>
      </c>
      <c r="D89" s="13">
        <f ca="1">Bovespa!BP93</f>
        <v>14.34</v>
      </c>
      <c r="E89" s="13">
        <v>14.13</v>
      </c>
      <c r="F89">
        <v>14.63</v>
      </c>
    </row>
    <row r="90" spans="1:6" x14ac:dyDescent="0.25">
      <c r="A90" s="13" t="str">
        <f>Bovespa!BQ94</f>
        <v>SUZB3</v>
      </c>
      <c r="B90" s="13">
        <v>49.74</v>
      </c>
      <c r="C90" s="13">
        <v>50.61</v>
      </c>
      <c r="D90" s="13">
        <f ca="1">Bovespa!BP94</f>
        <v>53.33</v>
      </c>
      <c r="E90" s="13">
        <v>51.74</v>
      </c>
      <c r="F90">
        <v>54.52</v>
      </c>
    </row>
    <row r="91" spans="1:6" x14ac:dyDescent="0.25">
      <c r="A91" s="13" t="str">
        <f>Bovespa!BQ95</f>
        <v>BMEB4</v>
      </c>
      <c r="B91" s="13">
        <v>39.159999999999997</v>
      </c>
      <c r="C91" s="13">
        <v>38.61</v>
      </c>
      <c r="D91" s="13">
        <f ca="1">Bovespa!BP95</f>
        <v>42.95</v>
      </c>
      <c r="E91" s="13">
        <v>41.5</v>
      </c>
      <c r="F91">
        <v>41.65</v>
      </c>
    </row>
    <row r="92" spans="1:6" x14ac:dyDescent="0.25">
      <c r="A92" s="13" t="str">
        <f>Bovespa!BQ96</f>
        <v>CPLE3</v>
      </c>
      <c r="B92" s="13">
        <v>11.21</v>
      </c>
      <c r="C92" s="13">
        <v>11.11</v>
      </c>
      <c r="D92" s="13">
        <f ca="1">Bovespa!BP96</f>
        <v>11.29</v>
      </c>
      <c r="E92" s="13">
        <v>11.18</v>
      </c>
      <c r="F92">
        <v>11.47</v>
      </c>
    </row>
    <row r="93" spans="1:6" x14ac:dyDescent="0.25">
      <c r="A93" s="13" t="str">
        <f>Bovespa!BQ97</f>
        <v>PETR3</v>
      </c>
      <c r="B93" s="13">
        <v>35.54</v>
      </c>
      <c r="C93" s="13">
        <v>33.64</v>
      </c>
      <c r="D93" s="13">
        <f ca="1">Bovespa!BP97</f>
        <v>32.6</v>
      </c>
      <c r="E93" s="13">
        <v>35.28</v>
      </c>
      <c r="F93">
        <v>32.840000000000003</v>
      </c>
    </row>
    <row r="94" spans="1:6" x14ac:dyDescent="0.25">
      <c r="A94" s="13" t="str">
        <f>Bovespa!BQ98</f>
        <v>BBDC3</v>
      </c>
      <c r="B94" s="13">
        <v>13.83</v>
      </c>
      <c r="C94" s="13">
        <v>13.45</v>
      </c>
      <c r="D94" s="13">
        <f ca="1">Bovespa!BP98</f>
        <v>13.79</v>
      </c>
      <c r="E94" s="13">
        <v>13.38</v>
      </c>
      <c r="F94">
        <v>13.73</v>
      </c>
    </row>
    <row r="95" spans="1:6" x14ac:dyDescent="0.25">
      <c r="A95" s="13" t="str">
        <f>Bovespa!BQ99</f>
        <v>POMO4</v>
      </c>
      <c r="B95" s="13">
        <v>8.0299999999999994</v>
      </c>
      <c r="C95" s="13">
        <v>8.15</v>
      </c>
      <c r="D95" s="13">
        <f ca="1">Bovespa!BP99</f>
        <v>9.02</v>
      </c>
      <c r="E95" s="13">
        <v>8.89</v>
      </c>
      <c r="F95">
        <v>8.9</v>
      </c>
    </row>
    <row r="96" spans="1:6" x14ac:dyDescent="0.25">
      <c r="A96" s="13" t="str">
        <f>Bovespa!BQ100</f>
        <v>VALE3</v>
      </c>
      <c r="B96" s="13">
        <v>56</v>
      </c>
      <c r="C96" s="13">
        <v>54.56</v>
      </c>
      <c r="D96" s="13">
        <f ca="1">Bovespa!BP100</f>
        <v>53.32</v>
      </c>
      <c r="E96" s="13">
        <v>53.75</v>
      </c>
      <c r="F96">
        <v>55.4</v>
      </c>
    </row>
    <row r="97" spans="1:6" x14ac:dyDescent="0.25">
      <c r="A97" s="13" t="str">
        <f>Bovespa!BQ101</f>
        <v>RADL3</v>
      </c>
      <c r="B97" s="13">
        <v>13.76</v>
      </c>
      <c r="C97" s="13">
        <v>13.53</v>
      </c>
      <c r="D97" s="13">
        <f ca="1">Bovespa!BP101</f>
        <v>17.47</v>
      </c>
      <c r="E97" s="13">
        <v>13.7</v>
      </c>
      <c r="F97">
        <v>17.68</v>
      </c>
    </row>
    <row r="98" spans="1:6" x14ac:dyDescent="0.25">
      <c r="A98" s="13" t="str">
        <f>Bovespa!BQ102</f>
        <v>GGPS3</v>
      </c>
      <c r="B98" s="13">
        <v>15.71</v>
      </c>
      <c r="C98" s="13">
        <v>15.13</v>
      </c>
      <c r="D98" s="13">
        <f ca="1">Bovespa!BP102</f>
        <v>16.29</v>
      </c>
      <c r="E98" s="13">
        <v>14.33</v>
      </c>
      <c r="F98">
        <v>14.42</v>
      </c>
    </row>
    <row r="99" spans="1:6" x14ac:dyDescent="0.25">
      <c r="A99" s="13" t="str">
        <f>Bovespa!BQ103</f>
        <v>HBSA3</v>
      </c>
      <c r="B99" s="13">
        <v>3.47</v>
      </c>
      <c r="C99" s="13">
        <v>3.62</v>
      </c>
      <c r="D99" s="13">
        <f ca="1">Bovespa!BP103</f>
        <v>3.66</v>
      </c>
      <c r="E99" s="13">
        <v>3.59</v>
      </c>
      <c r="F99">
        <v>3.59</v>
      </c>
    </row>
    <row r="100" spans="1:6" x14ac:dyDescent="0.25">
      <c r="A100" s="13" t="str">
        <f>Bovespa!BQ104</f>
        <v>CCRO3</v>
      </c>
      <c r="B100" s="13">
        <v>12.94</v>
      </c>
      <c r="C100" s="13">
        <v>12.55</v>
      </c>
      <c r="D100" s="13">
        <f ca="1">Bovespa!BP104</f>
        <v>13.3</v>
      </c>
      <c r="E100" s="13">
        <v>12.5</v>
      </c>
      <c r="F100">
        <v>13</v>
      </c>
    </row>
    <row r="101" spans="1:6" x14ac:dyDescent="0.25">
      <c r="A101" s="13" t="str">
        <f>Bovespa!BQ105</f>
        <v>MELK3</v>
      </c>
      <c r="B101" s="13">
        <v>3.48</v>
      </c>
      <c r="C101" s="13">
        <v>3.35</v>
      </c>
      <c r="D101" s="13">
        <f ca="1">Bovespa!BP105</f>
        <v>3.75</v>
      </c>
      <c r="E101" s="13">
        <v>3.31</v>
      </c>
      <c r="F101">
        <v>3.37</v>
      </c>
    </row>
    <row r="102" spans="1:6" x14ac:dyDescent="0.25">
      <c r="A102" s="13" t="str">
        <f>Bovespa!BQ106</f>
        <v>CPFE3</v>
      </c>
      <c r="B102" s="13">
        <v>38.06</v>
      </c>
      <c r="C102" s="13">
        <v>38.18</v>
      </c>
      <c r="D102" s="13">
        <f ca="1">Bovespa!BP106</f>
        <v>39.479999999999997</v>
      </c>
      <c r="E102" s="13">
        <v>37.93</v>
      </c>
      <c r="F102">
        <v>39.770000000000003</v>
      </c>
    </row>
    <row r="103" spans="1:6" x14ac:dyDescent="0.25">
      <c r="A103" s="13" t="str">
        <f>Bovespa!BQ107</f>
        <v>SBSP3</v>
      </c>
      <c r="B103" s="13">
        <v>111.63</v>
      </c>
      <c r="C103" s="13">
        <v>110.68</v>
      </c>
      <c r="D103" s="13">
        <f ca="1">Bovespa!BP107</f>
        <v>116.45</v>
      </c>
      <c r="E103" s="13">
        <v>108.87</v>
      </c>
      <c r="F103">
        <v>111.9</v>
      </c>
    </row>
    <row r="104" spans="1:6" x14ac:dyDescent="0.25">
      <c r="A104" s="13" t="str">
        <f>Bovespa!BQ108</f>
        <v>SOJA3</v>
      </c>
      <c r="B104" s="13">
        <v>11.17</v>
      </c>
      <c r="C104" s="13">
        <v>10.27</v>
      </c>
      <c r="D104" s="13">
        <f ca="1">Bovespa!BP108</f>
        <v>10.119999999999999</v>
      </c>
      <c r="E104" s="13">
        <v>10.36</v>
      </c>
      <c r="F104">
        <v>10.59</v>
      </c>
    </row>
    <row r="105" spans="1:6" x14ac:dyDescent="0.25">
      <c r="A105" s="13" t="str">
        <f>Bovespa!BQ109</f>
        <v>PTNT4</v>
      </c>
      <c r="B105" s="13">
        <v>4.76</v>
      </c>
      <c r="C105" s="13">
        <v>4.62</v>
      </c>
      <c r="D105" s="13">
        <f ca="1">Bovespa!BP109</f>
        <v>4.59</v>
      </c>
      <c r="E105" s="13">
        <v>4.6100000000000003</v>
      </c>
      <c r="F105">
        <v>4.7699999999999996</v>
      </c>
    </row>
    <row r="106" spans="1:6" x14ac:dyDescent="0.25">
      <c r="A106" s="13" t="str">
        <f>Bovespa!BQ110</f>
        <v>DESK3</v>
      </c>
      <c r="B106" s="13">
        <v>9</v>
      </c>
      <c r="C106" s="13">
        <v>8.1199999999999992</v>
      </c>
      <c r="D106" s="13">
        <f ca="1">Bovespa!BP110</f>
        <v>7.82</v>
      </c>
      <c r="E106" s="13">
        <v>8.1199999999999992</v>
      </c>
      <c r="F106">
        <v>7.88</v>
      </c>
    </row>
    <row r="107" spans="1:6" x14ac:dyDescent="0.25">
      <c r="A107" s="13" t="str">
        <f>Bovespa!BQ111</f>
        <v>IGTI3</v>
      </c>
      <c r="B107" s="13">
        <v>2.64</v>
      </c>
      <c r="C107" s="13">
        <v>2.48</v>
      </c>
      <c r="D107" s="13">
        <f ca="1">Bovespa!BP111</f>
        <v>2.71</v>
      </c>
      <c r="E107" s="13">
        <v>2.44</v>
      </c>
      <c r="F107">
        <v>2.56</v>
      </c>
    </row>
    <row r="108" spans="1:6" x14ac:dyDescent="0.25">
      <c r="A108" s="13" t="str">
        <f>Bovespa!BQ112</f>
        <v>IGTI3</v>
      </c>
      <c r="B108" s="13">
        <v>2.64</v>
      </c>
      <c r="C108" s="13">
        <v>2.48</v>
      </c>
      <c r="D108" s="13">
        <f ca="1">Bovespa!BP112</f>
        <v>2.71</v>
      </c>
      <c r="E108" s="13">
        <v>2.44</v>
      </c>
      <c r="F108">
        <v>2.56</v>
      </c>
    </row>
    <row r="109" spans="1:6" x14ac:dyDescent="0.25">
      <c r="A109" s="13" t="str">
        <f>Bovespa!BQ113</f>
        <v>KEPL3</v>
      </c>
      <c r="B109" s="13">
        <v>7.56</v>
      </c>
      <c r="C109" s="13">
        <v>7.56</v>
      </c>
      <c r="D109" s="13">
        <f>Bovespa!BP113</f>
        <v>7.56</v>
      </c>
      <c r="E109" s="13">
        <v>7.56</v>
      </c>
      <c r="F109">
        <v>7.56</v>
      </c>
    </row>
    <row r="110" spans="1:6" x14ac:dyDescent="0.25">
      <c r="A110" s="13" t="str">
        <f>Bovespa!BQ114</f>
        <v>LREN3</v>
      </c>
      <c r="B110" s="13">
        <v>18.600000000000001</v>
      </c>
      <c r="C110" s="13">
        <v>17.73</v>
      </c>
      <c r="D110" s="13">
        <f ca="1">Bovespa!BP114</f>
        <v>16.13</v>
      </c>
      <c r="E110" s="13">
        <v>16.489999999999998</v>
      </c>
      <c r="F110">
        <v>16.68</v>
      </c>
    </row>
    <row r="111" spans="1:6" x14ac:dyDescent="0.25">
      <c r="A111" s="13" t="str">
        <f>Bovespa!BQ115</f>
        <v>MRFG3</v>
      </c>
      <c r="B111" s="13">
        <v>23</v>
      </c>
      <c r="C111" s="13">
        <v>22.64</v>
      </c>
      <c r="D111" s="13">
        <f ca="1">Bovespa!BP115</f>
        <v>23.36</v>
      </c>
      <c r="E111" s="13">
        <v>21.42</v>
      </c>
      <c r="F111">
        <v>22.31</v>
      </c>
    </row>
    <row r="112" spans="1:6" x14ac:dyDescent="0.25">
      <c r="A112" s="13" t="str">
        <f>Bovespa!BQ116</f>
        <v>JFEN3</v>
      </c>
      <c r="B112" s="13">
        <v>1.74</v>
      </c>
      <c r="C112" s="13">
        <v>1.56</v>
      </c>
      <c r="D112" s="13">
        <f ca="1">Bovespa!BP116</f>
        <v>1.49</v>
      </c>
      <c r="E112" s="13">
        <v>1.56</v>
      </c>
      <c r="F112">
        <v>1.51</v>
      </c>
    </row>
    <row r="113" spans="1:6" x14ac:dyDescent="0.25">
      <c r="A113" s="13" t="str">
        <f>Bovespa!BQ117</f>
        <v>USIM3</v>
      </c>
      <c r="B113" s="13">
        <v>4.37</v>
      </c>
      <c r="C113" s="13">
        <v>4.0199999999999996</v>
      </c>
      <c r="D113" s="13">
        <f ca="1">Bovespa!BP117</f>
        <v>4.18</v>
      </c>
      <c r="E113" s="13">
        <v>4.59</v>
      </c>
      <c r="F113">
        <v>4.68</v>
      </c>
    </row>
    <row r="114" spans="1:6" x14ac:dyDescent="0.25">
      <c r="A114" s="13" t="str">
        <f>Bovespa!BQ118</f>
        <v>CURY3</v>
      </c>
      <c r="B114" s="13">
        <v>29.75</v>
      </c>
      <c r="C114" s="13">
        <v>29.81</v>
      </c>
      <c r="D114" s="13">
        <f ca="1">Bovespa!BP118</f>
        <v>32</v>
      </c>
      <c r="E114" s="13">
        <v>30.1</v>
      </c>
      <c r="F114">
        <v>32</v>
      </c>
    </row>
    <row r="115" spans="1:6" x14ac:dyDescent="0.25">
      <c r="A115" s="13" t="str">
        <f>Bovespa!BQ119</f>
        <v>UGPA3</v>
      </c>
      <c r="B115" s="13">
        <v>17.100000000000001</v>
      </c>
      <c r="C115" s="13">
        <v>15.7</v>
      </c>
      <c r="D115" s="13">
        <f ca="1">Bovespa!BP119</f>
        <v>17.59</v>
      </c>
      <c r="E115" s="13">
        <v>16.920000000000002</v>
      </c>
      <c r="F115">
        <v>16.46</v>
      </c>
    </row>
    <row r="116" spans="1:6" x14ac:dyDescent="0.25">
      <c r="A116" s="13" t="str">
        <f>Bovespa!BQ120</f>
        <v>DXCO3</v>
      </c>
      <c r="B116" s="13">
        <v>5.35</v>
      </c>
      <c r="C116" s="13">
        <v>5.14</v>
      </c>
      <c r="D116" s="13">
        <f ca="1">Bovespa!BP120</f>
        <v>5.68</v>
      </c>
      <c r="E116" s="13">
        <v>5.61</v>
      </c>
      <c r="F116">
        <v>5.76</v>
      </c>
    </row>
    <row r="117" spans="1:6" x14ac:dyDescent="0.25">
      <c r="A117" s="13" t="str">
        <f>Bovespa!BQ121</f>
        <v>TEND3</v>
      </c>
      <c r="B117" s="13">
        <v>22.85</v>
      </c>
      <c r="C117" s="13">
        <v>22.48</v>
      </c>
      <c r="D117" s="13">
        <f ca="1">Bovespa!BP121</f>
        <v>21.4</v>
      </c>
      <c r="E117" s="13">
        <v>22.09</v>
      </c>
      <c r="F117">
        <v>21.25</v>
      </c>
    </row>
    <row r="118" spans="1:6" x14ac:dyDescent="0.25">
      <c r="A118" s="13" t="str">
        <f>Bovespa!BQ122</f>
        <v>ELET3</v>
      </c>
      <c r="B118" s="13">
        <v>39.31</v>
      </c>
      <c r="C118" s="13">
        <v>38.96</v>
      </c>
      <c r="D118" s="13">
        <f ca="1">Bovespa!BP122</f>
        <v>44.25</v>
      </c>
      <c r="E118" s="13">
        <v>37.880000000000003</v>
      </c>
      <c r="F118">
        <v>44.28</v>
      </c>
    </row>
    <row r="119" spans="1:6" x14ac:dyDescent="0.25">
      <c r="A119" s="13" t="str">
        <f>Bovespa!BQ123</f>
        <v>WIZC3</v>
      </c>
      <c r="B119" s="13">
        <v>7.71</v>
      </c>
      <c r="C119" s="13">
        <v>7.37</v>
      </c>
      <c r="D119" s="13">
        <f ca="1">Bovespa!BP123</f>
        <v>7.91</v>
      </c>
      <c r="E119" s="13">
        <v>7.44</v>
      </c>
      <c r="F119">
        <v>8.15</v>
      </c>
    </row>
    <row r="120" spans="1:6" x14ac:dyDescent="0.25">
      <c r="A120" s="13" t="str">
        <f>Bovespa!BQ124</f>
        <v>SAPR4</v>
      </c>
      <c r="B120" s="13">
        <v>7.23</v>
      </c>
      <c r="C120" s="13">
        <v>6.98</v>
      </c>
      <c r="D120" s="13">
        <f ca="1">Bovespa!BP124</f>
        <v>6.55</v>
      </c>
      <c r="E120" s="13">
        <v>6.58</v>
      </c>
      <c r="F120">
        <v>6.38</v>
      </c>
    </row>
    <row r="121" spans="1:6" x14ac:dyDescent="0.25">
      <c r="A121" s="13" t="str">
        <f>Bovespa!BQ125</f>
        <v>NTCO3</v>
      </c>
      <c r="B121" s="13">
        <v>9.7899999999999991</v>
      </c>
      <c r="C121" s="13">
        <v>9.51</v>
      </c>
      <c r="D121" s="13">
        <f ca="1">Bovespa!BP125</f>
        <v>9.14</v>
      </c>
      <c r="E121" s="13">
        <v>8.91</v>
      </c>
      <c r="F121">
        <v>8.8000000000000007</v>
      </c>
    </row>
    <row r="122" spans="1:6" x14ac:dyDescent="0.25">
      <c r="A122" s="13" t="str">
        <f>Bovespa!BQ126</f>
        <v>EVEN3</v>
      </c>
      <c r="B122" s="13">
        <v>7.22</v>
      </c>
      <c r="C122" s="13">
        <v>7.01</v>
      </c>
      <c r="D122" s="13">
        <f ca="1">Bovespa!BP126</f>
        <v>7.22</v>
      </c>
      <c r="E122" s="13">
        <v>6.95</v>
      </c>
      <c r="F122">
        <v>7.07</v>
      </c>
    </row>
    <row r="123" spans="1:6" x14ac:dyDescent="0.25">
      <c r="A123" s="13" t="str">
        <f>Bovespa!BQ127</f>
        <v>ITUB3</v>
      </c>
      <c r="B123" s="13">
        <v>31.6</v>
      </c>
      <c r="C123" s="13">
        <v>31.36</v>
      </c>
      <c r="D123" s="13">
        <f ca="1">Bovespa!BP127</f>
        <v>33.5</v>
      </c>
      <c r="E123" s="13">
        <v>31.19</v>
      </c>
      <c r="F123">
        <v>33.090000000000003</v>
      </c>
    </row>
    <row r="124" spans="1:6" x14ac:dyDescent="0.25">
      <c r="A124" s="13" t="str">
        <f>Bovespa!BQ128</f>
        <v>UCAS3</v>
      </c>
      <c r="B124" s="13">
        <v>1.41</v>
      </c>
      <c r="C124" s="13">
        <v>1.4</v>
      </c>
      <c r="D124" s="13">
        <f ca="1">Bovespa!BP128</f>
        <v>1.37</v>
      </c>
      <c r="E124" s="13">
        <v>1.4</v>
      </c>
      <c r="F124">
        <v>1.33</v>
      </c>
    </row>
    <row r="125" spans="1:6" x14ac:dyDescent="0.25">
      <c r="A125" s="13" t="str">
        <f>Bovespa!BQ129</f>
        <v>USIM5</v>
      </c>
      <c r="B125" s="13">
        <v>4.29</v>
      </c>
      <c r="C125" s="13">
        <v>3.92</v>
      </c>
      <c r="D125" s="13">
        <f ca="1">Bovespa!BP129</f>
        <v>4</v>
      </c>
      <c r="E125" s="13">
        <v>4.3899999999999997</v>
      </c>
      <c r="F125">
        <v>4.45</v>
      </c>
    </row>
    <row r="126" spans="1:6" x14ac:dyDescent="0.25">
      <c r="A126" s="13" t="str">
        <f>Bovespa!BQ130</f>
        <v>JALL3</v>
      </c>
      <c r="B126" s="13">
        <v>3.68</v>
      </c>
      <c r="C126" s="13">
        <v>3.57</v>
      </c>
      <c r="D126" s="13">
        <f ca="1">Bovespa!BP130</f>
        <v>2.85</v>
      </c>
      <c r="E126" s="13">
        <v>3.22</v>
      </c>
      <c r="F126">
        <v>3.15</v>
      </c>
    </row>
    <row r="127" spans="1:6" x14ac:dyDescent="0.25">
      <c r="A127" s="13" t="str">
        <f>Bovespa!BQ131</f>
        <v>BRAP4</v>
      </c>
      <c r="B127" s="13">
        <v>16.66</v>
      </c>
      <c r="C127" s="13">
        <v>16.190000000000001</v>
      </c>
      <c r="D127" s="13">
        <f ca="1">Bovespa!BP131</f>
        <v>15.82</v>
      </c>
      <c r="E127" s="13">
        <v>15.7</v>
      </c>
      <c r="F127">
        <v>16.03</v>
      </c>
    </row>
    <row r="128" spans="1:6" x14ac:dyDescent="0.25">
      <c r="A128" s="13" t="str">
        <f>Bovespa!BQ132</f>
        <v>CSMG3</v>
      </c>
      <c r="B128" s="13">
        <v>27.28</v>
      </c>
      <c r="C128" s="13">
        <v>26.12</v>
      </c>
      <c r="D128" s="13">
        <f ca="1">Bovespa!BP132</f>
        <v>26.73</v>
      </c>
      <c r="E128" s="13">
        <v>25.83</v>
      </c>
      <c r="F128">
        <v>25.2</v>
      </c>
    </row>
    <row r="129" spans="1:6" x14ac:dyDescent="0.25">
      <c r="A129" s="13" t="str">
        <f>Bovespa!BQ133</f>
        <v>RENT3</v>
      </c>
      <c r="B129" s="13">
        <v>36.659999999999997</v>
      </c>
      <c r="C129" s="13">
        <v>35.799999999999997</v>
      </c>
      <c r="D129" s="13">
        <f ca="1">Bovespa!BP133</f>
        <v>34.22</v>
      </c>
      <c r="E129" s="13">
        <v>34.369999999999997</v>
      </c>
      <c r="F129">
        <v>35.4</v>
      </c>
    </row>
    <row r="130" spans="1:6" x14ac:dyDescent="0.25">
      <c r="A130" s="13" t="str">
        <f>Bovespa!BQ134</f>
        <v>RAPT4</v>
      </c>
      <c r="B130" s="13">
        <v>8.0399999999999991</v>
      </c>
      <c r="C130" s="13">
        <v>7.87</v>
      </c>
      <c r="D130" s="13">
        <f ca="1">Bovespa!BP134</f>
        <v>6.61</v>
      </c>
      <c r="E130" s="13">
        <v>7.15</v>
      </c>
      <c r="F130">
        <v>6.31</v>
      </c>
    </row>
    <row r="131" spans="1:6" x14ac:dyDescent="0.25">
      <c r="A131" s="13" t="str">
        <f>Bovespa!BQ135</f>
        <v>RAPT3</v>
      </c>
      <c r="B131" s="13">
        <v>7.91</v>
      </c>
      <c r="C131" s="13">
        <v>7.65</v>
      </c>
      <c r="D131" s="13">
        <f ca="1">Bovespa!BP135</f>
        <v>6.27</v>
      </c>
      <c r="E131" s="13">
        <v>6.97</v>
      </c>
      <c r="F131">
        <v>6.26</v>
      </c>
    </row>
    <row r="132" spans="1:6" x14ac:dyDescent="0.25">
      <c r="A132" s="13" t="str">
        <f>Bovespa!BQ136</f>
        <v>MBLY3</v>
      </c>
      <c r="B132" s="13">
        <v>1.0900000000000001</v>
      </c>
      <c r="C132" s="13">
        <v>1</v>
      </c>
      <c r="D132" s="13">
        <f ca="1">Bovespa!BP136</f>
        <v>1.01</v>
      </c>
      <c r="E132" s="13">
        <v>1.2</v>
      </c>
      <c r="F132">
        <v>1.18</v>
      </c>
    </row>
    <row r="133" spans="1:6" x14ac:dyDescent="0.25">
      <c r="A133" s="13" t="str">
        <f>Bovespa!BQ137</f>
        <v>GOAU4</v>
      </c>
      <c r="B133" s="13">
        <v>9.32</v>
      </c>
      <c r="C133" s="13">
        <v>9</v>
      </c>
      <c r="D133" s="13">
        <f ca="1">Bovespa!BP137</f>
        <v>9.09</v>
      </c>
      <c r="E133" s="13">
        <v>8.99</v>
      </c>
      <c r="F133">
        <v>9.1199999999999992</v>
      </c>
    </row>
    <row r="134" spans="1:6" x14ac:dyDescent="0.25">
      <c r="A134" s="13" t="str">
        <f>Bovespa!BQ138</f>
        <v>DOHL4</v>
      </c>
      <c r="B134" s="13">
        <v>4.33</v>
      </c>
      <c r="C134" s="13">
        <v>4.25</v>
      </c>
      <c r="D134" s="13">
        <f ca="1">Bovespa!BP138</f>
        <v>4</v>
      </c>
      <c r="E134" s="13">
        <v>4</v>
      </c>
      <c r="F134">
        <v>4.03</v>
      </c>
    </row>
    <row r="135" spans="1:6" x14ac:dyDescent="0.25">
      <c r="A135" s="13" t="str">
        <f>Bovespa!BQ139</f>
        <v>BRFS3</v>
      </c>
      <c r="B135" s="13">
        <v>21.88</v>
      </c>
      <c r="C135" s="13">
        <v>20.399999999999999</v>
      </c>
      <c r="D135" s="13">
        <f ca="1">Bovespa!BP139</f>
        <v>19.93</v>
      </c>
      <c r="E135" s="13">
        <v>20.32</v>
      </c>
      <c r="F135">
        <v>19.489999999999998</v>
      </c>
    </row>
    <row r="136" spans="1:6" x14ac:dyDescent="0.25">
      <c r="A136" s="13" t="str">
        <f>Bovespa!BQ140</f>
        <v>INTB3</v>
      </c>
      <c r="B136" s="13">
        <v>14.28</v>
      </c>
      <c r="C136" s="13">
        <v>14.55</v>
      </c>
      <c r="D136" s="13">
        <f ca="1">Bovespa!BP140</f>
        <v>12.52</v>
      </c>
      <c r="E136" s="13">
        <v>13.99</v>
      </c>
      <c r="F136">
        <v>12.86</v>
      </c>
    </row>
    <row r="137" spans="1:6" x14ac:dyDescent="0.25">
      <c r="A137" s="13" t="str">
        <f>Bovespa!BQ141</f>
        <v>CBAV3</v>
      </c>
      <c r="B137" s="13">
        <v>4.9000000000000004</v>
      </c>
      <c r="C137" s="13">
        <v>4.5</v>
      </c>
      <c r="D137" s="13">
        <f ca="1">Bovespa!BP141</f>
        <v>3.09</v>
      </c>
      <c r="E137" s="13">
        <v>4.6500000000000004</v>
      </c>
      <c r="F137">
        <v>3.5</v>
      </c>
    </row>
    <row r="138" spans="1:6" x14ac:dyDescent="0.25">
      <c r="A138" s="13" t="str">
        <f>Bovespa!BQ142</f>
        <v>KLBN3</v>
      </c>
      <c r="B138" s="13">
        <v>3.81</v>
      </c>
      <c r="C138" s="13">
        <v>3.84</v>
      </c>
      <c r="D138" s="13">
        <f ca="1">Bovespa!BP142</f>
        <v>3.68</v>
      </c>
      <c r="E138" s="13">
        <v>3.75</v>
      </c>
      <c r="F138">
        <v>3.85</v>
      </c>
    </row>
    <row r="139" spans="1:6" x14ac:dyDescent="0.25">
      <c r="A139" s="13" t="str">
        <f>Bovespa!BQ143</f>
        <v>GMAT3</v>
      </c>
      <c r="B139" s="13">
        <v>7.95</v>
      </c>
      <c r="C139" s="13">
        <v>7.71</v>
      </c>
      <c r="D139" s="13">
        <f ca="1">Bovespa!BP143</f>
        <v>7.04</v>
      </c>
      <c r="E139" s="13">
        <v>7.37</v>
      </c>
      <c r="F139">
        <v>7.69</v>
      </c>
    </row>
    <row r="140" spans="1:6" x14ac:dyDescent="0.25">
      <c r="A140" s="13" t="str">
        <f>Bovespa!BQ144</f>
        <v>TIMS3</v>
      </c>
      <c r="B140" s="13">
        <v>21.16</v>
      </c>
      <c r="C140" s="13">
        <v>20.37</v>
      </c>
      <c r="D140" s="13">
        <f ca="1">Bovespa!BP144</f>
        <v>22.3</v>
      </c>
      <c r="E140" s="13">
        <v>20.72</v>
      </c>
      <c r="F140">
        <v>22.36</v>
      </c>
    </row>
    <row r="141" spans="1:6" x14ac:dyDescent="0.25">
      <c r="A141" s="13" t="str">
        <f>Bovespa!BQ145</f>
        <v>BPAC3</v>
      </c>
      <c r="B141" s="13">
        <v>22.5</v>
      </c>
      <c r="C141" s="13">
        <v>22.64</v>
      </c>
      <c r="D141" s="13">
        <f ca="1">Bovespa!BP145</f>
        <v>24.25</v>
      </c>
      <c r="E141" s="13">
        <v>21.19</v>
      </c>
      <c r="F141">
        <v>22.1</v>
      </c>
    </row>
    <row r="142" spans="1:6" x14ac:dyDescent="0.25">
      <c r="A142" s="13" t="str">
        <f>Bovespa!BQ146</f>
        <v>VIVA3</v>
      </c>
      <c r="B142" s="13">
        <v>25.51</v>
      </c>
      <c r="C142" s="13">
        <v>25.58</v>
      </c>
      <c r="D142" s="13">
        <f ca="1">Bovespa!BP146</f>
        <v>27.23</v>
      </c>
      <c r="E142" s="13">
        <v>25.72</v>
      </c>
      <c r="F142">
        <v>28.4</v>
      </c>
    </row>
    <row r="143" spans="1:6" x14ac:dyDescent="0.25">
      <c r="A143" s="13" t="str">
        <f>Bovespa!BQ147</f>
        <v>LOGG3</v>
      </c>
      <c r="B143" s="13">
        <v>20.09</v>
      </c>
      <c r="C143" s="13">
        <v>19.79</v>
      </c>
      <c r="D143" s="13">
        <f ca="1">Bovespa!BP147</f>
        <v>20.61</v>
      </c>
      <c r="E143" s="13">
        <v>20.420000000000002</v>
      </c>
      <c r="F143">
        <v>20.29</v>
      </c>
    </row>
    <row r="144" spans="1:6" x14ac:dyDescent="0.25">
      <c r="A144" s="13" t="str">
        <f>Bovespa!BQ148</f>
        <v>QUAL3</v>
      </c>
      <c r="B144" s="13">
        <v>1.77</v>
      </c>
      <c r="C144" s="13">
        <v>1.67</v>
      </c>
      <c r="D144" s="13">
        <f ca="1">Bovespa!BP148</f>
        <v>1.83</v>
      </c>
      <c r="E144" s="13">
        <v>1.64</v>
      </c>
      <c r="F144">
        <v>1.74</v>
      </c>
    </row>
    <row r="145" spans="1:6" x14ac:dyDescent="0.25">
      <c r="A145" s="13" t="str">
        <f>Bovespa!BQ149</f>
        <v>PNVL3</v>
      </c>
      <c r="B145" s="13">
        <v>9.34</v>
      </c>
      <c r="C145" s="13">
        <v>9.09</v>
      </c>
      <c r="D145" s="13">
        <f ca="1">Bovespa!BP149</f>
        <v>9.99</v>
      </c>
      <c r="E145" s="13">
        <v>9.1199999999999992</v>
      </c>
      <c r="F145">
        <v>10.210000000000001</v>
      </c>
    </row>
    <row r="146" spans="1:6" x14ac:dyDescent="0.25">
      <c r="A146" s="13" t="str">
        <f>Bovespa!BQ150</f>
        <v>CLSA3</v>
      </c>
      <c r="B146" s="13">
        <v>11.03</v>
      </c>
      <c r="C146" s="13">
        <v>11.22</v>
      </c>
      <c r="D146" s="13">
        <f ca="1">Bovespa!BP150</f>
        <v>11.32</v>
      </c>
      <c r="E146" s="13">
        <v>11.09</v>
      </c>
      <c r="F146">
        <v>11.33</v>
      </c>
    </row>
    <row r="147" spans="1:6" x14ac:dyDescent="0.25">
      <c r="A147" s="13" t="str">
        <f>Bovespa!BQ151</f>
        <v>KLBN4</v>
      </c>
      <c r="B147" s="13">
        <v>3.7</v>
      </c>
      <c r="C147" s="13">
        <v>3.73</v>
      </c>
      <c r="D147" s="13">
        <f ca="1">Bovespa!BP151</f>
        <v>3.61</v>
      </c>
      <c r="E147" s="13">
        <v>3.64</v>
      </c>
      <c r="F147">
        <v>3.77</v>
      </c>
    </row>
    <row r="148" spans="1:6" x14ac:dyDescent="0.25">
      <c r="A148" s="13" t="str">
        <f>Bovespa!BQ152</f>
        <v>BPAC5</v>
      </c>
      <c r="B148" s="13">
        <v>8.99</v>
      </c>
      <c r="C148" s="13">
        <v>8.8699999999999992</v>
      </c>
      <c r="D148" s="13">
        <f ca="1">Bovespa!BP152</f>
        <v>9.85</v>
      </c>
      <c r="E148" s="13">
        <v>8.8699999999999992</v>
      </c>
      <c r="F148">
        <v>9.32</v>
      </c>
    </row>
    <row r="149" spans="1:6" x14ac:dyDescent="0.25">
      <c r="A149" s="13" t="str">
        <f>Bovespa!BQ153</f>
        <v>DIRR3</v>
      </c>
      <c r="B149" s="13">
        <v>39.590000000000003</v>
      </c>
      <c r="C149" s="13">
        <v>40.26</v>
      </c>
      <c r="D149" s="13">
        <f ca="1">Bovespa!BP153</f>
        <v>14.23</v>
      </c>
      <c r="E149" s="13">
        <v>39.22</v>
      </c>
      <c r="F149">
        <v>41.08</v>
      </c>
    </row>
    <row r="150" spans="1:6" x14ac:dyDescent="0.25">
      <c r="A150" s="13" t="str">
        <f>Bovespa!BQ154</f>
        <v>MYPK3</v>
      </c>
      <c r="B150" s="13">
        <v>13.5</v>
      </c>
      <c r="C150" s="13">
        <v>13.75</v>
      </c>
      <c r="D150" s="13">
        <f ca="1">Bovespa!BP154</f>
        <v>14.17</v>
      </c>
      <c r="E150" s="13">
        <v>14.38</v>
      </c>
      <c r="F150">
        <v>13.91</v>
      </c>
    </row>
    <row r="151" spans="1:6" x14ac:dyDescent="0.25">
      <c r="A151" s="13" t="str">
        <f>Bovespa!BQ155</f>
        <v>RDOR3</v>
      </c>
      <c r="B151" s="13">
        <v>33.299999999999997</v>
      </c>
      <c r="C151" s="13">
        <v>32.89</v>
      </c>
      <c r="D151" s="13">
        <f ca="1">Bovespa!BP155</f>
        <v>37.53</v>
      </c>
      <c r="E151" s="13">
        <v>32.4</v>
      </c>
      <c r="F151">
        <v>36.25</v>
      </c>
    </row>
    <row r="152" spans="1:6" x14ac:dyDescent="0.25">
      <c r="A152" s="13" t="str">
        <f>Bovespa!BQ156</f>
        <v>VIVT3</v>
      </c>
      <c r="B152" s="13">
        <v>32.1</v>
      </c>
      <c r="C152" s="13">
        <v>30.95</v>
      </c>
      <c r="D152" s="13">
        <f ca="1">Bovespa!BP156</f>
        <v>33.43</v>
      </c>
      <c r="E152" s="13">
        <v>31.58</v>
      </c>
      <c r="F152">
        <v>32.950000000000003</v>
      </c>
    </row>
    <row r="153" spans="1:6" x14ac:dyDescent="0.25">
      <c r="A153" s="13" t="str">
        <f>Bovespa!BQ157</f>
        <v>PGMN3</v>
      </c>
      <c r="B153" s="13">
        <v>3.34</v>
      </c>
      <c r="C153" s="13">
        <v>3.41</v>
      </c>
      <c r="D153" s="13">
        <f ca="1">Bovespa!BP157</f>
        <v>3.63</v>
      </c>
      <c r="E153" s="13">
        <v>3.92</v>
      </c>
      <c r="F153">
        <v>3.82</v>
      </c>
    </row>
    <row r="154" spans="1:6" x14ac:dyDescent="0.25">
      <c r="A154" s="13" t="str">
        <f>Bovespa!BQ158</f>
        <v>TFCO4</v>
      </c>
      <c r="B154" s="13">
        <v>14.42</v>
      </c>
      <c r="C154" s="13">
        <v>14.33</v>
      </c>
      <c r="D154" s="13">
        <f ca="1">Bovespa!BP158</f>
        <v>15.81</v>
      </c>
      <c r="E154" s="13">
        <v>14.6</v>
      </c>
      <c r="F154">
        <v>15.09</v>
      </c>
    </row>
    <row r="155" spans="1:6" x14ac:dyDescent="0.25">
      <c r="A155" s="13" t="str">
        <f>Bovespa!BQ159</f>
        <v>ENEV3</v>
      </c>
      <c r="B155" s="13">
        <v>13.28</v>
      </c>
      <c r="C155" s="13">
        <v>13.69</v>
      </c>
      <c r="D155" s="13">
        <f ca="1">Bovespa!BP159</f>
        <v>14.08</v>
      </c>
      <c r="E155" s="13">
        <v>13.53</v>
      </c>
      <c r="F155">
        <v>14.11</v>
      </c>
    </row>
    <row r="156" spans="1:6" x14ac:dyDescent="0.25">
      <c r="A156" s="13" t="str">
        <f>Bovespa!BQ160</f>
        <v>LIGT3</v>
      </c>
      <c r="B156" s="13">
        <v>5.63</v>
      </c>
      <c r="C156" s="13">
        <v>5.87</v>
      </c>
      <c r="D156" s="13">
        <f ca="1">Bovespa!BP160</f>
        <v>6.1</v>
      </c>
      <c r="E156" s="13">
        <v>5.91</v>
      </c>
      <c r="F156">
        <v>6.64</v>
      </c>
    </row>
    <row r="157" spans="1:6" x14ac:dyDescent="0.25">
      <c r="A157" s="13" t="str">
        <f>Bovespa!BQ161</f>
        <v>CSED3</v>
      </c>
      <c r="B157" s="13">
        <v>4.8</v>
      </c>
      <c r="C157" s="13">
        <v>4.8499999999999996</v>
      </c>
      <c r="D157" s="13">
        <f ca="1">Bovespa!BP161</f>
        <v>4.63</v>
      </c>
      <c r="E157" s="13">
        <v>5.07</v>
      </c>
      <c r="F157">
        <v>5.05</v>
      </c>
    </row>
    <row r="158" spans="1:6" x14ac:dyDescent="0.25">
      <c r="A158" s="13" t="str">
        <f>Bovespa!BQ162</f>
        <v>MULT3</v>
      </c>
      <c r="B158" s="13">
        <v>25.9</v>
      </c>
      <c r="C158" s="13">
        <v>25.24</v>
      </c>
      <c r="D158" s="13">
        <f ca="1">Bovespa!BP162</f>
        <v>26.61</v>
      </c>
      <c r="E158" s="13">
        <v>25.65</v>
      </c>
      <c r="F158">
        <v>26.01</v>
      </c>
    </row>
    <row r="159" spans="1:6" x14ac:dyDescent="0.25">
      <c r="A159" s="13" t="str">
        <f>Bovespa!BQ163</f>
        <v>AURE3</v>
      </c>
      <c r="B159" s="13">
        <v>9.11</v>
      </c>
      <c r="C159" s="13">
        <v>8.94</v>
      </c>
      <c r="D159" s="13">
        <f ca="1">Bovespa!BP163</f>
        <v>9.9499999999999993</v>
      </c>
      <c r="E159" s="13">
        <v>9.65</v>
      </c>
      <c r="F159">
        <v>9.74</v>
      </c>
    </row>
    <row r="160" spans="1:6" x14ac:dyDescent="0.25">
      <c r="A160" s="13" t="str">
        <f>Bovespa!BQ164</f>
        <v>TUPY3</v>
      </c>
      <c r="B160" s="13">
        <v>17.7</v>
      </c>
      <c r="C160" s="13">
        <v>16.98</v>
      </c>
      <c r="D160" s="13">
        <f ca="1">Bovespa!BP164</f>
        <v>15.88</v>
      </c>
      <c r="E160" s="13">
        <v>16.04</v>
      </c>
      <c r="F160">
        <v>15.72</v>
      </c>
    </row>
    <row r="161" spans="1:6" x14ac:dyDescent="0.25">
      <c r="A161" s="13" t="str">
        <f>Bovespa!BQ165</f>
        <v>SCAR3</v>
      </c>
      <c r="B161" s="13">
        <v>16.61</v>
      </c>
      <c r="C161" s="13">
        <v>16.809999999999999</v>
      </c>
      <c r="D161" s="13">
        <f ca="1">Bovespa!BP165</f>
        <v>19.760000000000002</v>
      </c>
      <c r="E161" s="13">
        <v>18</v>
      </c>
      <c r="F161">
        <v>18.149999999999999</v>
      </c>
    </row>
    <row r="162" spans="1:6" x14ac:dyDescent="0.25">
      <c r="A162" s="13" t="str">
        <f>Bovespa!BQ166</f>
        <v>LWSA3</v>
      </c>
      <c r="B162" s="13">
        <v>3.75</v>
      </c>
      <c r="C162" s="13">
        <v>3.9</v>
      </c>
      <c r="D162" s="13">
        <f ca="1">Bovespa!BP166</f>
        <v>4.12</v>
      </c>
      <c r="E162" s="13">
        <v>3.95</v>
      </c>
      <c r="F162">
        <v>4.0199999999999996</v>
      </c>
    </row>
    <row r="163" spans="1:6" x14ac:dyDescent="0.25">
      <c r="A163" s="13" t="str">
        <f>Bovespa!BQ167</f>
        <v>LPSB3</v>
      </c>
      <c r="B163" s="13">
        <v>1.38</v>
      </c>
      <c r="C163" s="13">
        <v>1.45</v>
      </c>
      <c r="D163" s="13">
        <f ca="1">Bovespa!BP167</f>
        <v>1.48</v>
      </c>
      <c r="E163" s="13">
        <v>1.42</v>
      </c>
      <c r="F163">
        <v>1.4</v>
      </c>
    </row>
    <row r="164" spans="1:6" x14ac:dyDescent="0.25">
      <c r="A164" s="13" t="str">
        <f>Bovespa!BQ168</f>
        <v>MTRE3</v>
      </c>
      <c r="B164" s="13">
        <v>4.01</v>
      </c>
      <c r="C164" s="13">
        <v>3.75</v>
      </c>
      <c r="D164" s="13">
        <f ca="1">Bovespa!BP168</f>
        <v>3.43</v>
      </c>
      <c r="E164" s="13">
        <v>3.66</v>
      </c>
      <c r="F164">
        <v>3.54</v>
      </c>
    </row>
    <row r="165" spans="1:6" x14ac:dyDescent="0.25">
      <c r="A165" s="13" t="str">
        <f>Bovespa!BQ169</f>
        <v>EMBR3</v>
      </c>
      <c r="B165" s="13">
        <v>74.319999999999993</v>
      </c>
      <c r="C165" s="13">
        <v>68.3</v>
      </c>
      <c r="D165" s="13">
        <f ca="1">Bovespa!BP169</f>
        <v>77.290000000000006</v>
      </c>
      <c r="E165" s="13">
        <v>79.05</v>
      </c>
      <c r="F165">
        <v>79.010000000000005</v>
      </c>
    </row>
    <row r="166" spans="1:6" x14ac:dyDescent="0.25">
      <c r="A166" s="13" t="str">
        <f>Bovespa!BQ170</f>
        <v>ENGI4</v>
      </c>
      <c r="B166" s="13">
        <v>8.7200000000000006</v>
      </c>
      <c r="C166" s="13">
        <v>8.6</v>
      </c>
      <c r="D166" s="13">
        <f ca="1">Bovespa!BP170</f>
        <v>8.41</v>
      </c>
      <c r="E166" s="13">
        <v>8.6</v>
      </c>
      <c r="F166">
        <v>9.02</v>
      </c>
    </row>
    <row r="167" spans="1:6" x14ac:dyDescent="0.25">
      <c r="A167" s="13" t="str">
        <f>Bovespa!BQ171</f>
        <v>ANIM3</v>
      </c>
      <c r="B167" s="13">
        <v>3.8</v>
      </c>
      <c r="C167" s="13">
        <v>3.66</v>
      </c>
      <c r="D167" s="13">
        <f ca="1">Bovespa!BP171</f>
        <v>3.33</v>
      </c>
      <c r="E167" s="13">
        <v>3.7</v>
      </c>
      <c r="F167">
        <v>3.65</v>
      </c>
    </row>
    <row r="168" spans="1:6" x14ac:dyDescent="0.25">
      <c r="A168" s="13" t="str">
        <f>Bovespa!BQ172</f>
        <v>PRIO3</v>
      </c>
      <c r="B168" s="13">
        <v>42.76</v>
      </c>
      <c r="C168" s="13">
        <v>43.29</v>
      </c>
      <c r="D168" s="13">
        <f ca="1">Bovespa!BP172</f>
        <v>38.81</v>
      </c>
      <c r="E168" s="13">
        <v>40.99</v>
      </c>
      <c r="F168">
        <v>39.479999999999997</v>
      </c>
    </row>
    <row r="169" spans="1:6" x14ac:dyDescent="0.25">
      <c r="A169" s="13" t="str">
        <f>Bovespa!BQ173</f>
        <v>ODPV3</v>
      </c>
      <c r="B169" s="13">
        <v>11.59</v>
      </c>
      <c r="C169" s="13">
        <v>11.3</v>
      </c>
      <c r="D169" s="13">
        <f ca="1">Bovespa!BP173</f>
        <v>12.8</v>
      </c>
      <c r="E169" s="13">
        <v>12.15</v>
      </c>
      <c r="F169">
        <v>12.66</v>
      </c>
    </row>
    <row r="170" spans="1:6" x14ac:dyDescent="0.25">
      <c r="A170" s="13" t="str">
        <f>Bovespa!BQ174</f>
        <v>RECV3</v>
      </c>
      <c r="B170" s="13">
        <v>14.47</v>
      </c>
      <c r="C170" s="13">
        <v>13.74</v>
      </c>
      <c r="D170" s="13">
        <f ca="1">Bovespa!BP174</f>
        <v>12.68</v>
      </c>
      <c r="E170" s="13">
        <v>13.34</v>
      </c>
      <c r="F170">
        <v>13.28</v>
      </c>
    </row>
    <row r="171" spans="1:6" x14ac:dyDescent="0.25">
      <c r="A171" s="13" t="str">
        <f>Bovespa!BQ175</f>
        <v>MDNE3</v>
      </c>
      <c r="B171" s="13">
        <v>23.22</v>
      </c>
      <c r="C171" s="13">
        <v>21.12</v>
      </c>
      <c r="D171" s="13">
        <f ca="1">Bovespa!BP175</f>
        <v>23.51</v>
      </c>
      <c r="E171" s="13">
        <v>22.4</v>
      </c>
      <c r="F171">
        <v>23.1</v>
      </c>
    </row>
    <row r="172" spans="1:6" x14ac:dyDescent="0.25">
      <c r="A172" s="13" t="str">
        <f>Bovespa!BQ176</f>
        <v>RCSL4</v>
      </c>
      <c r="B172" s="13">
        <v>0.95</v>
      </c>
      <c r="C172" s="13">
        <v>1.06</v>
      </c>
      <c r="D172" s="13">
        <f ca="1">Bovespa!BP176</f>
        <v>1.1000000000000001</v>
      </c>
      <c r="E172" s="13">
        <v>1.05</v>
      </c>
      <c r="F172">
        <v>1.07</v>
      </c>
    </row>
    <row r="173" spans="1:6" x14ac:dyDescent="0.25">
      <c r="A173" s="13" t="str">
        <f>Bovespa!BQ177</f>
        <v>TPIS3</v>
      </c>
      <c r="B173" s="13">
        <v>4.03</v>
      </c>
      <c r="C173" s="13">
        <v>4.01</v>
      </c>
      <c r="D173" s="13">
        <f ca="1">Bovespa!BP177</f>
        <v>3.59</v>
      </c>
      <c r="E173" s="13">
        <v>4.0199999999999996</v>
      </c>
      <c r="F173">
        <v>3.9</v>
      </c>
    </row>
    <row r="174" spans="1:6" x14ac:dyDescent="0.25">
      <c r="A174" s="13" t="str">
        <f>Bovespa!BQ178</f>
        <v>TASA4</v>
      </c>
      <c r="B174" s="13">
        <v>6.35</v>
      </c>
      <c r="C174" s="13">
        <v>5.75</v>
      </c>
      <c r="D174" s="13">
        <f ca="1">Bovespa!BP178</f>
        <v>4.6900000000000004</v>
      </c>
      <c r="E174" s="13">
        <v>4.9000000000000004</v>
      </c>
      <c r="F174">
        <v>4.5999999999999996</v>
      </c>
    </row>
    <row r="175" spans="1:6" x14ac:dyDescent="0.25">
      <c r="A175" s="13" t="str">
        <f>Bovespa!BQ179</f>
        <v>SNSY5</v>
      </c>
      <c r="B175" s="13">
        <v>3.51</v>
      </c>
      <c r="C175" s="13">
        <v>3.58</v>
      </c>
      <c r="D175" s="13">
        <f ca="1">Bovespa!BP179</f>
        <v>3.53</v>
      </c>
      <c r="E175" s="13">
        <v>3.56</v>
      </c>
      <c r="F175">
        <v>3.37</v>
      </c>
    </row>
    <row r="176" spans="1:6" x14ac:dyDescent="0.25">
      <c r="A176" s="13" t="str">
        <f>Bovespa!BQ180</f>
        <v>LAVV3</v>
      </c>
      <c r="B176" s="13">
        <v>12.65</v>
      </c>
      <c r="C176" s="13">
        <v>12.07</v>
      </c>
      <c r="D176" s="13">
        <f ca="1">Bovespa!BP180</f>
        <v>12.12</v>
      </c>
      <c r="E176" s="13">
        <v>12.39</v>
      </c>
      <c r="F176">
        <v>12.54</v>
      </c>
    </row>
    <row r="177" spans="1:6" x14ac:dyDescent="0.25">
      <c r="A177" s="13" t="str">
        <f>Bovespa!BQ181</f>
        <v>ALPA3</v>
      </c>
      <c r="B177" s="13">
        <v>8.09</v>
      </c>
      <c r="C177" s="13">
        <v>7.5</v>
      </c>
      <c r="D177" s="13">
        <f ca="1">Bovespa!BP181</f>
        <v>8.58</v>
      </c>
      <c r="E177" s="13">
        <v>7.35</v>
      </c>
      <c r="F177">
        <v>8.4499999999999993</v>
      </c>
    </row>
    <row r="178" spans="1:6" x14ac:dyDescent="0.25">
      <c r="A178" s="13" t="str">
        <f>Bovespa!BQ182</f>
        <v>LVTC3</v>
      </c>
      <c r="B178" s="13">
        <v>3.5</v>
      </c>
      <c r="C178" s="13">
        <v>3.6</v>
      </c>
      <c r="D178" s="13">
        <f ca="1">Bovespa!BP182</f>
        <v>3.27</v>
      </c>
      <c r="E178" s="13">
        <v>3.45</v>
      </c>
      <c r="F178">
        <v>3.72</v>
      </c>
    </row>
    <row r="179" spans="1:6" x14ac:dyDescent="0.25">
      <c r="A179" s="13" t="str">
        <f>Bovespa!BQ183</f>
        <v>BEEF3</v>
      </c>
      <c r="B179" s="13">
        <v>5.37</v>
      </c>
      <c r="C179" s="13">
        <v>5.12</v>
      </c>
      <c r="D179" s="13">
        <f ca="1">Bovespa!BP183</f>
        <v>4.91</v>
      </c>
      <c r="E179" s="13">
        <v>4.9400000000000004</v>
      </c>
      <c r="F179">
        <v>5</v>
      </c>
    </row>
    <row r="180" spans="1:6" x14ac:dyDescent="0.25">
      <c r="A180" s="13" t="str">
        <f>Bovespa!BQ184</f>
        <v>ALPA4</v>
      </c>
      <c r="B180" s="13">
        <v>8.56</v>
      </c>
      <c r="C180" s="13">
        <v>8.5299999999999994</v>
      </c>
      <c r="D180" s="13">
        <f ca="1">Bovespa!BP184</f>
        <v>9.4</v>
      </c>
      <c r="E180" s="13">
        <v>8.64</v>
      </c>
      <c r="F180">
        <v>9.75</v>
      </c>
    </row>
    <row r="181" spans="1:6" x14ac:dyDescent="0.25">
      <c r="A181" s="13" t="str">
        <f>Bovespa!BQ185</f>
        <v>MLAS3</v>
      </c>
      <c r="B181" s="13">
        <v>1.04</v>
      </c>
      <c r="C181" s="13">
        <v>1.05</v>
      </c>
      <c r="D181" s="13">
        <f ca="1">Bovespa!BP185</f>
        <v>1.01</v>
      </c>
      <c r="E181" s="13">
        <v>1</v>
      </c>
      <c r="F181">
        <v>1.07</v>
      </c>
    </row>
    <row r="182" spans="1:6" x14ac:dyDescent="0.25">
      <c r="A182" s="13" t="str">
        <f>Bovespa!BQ186</f>
        <v>EUCA4</v>
      </c>
      <c r="B182" s="13">
        <v>17.170000000000002</v>
      </c>
      <c r="C182" s="13">
        <v>17.18</v>
      </c>
      <c r="D182" s="13">
        <f ca="1">Bovespa!BP186</f>
        <v>17.600000000000001</v>
      </c>
      <c r="E182" s="13">
        <v>17.399999999999999</v>
      </c>
      <c r="F182">
        <v>17.68</v>
      </c>
    </row>
    <row r="183" spans="1:6" x14ac:dyDescent="0.25">
      <c r="A183" s="13" t="str">
        <f>Bovespa!BQ187</f>
        <v>B3SA3</v>
      </c>
      <c r="B183" s="13">
        <v>13.71</v>
      </c>
      <c r="C183" s="13">
        <v>12.97</v>
      </c>
      <c r="D183" s="13">
        <f ca="1">Bovespa!BP187</f>
        <v>13.15</v>
      </c>
      <c r="E183" s="13">
        <v>12.59</v>
      </c>
      <c r="F183">
        <v>12.85</v>
      </c>
    </row>
    <row r="184" spans="1:6" x14ac:dyDescent="0.25">
      <c r="A184" s="13" t="str">
        <f>Bovespa!BQ188</f>
        <v>KRSA3</v>
      </c>
      <c r="B184" s="13">
        <v>8.8699999999999992</v>
      </c>
      <c r="C184" s="13">
        <v>8.8699999999999992</v>
      </c>
      <c r="D184" s="13">
        <f ca="1">Bovespa!BP188</f>
        <v>8.8699999999999992</v>
      </c>
      <c r="E184" s="13">
        <v>8.8699999999999992</v>
      </c>
      <c r="F184">
        <v>8.8699999999999992</v>
      </c>
    </row>
    <row r="185" spans="1:6" x14ac:dyDescent="0.25">
      <c r="A185" s="13" t="str">
        <f>Bovespa!BQ189</f>
        <v>BOBR4</v>
      </c>
      <c r="B185" s="13">
        <v>1.57</v>
      </c>
      <c r="C185" s="13">
        <v>1.48</v>
      </c>
      <c r="D185" s="13">
        <f ca="1">Bovespa!BP189</f>
        <v>1.33</v>
      </c>
      <c r="E185" s="13">
        <v>1.36</v>
      </c>
      <c r="F185">
        <v>1.41</v>
      </c>
    </row>
    <row r="186" spans="1:6" x14ac:dyDescent="0.25">
      <c r="A186" s="13" t="str">
        <f>Bovespa!BQ190</f>
        <v>ETER3</v>
      </c>
      <c r="B186" s="13">
        <v>3.91</v>
      </c>
      <c r="C186" s="13">
        <v>3.75</v>
      </c>
      <c r="D186" s="13">
        <f ca="1">Bovespa!BP190</f>
        <v>4.1900000000000004</v>
      </c>
      <c r="E186" s="13">
        <v>3.91</v>
      </c>
      <c r="F186">
        <v>4.4400000000000004</v>
      </c>
    </row>
    <row r="187" spans="1:6" x14ac:dyDescent="0.25">
      <c r="A187" s="13" t="str">
        <f>Bovespa!BQ191</f>
        <v>ESPA3</v>
      </c>
      <c r="B187" s="13">
        <v>1.1200000000000001</v>
      </c>
      <c r="C187" s="13">
        <v>1.1200000000000001</v>
      </c>
      <c r="D187" s="13">
        <f ca="1">Bovespa!BP191</f>
        <v>1</v>
      </c>
      <c r="E187" s="13">
        <v>1.05</v>
      </c>
      <c r="F187">
        <v>1.05</v>
      </c>
    </row>
    <row r="188" spans="1:6" x14ac:dyDescent="0.25">
      <c r="A188" s="13" t="str">
        <f>Bovespa!BQ192</f>
        <v>MATD3</v>
      </c>
      <c r="B188" s="13">
        <v>4.58</v>
      </c>
      <c r="C188" s="13">
        <v>4.3099999999999996</v>
      </c>
      <c r="D188" s="13">
        <f ca="1">Bovespa!BP192</f>
        <v>4.76</v>
      </c>
      <c r="E188" s="13">
        <v>4.2300000000000004</v>
      </c>
      <c r="F188">
        <v>4.58</v>
      </c>
    </row>
    <row r="189" spans="1:6" x14ac:dyDescent="0.25">
      <c r="A189" s="13" t="str">
        <f>Bovespa!BQ193</f>
        <v>TRAD3</v>
      </c>
      <c r="B189" s="13">
        <v>7.39</v>
      </c>
      <c r="C189" s="13">
        <v>7.49</v>
      </c>
      <c r="D189" s="13">
        <f ca="1">Bovespa!BP193</f>
        <v>7.8</v>
      </c>
      <c r="E189" s="13">
        <v>6.68</v>
      </c>
      <c r="F189">
        <v>7.24</v>
      </c>
    </row>
    <row r="190" spans="1:6" x14ac:dyDescent="0.25">
      <c r="A190" s="13" t="str">
        <f>Bovespa!BQ194</f>
        <v>VULC3</v>
      </c>
      <c r="B190" s="13">
        <v>20.2</v>
      </c>
      <c r="C190" s="13">
        <v>18.829999999999998</v>
      </c>
      <c r="D190" s="13">
        <f ca="1">Bovespa!BP194</f>
        <v>20.13</v>
      </c>
      <c r="E190" s="13">
        <v>18.579999999999998</v>
      </c>
      <c r="F190">
        <v>19.61</v>
      </c>
    </row>
    <row r="191" spans="1:6" x14ac:dyDescent="0.25">
      <c r="A191" s="13" t="str">
        <f>Bovespa!BQ195</f>
        <v>LUPA3</v>
      </c>
      <c r="B191" s="13">
        <v>1.19</v>
      </c>
      <c r="C191" s="13">
        <v>1.1599999999999999</v>
      </c>
      <c r="D191" s="13">
        <f ca="1">Bovespa!BP195</f>
        <v>1.1499999999999999</v>
      </c>
      <c r="E191" s="13">
        <v>1.17</v>
      </c>
      <c r="F191">
        <v>1.1499999999999999</v>
      </c>
    </row>
    <row r="192" spans="1:6" x14ac:dyDescent="0.25">
      <c r="A192" s="13" t="str">
        <f>Bovespa!BQ196</f>
        <v>ECOR3</v>
      </c>
      <c r="B192" s="13">
        <v>6.91</v>
      </c>
      <c r="C192" s="13">
        <v>6.79</v>
      </c>
      <c r="D192" s="13">
        <f ca="1">Bovespa!BP196</f>
        <v>7.07</v>
      </c>
      <c r="E192" s="13">
        <v>6.74</v>
      </c>
      <c r="F192">
        <v>6.8</v>
      </c>
    </row>
    <row r="193" spans="1:6" x14ac:dyDescent="0.25">
      <c r="A193" s="13" t="str">
        <f>Bovespa!BQ197</f>
        <v>PDGR3</v>
      </c>
      <c r="B193" s="13">
        <v>0.24</v>
      </c>
      <c r="C193" s="13">
        <v>0.22</v>
      </c>
      <c r="D193" s="13">
        <f ca="1">Bovespa!BP197</f>
        <v>0.18</v>
      </c>
      <c r="E193" s="13">
        <v>0.22</v>
      </c>
      <c r="F193">
        <v>0.18</v>
      </c>
    </row>
    <row r="194" spans="1:6" x14ac:dyDescent="0.25">
      <c r="A194" s="13" t="str">
        <f>Bovespa!BQ198</f>
        <v>COCE5</v>
      </c>
      <c r="B194" s="13">
        <v>26.82</v>
      </c>
      <c r="C194" s="13">
        <v>27.76</v>
      </c>
      <c r="D194" s="13">
        <f ca="1">Bovespa!BP198</f>
        <v>29</v>
      </c>
      <c r="E194" s="13">
        <v>28.79</v>
      </c>
      <c r="F194">
        <v>28.33</v>
      </c>
    </row>
    <row r="195" spans="1:6" x14ac:dyDescent="0.25">
      <c r="A195" s="13" t="str">
        <f>Bovespa!BQ199</f>
        <v>CEAB3</v>
      </c>
      <c r="B195" s="13">
        <v>17.649999999999999</v>
      </c>
      <c r="C195" s="13">
        <v>16.53</v>
      </c>
      <c r="D195" s="13">
        <f ca="1">Bovespa!BP199</f>
        <v>14.95</v>
      </c>
      <c r="E195" s="13">
        <v>17.07</v>
      </c>
      <c r="F195">
        <v>16.5</v>
      </c>
    </row>
    <row r="196" spans="1:6" x14ac:dyDescent="0.25">
      <c r="A196" s="13" t="str">
        <f>Bovespa!BQ200</f>
        <v>AMBP3</v>
      </c>
      <c r="B196" s="13">
        <v>162.13999999999999</v>
      </c>
      <c r="C196" s="13">
        <v>141.79</v>
      </c>
      <c r="D196" s="13">
        <f ca="1">Bovespa!BP200</f>
        <v>14.01</v>
      </c>
      <c r="E196" s="13">
        <v>136</v>
      </c>
      <c r="F196">
        <v>15.25</v>
      </c>
    </row>
    <row r="197" spans="1:6" x14ac:dyDescent="0.25">
      <c r="A197" s="13" t="str">
        <f>Bovespa!BQ201</f>
        <v>NGRD3</v>
      </c>
      <c r="B197" s="13">
        <v>24.48</v>
      </c>
      <c r="C197" s="13">
        <v>25</v>
      </c>
      <c r="D197" s="13">
        <f ca="1">Bovespa!BP201</f>
        <v>26</v>
      </c>
      <c r="E197" s="13">
        <v>25.37</v>
      </c>
      <c r="F197">
        <v>25.1</v>
      </c>
    </row>
    <row r="198" spans="1:6" x14ac:dyDescent="0.25">
      <c r="A198" s="13" t="str">
        <f>Bovespa!BQ202</f>
        <v>CAML3</v>
      </c>
      <c r="B198" s="13">
        <v>5.14</v>
      </c>
      <c r="C198" s="13">
        <v>4.9800000000000004</v>
      </c>
      <c r="D198" s="13">
        <f ca="1">Bovespa!BP202</f>
        <v>4.43</v>
      </c>
      <c r="E198" s="13">
        <v>4.5199999999999996</v>
      </c>
      <c r="F198">
        <v>4.59</v>
      </c>
    </row>
    <row r="199" spans="1:6" x14ac:dyDescent="0.25">
      <c r="A199" s="13" t="str">
        <f>Bovespa!BQ203</f>
        <v>TASA3</v>
      </c>
      <c r="B199" s="13">
        <v>7.12</v>
      </c>
      <c r="C199" s="13">
        <v>6.75</v>
      </c>
      <c r="D199" s="13">
        <f ca="1">Bovespa!BP203</f>
        <v>5.16</v>
      </c>
      <c r="E199" s="13">
        <v>6.48</v>
      </c>
      <c r="F199">
        <v>5.86</v>
      </c>
    </row>
    <row r="200" spans="1:6" x14ac:dyDescent="0.25">
      <c r="A200" s="13" t="str">
        <f>Bovespa!BQ204</f>
        <v>SBFG3</v>
      </c>
      <c r="B200" s="13">
        <v>12</v>
      </c>
      <c r="C200" s="13">
        <v>11.92</v>
      </c>
      <c r="D200" s="13">
        <f ca="1">Bovespa!BP204</f>
        <v>10.029999999999999</v>
      </c>
      <c r="E200" s="13">
        <v>10.96</v>
      </c>
      <c r="F200">
        <v>10.9</v>
      </c>
    </row>
    <row r="201" spans="1:6" x14ac:dyDescent="0.25">
      <c r="A201" s="13" t="str">
        <f>Bovespa!BQ205</f>
        <v>TECN3</v>
      </c>
      <c r="B201" s="13">
        <v>6.36</v>
      </c>
      <c r="C201" s="13">
        <v>6.36</v>
      </c>
      <c r="D201" s="13">
        <f ca="1">Bovespa!BP205</f>
        <v>6.53</v>
      </c>
      <c r="E201" s="13">
        <v>6.02</v>
      </c>
      <c r="F201">
        <v>6.3</v>
      </c>
    </row>
    <row r="202" spans="1:6" x14ac:dyDescent="0.25">
      <c r="A202" s="13" t="str">
        <f>Bovespa!BQ206</f>
        <v>SMTO3</v>
      </c>
      <c r="B202" s="13">
        <v>17.13</v>
      </c>
      <c r="C202" s="13">
        <v>17.78</v>
      </c>
      <c r="D202" s="13">
        <f ca="1">Bovespa!BP206</f>
        <v>16.29</v>
      </c>
      <c r="E202" s="13">
        <v>17.05</v>
      </c>
      <c r="F202">
        <v>17.05</v>
      </c>
    </row>
    <row r="203" spans="1:6" x14ac:dyDescent="0.25">
      <c r="A203" s="13" t="str">
        <f>Bovespa!BQ207</f>
        <v>RANI3</v>
      </c>
      <c r="B203" s="13">
        <v>7.3</v>
      </c>
      <c r="C203" s="13">
        <v>7.12</v>
      </c>
      <c r="D203" s="13">
        <f ca="1">Bovespa!BP207</f>
        <v>7.41</v>
      </c>
      <c r="E203" s="13">
        <v>7.55</v>
      </c>
      <c r="F203">
        <v>7.79</v>
      </c>
    </row>
    <row r="204" spans="1:6" x14ac:dyDescent="0.25">
      <c r="A204" s="13" t="str">
        <f>Bovespa!BQ208</f>
        <v>PETZ3</v>
      </c>
      <c r="B204" s="13">
        <v>3.65</v>
      </c>
      <c r="C204" s="13">
        <v>3.95</v>
      </c>
      <c r="D204" s="13">
        <f ca="1">Bovespa!BP208</f>
        <v>3.9</v>
      </c>
      <c r="E204" s="13">
        <v>4.04</v>
      </c>
      <c r="F204">
        <v>4.2300000000000004</v>
      </c>
    </row>
    <row r="205" spans="1:6" x14ac:dyDescent="0.25">
      <c r="A205" s="13" t="str">
        <f>Bovespa!BQ209</f>
        <v>TOTS3</v>
      </c>
      <c r="B205" s="13">
        <v>41.09</v>
      </c>
      <c r="C205" s="13">
        <v>41.7</v>
      </c>
      <c r="D205" s="13">
        <f ca="1">Bovespa!BP209</f>
        <v>42.16</v>
      </c>
      <c r="E205" s="13">
        <v>43.8</v>
      </c>
      <c r="F205">
        <v>42.8</v>
      </c>
    </row>
    <row r="206" spans="1:6" x14ac:dyDescent="0.25">
      <c r="A206" s="13" t="str">
        <f>Bovespa!BQ210</f>
        <v>YDUQ3</v>
      </c>
      <c r="B206" s="13">
        <v>13.88</v>
      </c>
      <c r="C206" s="13">
        <v>13.3</v>
      </c>
      <c r="D206" s="13">
        <f ca="1">Bovespa!BP210</f>
        <v>13.05</v>
      </c>
      <c r="E206" s="13">
        <v>13.01</v>
      </c>
      <c r="F206">
        <v>13.53</v>
      </c>
    </row>
    <row r="207" spans="1:6" x14ac:dyDescent="0.25">
      <c r="A207" s="13" t="str">
        <f>Bovespa!BQ211</f>
        <v>JSLG3</v>
      </c>
      <c r="B207" s="13">
        <v>5.6</v>
      </c>
      <c r="C207" s="13">
        <v>5.2</v>
      </c>
      <c r="D207" s="13">
        <f ca="1">Bovespa!BP211</f>
        <v>5.3</v>
      </c>
      <c r="E207" s="13">
        <v>5.13</v>
      </c>
      <c r="F207">
        <v>5.54</v>
      </c>
    </row>
    <row r="208" spans="1:6" x14ac:dyDescent="0.25">
      <c r="A208" s="13" t="str">
        <f>Bovespa!BQ212</f>
        <v>ONCO3</v>
      </c>
      <c r="B208" s="13">
        <v>5.36</v>
      </c>
      <c r="C208" s="13">
        <v>5.47</v>
      </c>
      <c r="D208" s="13">
        <f ca="1">Bovespa!BP212</f>
        <v>5.37</v>
      </c>
      <c r="E208" s="13">
        <v>5.65</v>
      </c>
      <c r="F208">
        <v>5.61</v>
      </c>
    </row>
    <row r="209" spans="1:6" x14ac:dyDescent="0.25">
      <c r="A209" s="13" t="str">
        <f>Bovespa!BQ213</f>
        <v>AALR3</v>
      </c>
      <c r="B209" s="13">
        <v>4.9000000000000004</v>
      </c>
      <c r="C209" s="13">
        <v>5.07</v>
      </c>
      <c r="D209" s="13">
        <f ca="1">Bovespa!BP213</f>
        <v>5.5</v>
      </c>
      <c r="E209" s="13">
        <v>5.05</v>
      </c>
      <c r="F209">
        <v>5.2</v>
      </c>
    </row>
    <row r="210" spans="1:6" x14ac:dyDescent="0.25">
      <c r="A210" s="13" t="str">
        <f>Bovespa!BQ214</f>
        <v>HBOR3</v>
      </c>
      <c r="B210" s="13">
        <v>2.23</v>
      </c>
      <c r="C210" s="13">
        <v>2.2200000000000002</v>
      </c>
      <c r="D210" s="13">
        <f ca="1">Bovespa!BP214</f>
        <v>2.88</v>
      </c>
      <c r="E210" s="13">
        <v>2.86</v>
      </c>
      <c r="F210">
        <v>2.84</v>
      </c>
    </row>
    <row r="211" spans="1:6" x14ac:dyDescent="0.25">
      <c r="A211" s="13" t="str">
        <f>Bovespa!BQ215</f>
        <v>CRPG5</v>
      </c>
      <c r="B211" s="13">
        <v>16.059999999999999</v>
      </c>
      <c r="C211" s="13">
        <v>16</v>
      </c>
      <c r="D211" s="13">
        <f ca="1">Bovespa!BP215</f>
        <v>14.87</v>
      </c>
      <c r="E211" s="13">
        <v>15.3</v>
      </c>
      <c r="F211">
        <v>15.2</v>
      </c>
    </row>
    <row r="212" spans="1:6" x14ac:dyDescent="0.25">
      <c r="A212" s="13" t="str">
        <f>Bovespa!BQ216</f>
        <v>LOGN3</v>
      </c>
      <c r="B212" s="13">
        <v>25.85</v>
      </c>
      <c r="C212" s="13">
        <v>26.17</v>
      </c>
      <c r="D212" s="13">
        <f ca="1">Bovespa!BP216</f>
        <v>25.09</v>
      </c>
      <c r="E212" s="13">
        <v>25.45</v>
      </c>
      <c r="F212">
        <v>26.24</v>
      </c>
    </row>
    <row r="213" spans="1:6" x14ac:dyDescent="0.25">
      <c r="A213" s="13" t="str">
        <f>Bovespa!BQ217</f>
        <v>VAMO3</v>
      </c>
      <c r="B213" s="13">
        <v>3.91</v>
      </c>
      <c r="C213" s="13">
        <v>3.84</v>
      </c>
      <c r="D213" s="13">
        <f ca="1">Bovespa!BP217</f>
        <v>3.83</v>
      </c>
      <c r="E213" s="13">
        <v>3.89</v>
      </c>
      <c r="F213">
        <v>4.1399999999999997</v>
      </c>
    </row>
    <row r="214" spans="1:6" x14ac:dyDescent="0.25">
      <c r="A214" s="13" t="str">
        <f>Bovespa!BQ218</f>
        <v>JHSF3</v>
      </c>
      <c r="B214" s="13">
        <v>5.23</v>
      </c>
      <c r="C214" s="13">
        <v>5.04</v>
      </c>
      <c r="D214" s="13">
        <f ca="1">Bovespa!BP218</f>
        <v>5.45</v>
      </c>
      <c r="E214" s="13">
        <v>5.16</v>
      </c>
      <c r="F214">
        <v>5.34</v>
      </c>
    </row>
    <row r="215" spans="1:6" x14ac:dyDescent="0.25">
      <c r="A215" s="13" t="str">
        <f>Bovespa!BQ219</f>
        <v>SIMH3</v>
      </c>
      <c r="B215" s="13">
        <v>4.4400000000000004</v>
      </c>
      <c r="C215" s="13">
        <v>4.25</v>
      </c>
      <c r="D215" s="13">
        <f ca="1">Bovespa!BP219</f>
        <v>4.2699999999999996</v>
      </c>
      <c r="E215" s="13">
        <v>4.3</v>
      </c>
      <c r="F215">
        <v>4.87</v>
      </c>
    </row>
    <row r="216" spans="1:6" x14ac:dyDescent="0.25">
      <c r="A216" s="13" t="str">
        <f>Bovespa!BQ220</f>
        <v>GUAR3</v>
      </c>
      <c r="B216" s="13">
        <v>7.95</v>
      </c>
      <c r="C216" s="13">
        <v>7.69</v>
      </c>
      <c r="D216" s="13">
        <f ca="1">Bovespa!BP220</f>
        <v>8.16</v>
      </c>
      <c r="E216" s="13">
        <v>7.67</v>
      </c>
      <c r="F216">
        <v>8.99</v>
      </c>
    </row>
    <row r="217" spans="1:6" x14ac:dyDescent="0.25">
      <c r="A217" s="13" t="str">
        <f>Bovespa!BQ221</f>
        <v>SGPS3</v>
      </c>
      <c r="B217" s="13">
        <v>1.64</v>
      </c>
      <c r="C217" s="13">
        <v>1.64</v>
      </c>
      <c r="D217" s="13">
        <f ca="1">Bovespa!BP221</f>
        <v>1.64</v>
      </c>
      <c r="E217" s="13">
        <v>1.64</v>
      </c>
      <c r="F217">
        <v>1.64</v>
      </c>
    </row>
    <row r="218" spans="1:6" x14ac:dyDescent="0.25">
      <c r="A218" s="13" t="str">
        <f>Bovespa!BQ222</f>
        <v>COGN3</v>
      </c>
      <c r="B218" s="13">
        <v>2.65</v>
      </c>
      <c r="C218" s="13">
        <v>2.59</v>
      </c>
      <c r="D218" s="13">
        <f ca="1">Bovespa!BP222</f>
        <v>2.83</v>
      </c>
      <c r="E218" s="13">
        <v>2.77</v>
      </c>
      <c r="F218">
        <v>3.07</v>
      </c>
    </row>
    <row r="219" spans="1:6" x14ac:dyDescent="0.25">
      <c r="A219" s="13" t="str">
        <f>Bovespa!BQ223</f>
        <v>OIBR4</v>
      </c>
      <c r="B219" s="13">
        <v>8.56</v>
      </c>
      <c r="C219" s="13">
        <v>8.5500000000000007</v>
      </c>
      <c r="D219" s="13">
        <f ca="1">Bovespa!BP223</f>
        <v>7.3</v>
      </c>
      <c r="E219" s="13">
        <v>7.01</v>
      </c>
      <c r="F219">
        <v>7.65</v>
      </c>
    </row>
    <row r="220" spans="1:6" x14ac:dyDescent="0.25">
      <c r="A220" s="13" t="str">
        <f>Bovespa!BQ224</f>
        <v>VITT3</v>
      </c>
      <c r="B220" s="13">
        <v>4.96</v>
      </c>
      <c r="C220" s="13">
        <v>4.97</v>
      </c>
      <c r="D220" s="13">
        <f ca="1">Bovespa!BP224</f>
        <v>4.6500000000000004</v>
      </c>
      <c r="E220" s="13">
        <v>4.75</v>
      </c>
      <c r="F220">
        <v>4.83</v>
      </c>
    </row>
    <row r="221" spans="1:6" x14ac:dyDescent="0.25">
      <c r="A221" s="13" t="str">
        <f>Bovespa!BQ225</f>
        <v>PTBL3</v>
      </c>
      <c r="B221" s="13">
        <v>4.24</v>
      </c>
      <c r="C221" s="13">
        <v>3.95</v>
      </c>
      <c r="D221" s="13">
        <f ca="1">Bovespa!BP225</f>
        <v>3.77</v>
      </c>
      <c r="E221" s="13">
        <v>4.0599999999999996</v>
      </c>
      <c r="F221">
        <v>3.79</v>
      </c>
    </row>
    <row r="222" spans="1:6" x14ac:dyDescent="0.25">
      <c r="A222" s="13" t="str">
        <f>Bovespa!BQ226</f>
        <v>VVEO3</v>
      </c>
      <c r="B222" s="13">
        <v>1.19</v>
      </c>
      <c r="C222" s="13">
        <v>1.1399999999999999</v>
      </c>
      <c r="D222" s="13">
        <f ca="1">Bovespa!BP226</f>
        <v>0.93</v>
      </c>
      <c r="E222" s="13">
        <v>1.08</v>
      </c>
      <c r="F222">
        <v>1.05</v>
      </c>
    </row>
    <row r="223" spans="1:6" x14ac:dyDescent="0.25">
      <c r="A223" s="13" t="str">
        <f>Bovespa!BQ227</f>
        <v>HBRE3</v>
      </c>
      <c r="B223" s="13">
        <v>3.06</v>
      </c>
      <c r="C223" s="13">
        <v>3.01</v>
      </c>
      <c r="D223" s="13">
        <f ca="1">Bovespa!BP227</f>
        <v>3.7</v>
      </c>
      <c r="E223" s="13">
        <v>3.34</v>
      </c>
      <c r="F223">
        <v>3.61</v>
      </c>
    </row>
    <row r="224" spans="1:6" x14ac:dyDescent="0.25">
      <c r="A224" s="13" t="str">
        <f>Bovespa!BQ228</f>
        <v>RDNI3</v>
      </c>
      <c r="B224" s="13">
        <v>2.3199999999999998</v>
      </c>
      <c r="C224" s="13">
        <v>2.31</v>
      </c>
      <c r="D224" s="13">
        <f ca="1">Bovespa!BP228</f>
        <v>2.1</v>
      </c>
      <c r="E224" s="13">
        <v>2.23</v>
      </c>
      <c r="F224">
        <v>2.2200000000000002</v>
      </c>
    </row>
    <row r="225" spans="1:6" x14ac:dyDescent="0.25">
      <c r="A225" s="13" t="str">
        <f>Bovespa!BQ229</f>
        <v>PCAR3</v>
      </c>
      <c r="B225" s="13">
        <v>3.21</v>
      </c>
      <c r="C225" s="13">
        <v>3.62</v>
      </c>
      <c r="D225" s="13">
        <f ca="1">Bovespa!BP229</f>
        <v>2.85</v>
      </c>
      <c r="E225" s="13">
        <v>3.49</v>
      </c>
      <c r="F225">
        <v>3.1</v>
      </c>
    </row>
    <row r="226" spans="1:6" x14ac:dyDescent="0.25">
      <c r="A226" s="13" t="str">
        <f>Bovespa!BQ230</f>
        <v>CASH3</v>
      </c>
      <c r="B226" s="13">
        <v>7.33</v>
      </c>
      <c r="C226" s="13">
        <v>6.76</v>
      </c>
      <c r="D226" s="13">
        <f ca="1">Bovespa!BP230</f>
        <v>5.42</v>
      </c>
      <c r="E226" s="13">
        <v>5.48</v>
      </c>
      <c r="F226">
        <v>5.42</v>
      </c>
    </row>
    <row r="227" spans="1:6" x14ac:dyDescent="0.25">
      <c r="A227" s="13" t="str">
        <f>Bovespa!BQ231</f>
        <v>FHER3</v>
      </c>
      <c r="B227" s="13">
        <v>4.17</v>
      </c>
      <c r="C227" s="13">
        <v>4.0599999999999996</v>
      </c>
      <c r="D227" s="13">
        <f ca="1">Bovespa!BP231</f>
        <v>4.0599999999999996</v>
      </c>
      <c r="E227" s="13">
        <v>4.08</v>
      </c>
      <c r="F227">
        <v>4.1500000000000004</v>
      </c>
    </row>
    <row r="228" spans="1:6" x14ac:dyDescent="0.25">
      <c r="A228" s="13" t="str">
        <f>Bovespa!BQ232</f>
        <v>GFSA3</v>
      </c>
      <c r="B228" s="13">
        <v>19.989999999999998</v>
      </c>
      <c r="C228" s="13">
        <v>17.84</v>
      </c>
      <c r="D228" s="13">
        <f ca="1">Bovespa!BP232</f>
        <v>13.8</v>
      </c>
      <c r="E228" s="13">
        <v>15.15</v>
      </c>
      <c r="F228">
        <v>15.77</v>
      </c>
    </row>
    <row r="229" spans="1:6" x14ac:dyDescent="0.25">
      <c r="A229" s="13" t="str">
        <f>Bovespa!BQ233</f>
        <v>HYPE3</v>
      </c>
      <c r="B229" s="13">
        <v>27.01</v>
      </c>
      <c r="C229" s="13">
        <v>26.42</v>
      </c>
      <c r="D229" s="13">
        <f ca="1">Bovespa!BP233</f>
        <v>22.82</v>
      </c>
      <c r="E229" s="13">
        <v>25.88</v>
      </c>
      <c r="F229">
        <v>23.11</v>
      </c>
    </row>
    <row r="230" spans="1:6" x14ac:dyDescent="0.25">
      <c r="A230" s="13" t="str">
        <f>Bovespa!BQ234</f>
        <v>ENJU3</v>
      </c>
      <c r="B230" s="13">
        <v>1.0900000000000001</v>
      </c>
      <c r="C230" s="13">
        <v>1.02</v>
      </c>
      <c r="D230" s="13">
        <f ca="1">Bovespa!BP234</f>
        <v>0.99</v>
      </c>
      <c r="E230" s="13">
        <v>1.01</v>
      </c>
      <c r="F230">
        <v>1</v>
      </c>
    </row>
    <row r="231" spans="1:6" x14ac:dyDescent="0.25">
      <c r="A231" s="13" t="str">
        <f>Bovespa!BQ235</f>
        <v>RAIZ4</v>
      </c>
      <c r="B231" s="13">
        <v>1.54</v>
      </c>
      <c r="C231" s="13">
        <v>1.52</v>
      </c>
      <c r="D231" s="13">
        <f ca="1">Bovespa!BP235</f>
        <v>1.04</v>
      </c>
      <c r="E231" s="13">
        <v>1.4</v>
      </c>
      <c r="F231">
        <v>1.24</v>
      </c>
    </row>
    <row r="232" spans="1:6" x14ac:dyDescent="0.25">
      <c r="A232" s="13" t="str">
        <f>Bovespa!BQ236</f>
        <v>BBAS3</v>
      </c>
      <c r="B232" s="13">
        <v>21.2</v>
      </c>
      <c r="C232" s="13">
        <v>20.260000000000002</v>
      </c>
      <c r="D232" s="13">
        <f ca="1">Bovespa!BP236</f>
        <v>20.65</v>
      </c>
      <c r="E232" s="13">
        <v>18.350000000000001</v>
      </c>
      <c r="F232">
        <v>18.93</v>
      </c>
    </row>
    <row r="233" spans="1:6" x14ac:dyDescent="0.25">
      <c r="A233" s="13" t="str">
        <f>Bovespa!BQ237</f>
        <v>EPAR3</v>
      </c>
      <c r="B233" s="13">
        <v>4.9000000000000004</v>
      </c>
      <c r="C233" s="13">
        <v>4.92</v>
      </c>
      <c r="D233" s="13">
        <f ca="1">Bovespa!BP237</f>
        <v>4.3899999999999997</v>
      </c>
      <c r="E233" s="13">
        <v>4.21</v>
      </c>
      <c r="F233">
        <v>4.45</v>
      </c>
    </row>
    <row r="234" spans="1:6" x14ac:dyDescent="0.25">
      <c r="A234" s="13" t="str">
        <f>Bovespa!BQ238</f>
        <v>SYNE3</v>
      </c>
      <c r="B234" s="13">
        <v>6.04</v>
      </c>
      <c r="C234" s="13">
        <v>6.48</v>
      </c>
      <c r="D234" s="13">
        <f ca="1">Bovespa!BP238</f>
        <v>6.97</v>
      </c>
      <c r="E234" s="13">
        <v>6.73</v>
      </c>
      <c r="F234">
        <v>6.9</v>
      </c>
    </row>
    <row r="235" spans="1:6" x14ac:dyDescent="0.25">
      <c r="A235" s="13" t="str">
        <f>Bovespa!BQ239</f>
        <v>MRVE3</v>
      </c>
      <c r="B235" s="13">
        <v>6.12</v>
      </c>
      <c r="C235" s="13">
        <v>5.95</v>
      </c>
      <c r="D235" s="13">
        <f ca="1">Bovespa!BP239</f>
        <v>7.16</v>
      </c>
      <c r="E235" s="13">
        <v>5.99</v>
      </c>
      <c r="F235">
        <v>6.51</v>
      </c>
    </row>
    <row r="236" spans="1:6" x14ac:dyDescent="0.25">
      <c r="A236" s="13" t="str">
        <f>Bovespa!BQ240</f>
        <v>MOVI3</v>
      </c>
      <c r="B236" s="13">
        <v>6.25</v>
      </c>
      <c r="C236" s="13">
        <v>6.35</v>
      </c>
      <c r="D236" s="13">
        <f ca="1">Bovespa!BP240</f>
        <v>7.24</v>
      </c>
      <c r="E236" s="13">
        <v>6.12</v>
      </c>
      <c r="F236">
        <v>7.45</v>
      </c>
    </row>
    <row r="237" spans="1:6" x14ac:dyDescent="0.25">
      <c r="A237" s="13" t="str">
        <f>Bovespa!BQ241</f>
        <v>AZEV4</v>
      </c>
      <c r="B237" s="13">
        <v>0.64</v>
      </c>
      <c r="C237" s="13">
        <v>0.56000000000000005</v>
      </c>
      <c r="D237" s="13">
        <f ca="1">Bovespa!BP241</f>
        <v>0.57999999999999996</v>
      </c>
      <c r="E237" s="13">
        <v>0.56000000000000005</v>
      </c>
      <c r="F237">
        <v>0.56000000000000005</v>
      </c>
    </row>
    <row r="238" spans="1:6" x14ac:dyDescent="0.25">
      <c r="A238" s="13" t="str">
        <f>Bovespa!BQ242</f>
        <v>CSNA3</v>
      </c>
      <c r="B238" s="13">
        <v>8.24</v>
      </c>
      <c r="C238" s="13">
        <v>7.82</v>
      </c>
      <c r="D238" s="13">
        <f ca="1">Bovespa!BP242</f>
        <v>6.77</v>
      </c>
      <c r="E238" s="13">
        <v>7.62</v>
      </c>
      <c r="F238">
        <v>7.41</v>
      </c>
    </row>
    <row r="239" spans="1:6" x14ac:dyDescent="0.25">
      <c r="A239" s="13" t="str">
        <f>Bovespa!BQ243</f>
        <v>CTNM4</v>
      </c>
      <c r="B239" s="13">
        <v>0.86</v>
      </c>
      <c r="C239" s="13">
        <v>0.86</v>
      </c>
      <c r="D239" s="13">
        <f ca="1">Bovespa!BP243</f>
        <v>0.86</v>
      </c>
      <c r="E239" s="13">
        <v>0.86</v>
      </c>
      <c r="F239">
        <v>0.86</v>
      </c>
    </row>
    <row r="240" spans="1:6" x14ac:dyDescent="0.25">
      <c r="A240" s="13" t="str">
        <f>Bovespa!BQ244</f>
        <v>IFCM3</v>
      </c>
      <c r="B240" s="13">
        <v>0.05</v>
      </c>
      <c r="C240" s="13">
        <v>0.04</v>
      </c>
      <c r="D240" s="13">
        <f ca="1">Bovespa!BP244</f>
        <v>0.59</v>
      </c>
      <c r="E240" s="13">
        <v>0.79</v>
      </c>
      <c r="F240">
        <v>0.74</v>
      </c>
    </row>
    <row r="241" spans="1:6" x14ac:dyDescent="0.25">
      <c r="A241" s="13" t="str">
        <f>Bovespa!BQ245</f>
        <v>HAPV3</v>
      </c>
      <c r="B241" s="13">
        <v>32.32</v>
      </c>
      <c r="C241" s="13">
        <v>32.19</v>
      </c>
      <c r="D241" s="13">
        <f ca="1">Bovespa!BP245</f>
        <v>38.200000000000003</v>
      </c>
      <c r="E241" s="13">
        <v>32.659999999999997</v>
      </c>
      <c r="F241">
        <v>35.67</v>
      </c>
    </row>
    <row r="242" spans="1:6" x14ac:dyDescent="0.25">
      <c r="A242" s="13" t="str">
        <f>Bovespa!BQ246</f>
        <v>SEQL3</v>
      </c>
      <c r="B242" s="13">
        <v>1.08</v>
      </c>
      <c r="C242" s="13">
        <v>0.96</v>
      </c>
      <c r="D242" s="13">
        <f ca="1">Bovespa!BP246</f>
        <v>0.97</v>
      </c>
      <c r="E242" s="13">
        <v>0.97</v>
      </c>
      <c r="F242">
        <v>0.96</v>
      </c>
    </row>
    <row r="243" spans="1:6" x14ac:dyDescent="0.25">
      <c r="A243" s="13" t="str">
        <f>Bovespa!BQ247</f>
        <v>ZAMP3</v>
      </c>
      <c r="B243" s="13">
        <v>3.38</v>
      </c>
      <c r="C243" s="13">
        <v>3.4</v>
      </c>
      <c r="D243" s="13">
        <f ca="1">Bovespa!BP247</f>
        <v>3.47</v>
      </c>
      <c r="E243" s="13">
        <v>3.48</v>
      </c>
      <c r="F243">
        <v>3.46</v>
      </c>
    </row>
    <row r="244" spans="1:6" x14ac:dyDescent="0.25">
      <c r="A244" s="13" t="str">
        <f>Bovespa!BQ248</f>
        <v>INEP4</v>
      </c>
      <c r="B244" s="13">
        <v>1.65</v>
      </c>
      <c r="C244" s="13">
        <v>1.59</v>
      </c>
      <c r="D244" s="13">
        <f ca="1">Bovespa!BP248</f>
        <v>1.57</v>
      </c>
      <c r="E244" s="13">
        <v>1.4</v>
      </c>
      <c r="F244">
        <v>1.43</v>
      </c>
    </row>
    <row r="245" spans="1:6" x14ac:dyDescent="0.25">
      <c r="A245" s="13" t="str">
        <f>Bovespa!BQ249</f>
        <v>OIBR3</v>
      </c>
      <c r="B245" s="13">
        <v>0.56999999999999995</v>
      </c>
      <c r="C245" s="13">
        <v>0.56999999999999995</v>
      </c>
      <c r="D245" s="13">
        <f ca="1">Bovespa!BP249</f>
        <v>0.56000000000000005</v>
      </c>
      <c r="E245" s="13">
        <v>0.51</v>
      </c>
      <c r="F245">
        <v>0.54</v>
      </c>
    </row>
    <row r="246" spans="1:6" x14ac:dyDescent="0.25">
      <c r="A246" s="13" t="str">
        <f>Bovespa!BQ250</f>
        <v>CSAN3</v>
      </c>
      <c r="B246" s="13">
        <v>6.38</v>
      </c>
      <c r="C246" s="13">
        <v>5.96</v>
      </c>
      <c r="D246" s="13">
        <f ca="1">Bovespa!BP250</f>
        <v>5.48</v>
      </c>
      <c r="E246" s="13">
        <v>5.82</v>
      </c>
      <c r="F246">
        <v>5.83</v>
      </c>
    </row>
    <row r="247" spans="1:6" x14ac:dyDescent="0.25">
      <c r="A247" s="13" t="str">
        <f>Bovespa!BQ251</f>
        <v>BRKM3</v>
      </c>
      <c r="B247" s="13">
        <v>10.02</v>
      </c>
      <c r="C247" s="13">
        <v>9</v>
      </c>
      <c r="D247" s="13">
        <f ca="1">Bovespa!BP251</f>
        <v>8.57</v>
      </c>
      <c r="E247" s="13">
        <v>8.91</v>
      </c>
      <c r="F247">
        <v>9.26</v>
      </c>
    </row>
    <row r="248" spans="1:6" x14ac:dyDescent="0.25">
      <c r="A248" s="13" t="str">
        <f>Bovespa!BQ252</f>
        <v>SHOW3</v>
      </c>
      <c r="B248" s="13">
        <v>6.44</v>
      </c>
      <c r="C248" s="13">
        <v>6.66</v>
      </c>
      <c r="D248" s="13">
        <f ca="1">Bovespa!BP252</f>
        <v>6.22</v>
      </c>
      <c r="E248" s="13">
        <v>6.31</v>
      </c>
      <c r="F248">
        <v>6.41</v>
      </c>
    </row>
    <row r="249" spans="1:6" x14ac:dyDescent="0.25">
      <c r="A249" s="13" t="str">
        <f>Bovespa!BQ253</f>
        <v>AZEV3</v>
      </c>
      <c r="B249" s="13">
        <v>0.61</v>
      </c>
      <c r="C249" s="13">
        <v>0.55000000000000004</v>
      </c>
      <c r="D249" s="13">
        <f ca="1">Bovespa!BP253</f>
        <v>0.55000000000000004</v>
      </c>
      <c r="E249" s="13">
        <v>0.54</v>
      </c>
      <c r="F249">
        <v>0.53</v>
      </c>
    </row>
    <row r="250" spans="1:6" x14ac:dyDescent="0.25">
      <c r="A250" s="13" t="str">
        <f>Bovespa!BQ254</f>
        <v>GOLL4</v>
      </c>
      <c r="B250" s="13">
        <v>40.380000000000003</v>
      </c>
      <c r="C250" s="13">
        <v>3.57</v>
      </c>
      <c r="D250" s="13">
        <f ca="1">Bovespa!BP254</f>
        <v>4.92</v>
      </c>
      <c r="E250" s="13">
        <v>6.57</v>
      </c>
      <c r="F250">
        <v>5.37</v>
      </c>
    </row>
    <row r="251" spans="1:6" x14ac:dyDescent="0.25">
      <c r="A251" s="13" t="str">
        <f>Bovespa!BQ255</f>
        <v>SEER3</v>
      </c>
      <c r="B251" s="13">
        <v>8.69</v>
      </c>
      <c r="C251" s="13">
        <v>8.4</v>
      </c>
      <c r="D251" s="13">
        <f ca="1">Bovespa!BP255</f>
        <v>8.4</v>
      </c>
      <c r="E251" s="13">
        <v>8.02</v>
      </c>
      <c r="F251">
        <v>8.83</v>
      </c>
    </row>
    <row r="252" spans="1:6" x14ac:dyDescent="0.25">
      <c r="A252" s="13" t="str">
        <f>Bovespa!BQ256</f>
        <v>FESA4</v>
      </c>
      <c r="B252" s="13">
        <v>6.83</v>
      </c>
      <c r="C252" s="13">
        <v>6.6</v>
      </c>
      <c r="D252" s="13">
        <f ca="1">Bovespa!BP256</f>
        <v>6.14</v>
      </c>
      <c r="E252" s="13">
        <v>6.5</v>
      </c>
      <c r="F252">
        <v>6.35</v>
      </c>
    </row>
    <row r="253" spans="1:6" x14ac:dyDescent="0.25">
      <c r="A253" s="13" t="str">
        <f>Bovespa!BQ257</f>
        <v>LJQQ3</v>
      </c>
      <c r="B253" s="13">
        <v>2.39</v>
      </c>
      <c r="C253" s="13">
        <v>2.37</v>
      </c>
      <c r="D253" s="13">
        <f ca="1">Bovespa!BP257</f>
        <v>2.2400000000000002</v>
      </c>
      <c r="E253" s="13">
        <v>2.5</v>
      </c>
      <c r="F253">
        <v>2.58</v>
      </c>
    </row>
    <row r="254" spans="1:6" x14ac:dyDescent="0.25">
      <c r="A254" s="13" t="str">
        <f>Bovespa!BQ258</f>
        <v>VIVR3</v>
      </c>
      <c r="B254" s="13">
        <v>0.85</v>
      </c>
      <c r="C254" s="13">
        <v>0.83</v>
      </c>
      <c r="D254" s="13">
        <f ca="1">Bovespa!BP258</f>
        <v>0.75</v>
      </c>
      <c r="E254" s="13">
        <v>0.8</v>
      </c>
      <c r="F254">
        <v>0.82</v>
      </c>
    </row>
    <row r="255" spans="1:6" x14ac:dyDescent="0.25">
      <c r="A255" s="13" t="str">
        <f>Bovespa!BQ259</f>
        <v>DASA3</v>
      </c>
      <c r="B255" s="13">
        <v>1.31</v>
      </c>
      <c r="C255" s="13">
        <v>1.24</v>
      </c>
      <c r="D255" s="13">
        <f ca="1">Bovespa!BP259</f>
        <v>1.44</v>
      </c>
      <c r="E255" s="13">
        <v>1.28</v>
      </c>
      <c r="F255">
        <v>1.35</v>
      </c>
    </row>
    <row r="256" spans="1:6" x14ac:dyDescent="0.25">
      <c r="A256" s="13" t="str">
        <f>Bovespa!BQ260</f>
        <v>RSID3</v>
      </c>
      <c r="B256" s="13">
        <v>2.06</v>
      </c>
      <c r="C256" s="13">
        <v>2.06</v>
      </c>
      <c r="D256" s="13">
        <f ca="1">Bovespa!BP260</f>
        <v>1.99</v>
      </c>
      <c r="E256" s="13">
        <v>2.06</v>
      </c>
      <c r="F256">
        <v>1.93</v>
      </c>
    </row>
    <row r="257" spans="1:6" x14ac:dyDescent="0.25">
      <c r="A257" s="13" t="str">
        <f>Bovespa!BQ261</f>
        <v>TCSA3</v>
      </c>
      <c r="B257" s="13">
        <v>1.94</v>
      </c>
      <c r="C257" s="13">
        <v>1.8</v>
      </c>
      <c r="D257" s="13">
        <f ca="1">Bovespa!BP261</f>
        <v>1.64</v>
      </c>
      <c r="E257" s="13">
        <v>1.7</v>
      </c>
      <c r="F257">
        <v>1.71</v>
      </c>
    </row>
    <row r="258" spans="1:6" x14ac:dyDescent="0.25">
      <c r="A258" s="13" t="str">
        <f>Bovespa!BQ262</f>
        <v>AZUL4</v>
      </c>
      <c r="B258" s="13">
        <v>0.8</v>
      </c>
      <c r="C258" s="13">
        <v>0.63</v>
      </c>
      <c r="D258" s="13">
        <f ca="1">Bovespa!BP262</f>
        <v>0.57999999999999996</v>
      </c>
      <c r="E258" s="13">
        <v>0.67</v>
      </c>
      <c r="F258">
        <v>0.6</v>
      </c>
    </row>
    <row r="259" spans="1:6" x14ac:dyDescent="0.25">
      <c r="A259" s="13" t="str">
        <f>Bovespa!BQ263</f>
        <v>DOTZ3</v>
      </c>
      <c r="B259" s="13">
        <v>5.16</v>
      </c>
      <c r="C259" s="13">
        <v>4.9800000000000004</v>
      </c>
      <c r="D259" s="13">
        <f ca="1">Bovespa!BP263</f>
        <v>7.7</v>
      </c>
      <c r="E259" s="13">
        <v>5.88</v>
      </c>
      <c r="F259">
        <v>6.32</v>
      </c>
    </row>
    <row r="260" spans="1:6" x14ac:dyDescent="0.25">
      <c r="A260" s="13" t="str">
        <f>Bovespa!BQ264</f>
        <v>PMAM3</v>
      </c>
      <c r="B260" s="13">
        <v>1.67</v>
      </c>
      <c r="C260" s="13">
        <v>1.64</v>
      </c>
      <c r="D260" s="13">
        <f ca="1">Bovespa!BP264</f>
        <v>1.43</v>
      </c>
      <c r="E260" s="13">
        <v>1.63</v>
      </c>
      <c r="F260">
        <v>1.57</v>
      </c>
    </row>
    <row r="261" spans="1:6" x14ac:dyDescent="0.25">
      <c r="A261" s="13" t="str">
        <f>Bovespa!BQ265</f>
        <v>VSTE3</v>
      </c>
      <c r="B261" s="13">
        <v>6.07</v>
      </c>
      <c r="C261" s="13">
        <v>6.03</v>
      </c>
      <c r="D261" s="13">
        <f ca="1">Bovespa!BP265</f>
        <v>5.94</v>
      </c>
      <c r="E261" s="13">
        <v>5.7</v>
      </c>
      <c r="F261">
        <v>5.91</v>
      </c>
    </row>
    <row r="262" spans="1:6" x14ac:dyDescent="0.25">
      <c r="A262" s="13" t="str">
        <f>Bovespa!BQ266</f>
        <v>MGEL4</v>
      </c>
      <c r="B262" s="13">
        <v>4.05</v>
      </c>
      <c r="C262" s="13">
        <v>4.0199999999999996</v>
      </c>
      <c r="D262" s="13">
        <f ca="1">Bovespa!BP266</f>
        <v>4.5</v>
      </c>
      <c r="E262" s="13">
        <v>4.1100000000000003</v>
      </c>
      <c r="F262">
        <v>4.26</v>
      </c>
    </row>
    <row r="263" spans="1:6" x14ac:dyDescent="0.25">
      <c r="A263" s="13" t="str">
        <f>Bovespa!BQ267</f>
        <v>RCSL3</v>
      </c>
      <c r="B263" s="13">
        <v>2.12</v>
      </c>
      <c r="C263" s="13">
        <v>2.0299999999999998</v>
      </c>
      <c r="D263" s="13">
        <f ca="1">Bovespa!BP267</f>
        <v>1.76</v>
      </c>
      <c r="E263" s="13">
        <v>1.82</v>
      </c>
      <c r="F263">
        <v>1.8</v>
      </c>
    </row>
    <row r="264" spans="1:6" x14ac:dyDescent="0.25">
      <c r="A264" s="13" t="str">
        <f>Bovespa!BQ268</f>
        <v>ARML3</v>
      </c>
      <c r="B264" s="13">
        <v>4.03</v>
      </c>
      <c r="C264" s="13">
        <v>3.92</v>
      </c>
      <c r="D264" s="13">
        <f ca="1">Bovespa!BP268</f>
        <v>3.91</v>
      </c>
      <c r="E264" s="13">
        <v>3.6</v>
      </c>
      <c r="F264">
        <v>3.67</v>
      </c>
    </row>
    <row r="265" spans="1:6" x14ac:dyDescent="0.25">
      <c r="A265" s="13" t="str">
        <f>Bovespa!BQ269</f>
        <v>ATMP3</v>
      </c>
      <c r="B265" s="13">
        <v>1.1200000000000001</v>
      </c>
      <c r="C265" s="13">
        <v>1.1200000000000001</v>
      </c>
      <c r="D265" s="13">
        <f ca="1">Bovespa!BP269</f>
        <v>1.02</v>
      </c>
      <c r="E265" s="13">
        <v>1.01</v>
      </c>
      <c r="F265">
        <v>1.06</v>
      </c>
    </row>
    <row r="266" spans="1:6" x14ac:dyDescent="0.25">
      <c r="A266" s="13" t="str">
        <f>Bovespa!BQ270</f>
        <v>CIEL3</v>
      </c>
      <c r="B266" s="13" t="e" vm="272">
        <v>#VALUE!</v>
      </c>
      <c r="C266" s="13" t="e" vm="272">
        <v>#VALUE!</v>
      </c>
      <c r="D266" s="13" t="e" vm="152">
        <f>Bovespa!BP270</f>
        <v>#VALUE!</v>
      </c>
      <c r="E266" s="13" t="e" vm="272">
        <v>#VALUE!</v>
      </c>
      <c r="F266" t="e" vm="272">
        <v>#VALUE!</v>
      </c>
    </row>
    <row r="267" spans="1:6" x14ac:dyDescent="0.25">
      <c r="A267" s="13" t="str">
        <f>Bovespa!BQ271</f>
        <v>TAEE3</v>
      </c>
      <c r="B267" s="13">
        <v>11.3</v>
      </c>
      <c r="C267" s="13">
        <v>11.17</v>
      </c>
      <c r="D267" s="13">
        <f ca="1">Bovespa!BP271</f>
        <v>11.19</v>
      </c>
      <c r="E267" s="13">
        <v>11.12</v>
      </c>
      <c r="F267">
        <v>11.19</v>
      </c>
    </row>
  </sheetDat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68F51-9E3C-4B7A-9EA0-7A545BDC3835}">
  <dimension ref="A1:F82"/>
  <sheetViews>
    <sheetView workbookViewId="0">
      <selection activeCell="B84" sqref="B84"/>
    </sheetView>
  </sheetViews>
  <sheetFormatPr defaultRowHeight="15" x14ac:dyDescent="0.25"/>
  <cols>
    <col min="1" max="1" width="10.5703125" customWidth="1"/>
    <col min="2" max="6" width="10.7109375" bestFit="1" customWidth="1"/>
  </cols>
  <sheetData>
    <row r="1" spans="1:6" x14ac:dyDescent="0.25">
      <c r="A1" t="s">
        <v>475</v>
      </c>
      <c r="B1" s="79">
        <v>45843</v>
      </c>
      <c r="C1" s="79">
        <v>45850</v>
      </c>
      <c r="D1" s="79">
        <v>45857</v>
      </c>
      <c r="E1" s="79">
        <v>45864</v>
      </c>
      <c r="F1" s="79">
        <v>45871</v>
      </c>
    </row>
    <row r="2" spans="1:6" ht="16.5" x14ac:dyDescent="0.3">
      <c r="A2" t="s">
        <v>670</v>
      </c>
      <c r="B2" s="90">
        <v>15.75127601623535</v>
      </c>
      <c r="C2" s="90">
        <v>17.127019882202148</v>
      </c>
      <c r="D2" s="94" t="s">
        <v>759</v>
      </c>
      <c r="E2" s="94" t="s">
        <v>919</v>
      </c>
      <c r="F2" s="94" t="s">
        <v>1060</v>
      </c>
    </row>
    <row r="3" spans="1:6" ht="16.5" x14ac:dyDescent="0.3">
      <c r="A3" t="s">
        <v>699</v>
      </c>
      <c r="B3" s="90">
        <v>50.5</v>
      </c>
      <c r="C3" s="90">
        <v>51.560001373291023</v>
      </c>
      <c r="D3" s="94" t="s">
        <v>760</v>
      </c>
      <c r="E3" s="94" t="s">
        <v>920</v>
      </c>
      <c r="F3" s="94" t="s">
        <v>1061</v>
      </c>
    </row>
    <row r="4" spans="1:6" ht="16.5" x14ac:dyDescent="0.3">
      <c r="A4" t="s">
        <v>715</v>
      </c>
      <c r="B4" s="90">
        <v>642.1199951171875</v>
      </c>
      <c r="C4" s="90">
        <v>642.1199951171875</v>
      </c>
      <c r="D4" s="94" t="s">
        <v>761</v>
      </c>
      <c r="E4" s="94" t="s">
        <v>921</v>
      </c>
      <c r="F4" s="94" t="s">
        <v>1062</v>
      </c>
    </row>
    <row r="5" spans="1:6" ht="16.5" x14ac:dyDescent="0.3">
      <c r="A5" t="s">
        <v>730</v>
      </c>
      <c r="B5" s="90">
        <v>285.07000732421881</v>
      </c>
      <c r="C5" s="90">
        <v>296.510009765625</v>
      </c>
      <c r="D5" s="94" t="s">
        <v>762</v>
      </c>
      <c r="E5" s="94" t="s">
        <v>922</v>
      </c>
      <c r="F5" s="94" t="s">
        <v>1063</v>
      </c>
    </row>
    <row r="6" spans="1:6" ht="16.5" x14ac:dyDescent="0.3">
      <c r="A6" t="s">
        <v>702</v>
      </c>
      <c r="B6" s="90">
        <v>271.35000610351563</v>
      </c>
      <c r="C6" s="90">
        <v>271.35000610351563</v>
      </c>
      <c r="D6" s="94" t="s">
        <v>763</v>
      </c>
      <c r="E6" s="94" t="s">
        <v>763</v>
      </c>
      <c r="F6" s="94" t="s">
        <v>763</v>
      </c>
    </row>
    <row r="7" spans="1:6" ht="16.5" x14ac:dyDescent="0.3">
      <c r="A7" t="s">
        <v>672</v>
      </c>
      <c r="B7" s="90">
        <v>39.479999542236328</v>
      </c>
      <c r="C7" s="90">
        <v>39.720001220703118</v>
      </c>
      <c r="D7" s="94" t="s">
        <v>764</v>
      </c>
      <c r="E7" s="94" t="s">
        <v>923</v>
      </c>
      <c r="F7" s="94" t="s">
        <v>1064</v>
      </c>
    </row>
    <row r="8" spans="1:6" ht="16.5" x14ac:dyDescent="0.3">
      <c r="A8" t="s">
        <v>688</v>
      </c>
      <c r="B8" s="90">
        <v>359.6400146484375</v>
      </c>
      <c r="C8" s="90">
        <v>335.20001220703119</v>
      </c>
      <c r="D8" s="94" t="s">
        <v>765</v>
      </c>
      <c r="E8" s="94" t="s">
        <v>765</v>
      </c>
      <c r="F8" s="94" t="s">
        <v>765</v>
      </c>
    </row>
    <row r="9" spans="1:6" ht="16.5" x14ac:dyDescent="0.3">
      <c r="A9" t="s">
        <v>704</v>
      </c>
      <c r="B9" s="90">
        <v>279.45001220703119</v>
      </c>
      <c r="C9" s="90">
        <v>280.82998657226563</v>
      </c>
      <c r="D9" s="94" t="s">
        <v>766</v>
      </c>
      <c r="E9" s="94" t="s">
        <v>924</v>
      </c>
      <c r="F9" s="94" t="s">
        <v>924</v>
      </c>
    </row>
    <row r="10" spans="1:6" ht="16.5" x14ac:dyDescent="0.3">
      <c r="A10" t="s">
        <v>673</v>
      </c>
      <c r="B10" s="90">
        <v>59.279998779296882</v>
      </c>
      <c r="C10" s="90">
        <v>61.409999847412109</v>
      </c>
      <c r="D10" s="94" t="s">
        <v>767</v>
      </c>
      <c r="E10" s="94" t="s">
        <v>925</v>
      </c>
      <c r="F10" s="94" t="s">
        <v>1065</v>
      </c>
    </row>
    <row r="11" spans="1:6" ht="16.5" x14ac:dyDescent="0.3">
      <c r="A11" t="s">
        <v>674</v>
      </c>
      <c r="B11" s="90">
        <v>572</v>
      </c>
      <c r="C11" s="90">
        <v>561.1199951171875</v>
      </c>
      <c r="D11" s="94" t="s">
        <v>768</v>
      </c>
      <c r="E11" s="94" t="s">
        <v>926</v>
      </c>
      <c r="F11" s="94" t="s">
        <v>926</v>
      </c>
    </row>
    <row r="12" spans="1:6" ht="16.5" x14ac:dyDescent="0.3">
      <c r="A12" t="s">
        <v>675</v>
      </c>
      <c r="B12" s="90">
        <v>331.25894165039063</v>
      </c>
      <c r="C12" s="90">
        <v>331.20001220703119</v>
      </c>
      <c r="D12" s="94" t="s">
        <v>769</v>
      </c>
      <c r="E12" s="94" t="s">
        <v>769</v>
      </c>
      <c r="F12" s="94" t="s">
        <v>1066</v>
      </c>
    </row>
    <row r="13" spans="1:6" ht="16.5" x14ac:dyDescent="0.3">
      <c r="A13" t="s">
        <v>686</v>
      </c>
      <c r="B13" s="90">
        <v>382.75</v>
      </c>
      <c r="C13" s="90">
        <v>382.75</v>
      </c>
      <c r="D13" s="94" t="s">
        <v>770</v>
      </c>
      <c r="E13" s="94" t="s">
        <v>770</v>
      </c>
      <c r="F13" s="94" t="s">
        <v>770</v>
      </c>
    </row>
    <row r="14" spans="1:6" ht="16.5" x14ac:dyDescent="0.3">
      <c r="A14" t="s">
        <v>724</v>
      </c>
      <c r="B14" s="90">
        <v>47.799999237060547</v>
      </c>
      <c r="C14" s="90">
        <v>48.209999084472663</v>
      </c>
      <c r="D14" s="94" t="s">
        <v>771</v>
      </c>
      <c r="E14" s="94" t="s">
        <v>927</v>
      </c>
      <c r="F14" s="94" t="s">
        <v>1067</v>
      </c>
    </row>
    <row r="15" spans="1:6" ht="16.5" x14ac:dyDescent="0.3">
      <c r="A15" t="s">
        <v>737</v>
      </c>
      <c r="B15" s="90">
        <v>903.3499755859375</v>
      </c>
      <c r="C15" s="90">
        <v>869.46002197265625</v>
      </c>
      <c r="D15" s="94" t="s">
        <v>772</v>
      </c>
      <c r="E15" s="94" t="s">
        <v>928</v>
      </c>
      <c r="F15" s="94" t="s">
        <v>928</v>
      </c>
    </row>
    <row r="16" spans="1:6" ht="16.5" x14ac:dyDescent="0.3">
      <c r="A16" t="s">
        <v>678</v>
      </c>
      <c r="B16" s="90">
        <v>36.900001525878913</v>
      </c>
      <c r="C16" s="90">
        <v>35.439998626708977</v>
      </c>
      <c r="D16" s="94" t="s">
        <v>773</v>
      </c>
      <c r="E16" s="94" t="s">
        <v>929</v>
      </c>
      <c r="F16" s="94" t="s">
        <v>1068</v>
      </c>
    </row>
    <row r="17" spans="1:6" ht="16.5" x14ac:dyDescent="0.3">
      <c r="A17" t="s">
        <v>681</v>
      </c>
      <c r="B17" s="90">
        <v>14.689999580383301</v>
      </c>
      <c r="C17" s="90">
        <v>15.05000019073486</v>
      </c>
      <c r="D17" s="94" t="s">
        <v>774</v>
      </c>
      <c r="E17" s="94" t="s">
        <v>930</v>
      </c>
      <c r="F17" s="94" t="s">
        <v>1069</v>
      </c>
    </row>
    <row r="18" spans="1:6" ht="16.5" x14ac:dyDescent="0.3">
      <c r="A18" t="s">
        <v>685</v>
      </c>
      <c r="B18" s="90">
        <v>252.74000549316409</v>
      </c>
      <c r="C18" s="90">
        <v>255.8800048828125</v>
      </c>
      <c r="D18" s="94" t="s">
        <v>775</v>
      </c>
      <c r="E18" s="94" t="s">
        <v>931</v>
      </c>
      <c r="F18" s="94" t="s">
        <v>1070</v>
      </c>
    </row>
    <row r="19" spans="1:6" ht="16.5" x14ac:dyDescent="0.3">
      <c r="A19" t="s">
        <v>680</v>
      </c>
      <c r="B19" s="90">
        <v>268.42999267578119</v>
      </c>
      <c r="C19" s="90">
        <v>269.45999145507813</v>
      </c>
      <c r="D19" s="94" t="s">
        <v>776</v>
      </c>
      <c r="E19" s="94" t="s">
        <v>776</v>
      </c>
      <c r="F19" s="94" t="s">
        <v>776</v>
      </c>
    </row>
    <row r="20" spans="1:6" ht="16.5" x14ac:dyDescent="0.3">
      <c r="A20" t="s">
        <v>691</v>
      </c>
      <c r="B20" s="90">
        <v>85.739997863769531</v>
      </c>
      <c r="C20" s="90">
        <v>85.739997863769531</v>
      </c>
      <c r="D20" s="94" t="s">
        <v>777</v>
      </c>
      <c r="E20" s="94" t="s">
        <v>932</v>
      </c>
      <c r="F20" s="94" t="s">
        <v>1071</v>
      </c>
    </row>
    <row r="21" spans="1:6" ht="16.5" x14ac:dyDescent="0.3">
      <c r="A21" t="s">
        <v>671</v>
      </c>
      <c r="B21" s="90">
        <v>99</v>
      </c>
      <c r="C21" s="90">
        <v>91.529998779296875</v>
      </c>
      <c r="D21" s="94" t="s">
        <v>778</v>
      </c>
      <c r="E21" s="94" t="s">
        <v>933</v>
      </c>
      <c r="F21" s="94" t="s">
        <v>1072</v>
      </c>
    </row>
    <row r="22" spans="1:6" ht="16.5" x14ac:dyDescent="0.3">
      <c r="A22" t="s">
        <v>711</v>
      </c>
      <c r="B22" s="90">
        <v>41.319999694824219</v>
      </c>
      <c r="C22" s="90">
        <v>41.319999694824219</v>
      </c>
      <c r="D22" s="94" t="s">
        <v>779</v>
      </c>
      <c r="E22" s="94" t="s">
        <v>934</v>
      </c>
      <c r="F22" s="94" t="s">
        <v>934</v>
      </c>
    </row>
    <row r="23" spans="1:6" ht="16.5" x14ac:dyDescent="0.3">
      <c r="A23" t="s">
        <v>709</v>
      </c>
      <c r="B23" s="90">
        <v>726.27001953125</v>
      </c>
      <c r="C23" s="90">
        <v>737.29998779296875</v>
      </c>
      <c r="D23" s="94" t="s">
        <v>780</v>
      </c>
      <c r="E23" s="94" t="s">
        <v>935</v>
      </c>
      <c r="F23" s="94" t="s">
        <v>1073</v>
      </c>
    </row>
    <row r="24" spans="1:6" ht="16.5" x14ac:dyDescent="0.3">
      <c r="A24" t="s">
        <v>726</v>
      </c>
      <c r="B24" s="90">
        <v>102.63999938964839</v>
      </c>
      <c r="C24" s="90">
        <v>105.7900009155273</v>
      </c>
      <c r="D24" s="94" t="s">
        <v>781</v>
      </c>
      <c r="E24" s="94" t="s">
        <v>909</v>
      </c>
      <c r="F24" s="94" t="s">
        <v>1074</v>
      </c>
    </row>
    <row r="25" spans="1:6" ht="16.5" x14ac:dyDescent="0.3">
      <c r="A25" t="s">
        <v>733</v>
      </c>
      <c r="B25" s="90">
        <v>141</v>
      </c>
      <c r="C25" s="90">
        <v>136.08000183105469</v>
      </c>
      <c r="D25" s="94" t="s">
        <v>782</v>
      </c>
      <c r="E25" s="94" t="s">
        <v>936</v>
      </c>
      <c r="F25" s="94" t="s">
        <v>1075</v>
      </c>
    </row>
    <row r="26" spans="1:6" ht="16.5" x14ac:dyDescent="0.3">
      <c r="A26" t="s">
        <v>722</v>
      </c>
      <c r="B26" s="90">
        <v>487</v>
      </c>
      <c r="C26" s="90">
        <v>475.30999755859381</v>
      </c>
      <c r="D26" s="94" t="s">
        <v>783</v>
      </c>
      <c r="E26" s="94" t="s">
        <v>783</v>
      </c>
      <c r="F26" s="94" t="s">
        <v>783</v>
      </c>
    </row>
    <row r="27" spans="1:6" ht="16.5" x14ac:dyDescent="0.3">
      <c r="A27" t="s">
        <v>721</v>
      </c>
      <c r="B27" s="90">
        <v>350</v>
      </c>
      <c r="C27" s="90">
        <v>350</v>
      </c>
      <c r="D27" s="94" t="s">
        <v>784</v>
      </c>
      <c r="E27" s="94" t="s">
        <v>784</v>
      </c>
      <c r="F27" s="94" t="s">
        <v>784</v>
      </c>
    </row>
    <row r="28" spans="1:6" ht="16.5" x14ac:dyDescent="0.3">
      <c r="A28" t="s">
        <v>723</v>
      </c>
      <c r="B28" s="90">
        <v>100.8000030517578</v>
      </c>
      <c r="C28" s="90">
        <v>106.0299987792969</v>
      </c>
      <c r="D28" s="94" t="s">
        <v>785</v>
      </c>
      <c r="E28" s="94" t="s">
        <v>937</v>
      </c>
      <c r="F28" s="94" t="s">
        <v>1076</v>
      </c>
    </row>
    <row r="29" spans="1:6" ht="16.5" x14ac:dyDescent="0.3">
      <c r="A29" t="s">
        <v>676</v>
      </c>
      <c r="B29" s="90">
        <v>385.50357055664063</v>
      </c>
      <c r="C29" s="90">
        <v>389.51998901367188</v>
      </c>
      <c r="D29" s="94" t="s">
        <v>786</v>
      </c>
      <c r="E29" s="94" t="s">
        <v>938</v>
      </c>
      <c r="F29" s="94" t="s">
        <v>1077</v>
      </c>
    </row>
    <row r="30" spans="1:6" ht="16.5" x14ac:dyDescent="0.3">
      <c r="A30" t="s">
        <v>713</v>
      </c>
      <c r="B30" s="90">
        <v>266.22000122070313</v>
      </c>
      <c r="C30" s="90">
        <v>270.54000854492188</v>
      </c>
      <c r="D30" s="94" t="s">
        <v>787</v>
      </c>
      <c r="E30" s="94" t="s">
        <v>939</v>
      </c>
      <c r="F30" s="94" t="s">
        <v>1078</v>
      </c>
    </row>
    <row r="31" spans="1:6" ht="16.5" x14ac:dyDescent="0.3">
      <c r="A31" t="s">
        <v>683</v>
      </c>
      <c r="B31" s="90">
        <v>95.510002136230469</v>
      </c>
      <c r="C31" s="90">
        <v>105</v>
      </c>
      <c r="D31" s="94" t="s">
        <v>788</v>
      </c>
      <c r="E31" s="94" t="s">
        <v>940</v>
      </c>
      <c r="F31" s="94" t="s">
        <v>1079</v>
      </c>
    </row>
    <row r="32" spans="1:6" ht="16.5" x14ac:dyDescent="0.3">
      <c r="A32" t="s">
        <v>732</v>
      </c>
      <c r="B32" s="90">
        <v>125.7600021362305</v>
      </c>
      <c r="C32" s="90">
        <v>116.879997253418</v>
      </c>
      <c r="D32" s="94" t="s">
        <v>789</v>
      </c>
      <c r="E32" s="94" t="s">
        <v>941</v>
      </c>
      <c r="F32" s="94" t="s">
        <v>1080</v>
      </c>
    </row>
    <row r="33" spans="1:6" ht="16.5" x14ac:dyDescent="0.3">
      <c r="A33" t="s">
        <v>738</v>
      </c>
      <c r="B33" s="90">
        <v>63.200000762939453</v>
      </c>
      <c r="C33" s="90">
        <v>63.200000762939453</v>
      </c>
      <c r="D33" s="94" t="s">
        <v>790</v>
      </c>
      <c r="E33" s="94" t="s">
        <v>790</v>
      </c>
      <c r="F33" s="94" t="s">
        <v>1081</v>
      </c>
    </row>
    <row r="34" spans="1:6" ht="16.5" x14ac:dyDescent="0.3">
      <c r="A34" t="s">
        <v>740</v>
      </c>
      <c r="B34" s="90">
        <v>276.3699951171875</v>
      </c>
      <c r="C34" s="90">
        <v>264.16000366210938</v>
      </c>
      <c r="D34" s="94" t="s">
        <v>791</v>
      </c>
      <c r="E34" s="94" t="s">
        <v>791</v>
      </c>
      <c r="F34" s="94" t="s">
        <v>791</v>
      </c>
    </row>
    <row r="35" spans="1:6" ht="16.5" x14ac:dyDescent="0.3">
      <c r="A35" t="s">
        <v>746</v>
      </c>
      <c r="B35" s="90">
        <v>14.19999980926514</v>
      </c>
      <c r="C35" s="90">
        <v>14.19999980926514</v>
      </c>
      <c r="D35" s="94" t="s">
        <v>792</v>
      </c>
      <c r="E35" s="94" t="s">
        <v>942</v>
      </c>
      <c r="F35" s="94" t="s">
        <v>1082</v>
      </c>
    </row>
    <row r="36" spans="1:6" ht="16.5" x14ac:dyDescent="0.3">
      <c r="A36" t="s">
        <v>744</v>
      </c>
      <c r="B36" s="90">
        <v>444.42001342773438</v>
      </c>
      <c r="C36" s="90">
        <v>417.89999389648438</v>
      </c>
      <c r="D36" s="94" t="s">
        <v>793</v>
      </c>
      <c r="E36" s="94" t="s">
        <v>793</v>
      </c>
      <c r="F36" s="94" t="s">
        <v>1083</v>
      </c>
    </row>
    <row r="37" spans="1:6" ht="16.5" x14ac:dyDescent="0.3">
      <c r="A37" t="s">
        <v>690</v>
      </c>
      <c r="B37" s="90">
        <v>45.950000762939453</v>
      </c>
      <c r="C37" s="90">
        <v>44.799999237060547</v>
      </c>
      <c r="D37" s="94" t="s">
        <v>794</v>
      </c>
      <c r="E37" s="94" t="s">
        <v>794</v>
      </c>
      <c r="F37" s="94" t="s">
        <v>1084</v>
      </c>
    </row>
    <row r="38" spans="1:6" ht="16.5" x14ac:dyDescent="0.3">
      <c r="A38" t="s">
        <v>745</v>
      </c>
      <c r="B38" s="90">
        <v>420.42001342773438</v>
      </c>
      <c r="C38" s="90">
        <v>419.3800048828125</v>
      </c>
      <c r="D38" s="94" t="s">
        <v>795</v>
      </c>
      <c r="E38" s="94" t="s">
        <v>943</v>
      </c>
      <c r="F38" s="94" t="s">
        <v>1085</v>
      </c>
    </row>
    <row r="39" spans="1:6" ht="16.5" x14ac:dyDescent="0.3">
      <c r="A39" t="s">
        <v>749</v>
      </c>
      <c r="B39" s="90">
        <v>278.60000610351563</v>
      </c>
      <c r="C39" s="90">
        <v>271.05999755859381</v>
      </c>
      <c r="D39" s="94" t="s">
        <v>796</v>
      </c>
      <c r="E39" s="94" t="s">
        <v>944</v>
      </c>
      <c r="F39" s="94" t="s">
        <v>1086</v>
      </c>
    </row>
    <row r="40" spans="1:6" ht="16.5" x14ac:dyDescent="0.3">
      <c r="A40" t="s">
        <v>750</v>
      </c>
      <c r="B40" s="90">
        <v>531.80999755859375</v>
      </c>
      <c r="C40" s="90">
        <v>531.80999755859375</v>
      </c>
      <c r="D40" s="94" t="s">
        <v>797</v>
      </c>
      <c r="E40" s="94" t="s">
        <v>797</v>
      </c>
      <c r="F40" s="94" t="s">
        <v>797</v>
      </c>
    </row>
    <row r="41" spans="1:6" ht="16.5" x14ac:dyDescent="0.3">
      <c r="A41" t="s">
        <v>708</v>
      </c>
      <c r="B41" s="90">
        <v>190</v>
      </c>
      <c r="C41" s="90">
        <v>188.86000061035159</v>
      </c>
      <c r="D41" s="94" t="s">
        <v>798</v>
      </c>
      <c r="E41" s="94" t="s">
        <v>945</v>
      </c>
      <c r="F41" s="94" t="s">
        <v>1087</v>
      </c>
    </row>
    <row r="42" spans="1:6" ht="16.5" x14ac:dyDescent="0.3">
      <c r="A42" t="s">
        <v>741</v>
      </c>
      <c r="B42" s="90">
        <v>63.720001220703118</v>
      </c>
      <c r="C42" s="90">
        <v>64.089996337890625</v>
      </c>
      <c r="D42" s="94" t="s">
        <v>799</v>
      </c>
      <c r="E42" s="94" t="s">
        <v>946</v>
      </c>
      <c r="F42" s="94" t="s">
        <v>1088</v>
      </c>
    </row>
    <row r="43" spans="1:6" ht="16.5" x14ac:dyDescent="0.3">
      <c r="A43" t="s">
        <v>697</v>
      </c>
      <c r="B43" s="90">
        <v>12.13000011444092</v>
      </c>
      <c r="C43" s="90">
        <v>12.13000011444092</v>
      </c>
      <c r="D43" s="94" t="s">
        <v>800</v>
      </c>
      <c r="E43" s="94" t="s">
        <v>806</v>
      </c>
      <c r="F43" s="94" t="s">
        <v>1089</v>
      </c>
    </row>
    <row r="44" spans="1:6" ht="16.5" x14ac:dyDescent="0.3">
      <c r="A44" t="s">
        <v>731</v>
      </c>
      <c r="B44" s="90">
        <v>95.339996337890625</v>
      </c>
      <c r="C44" s="90">
        <v>97</v>
      </c>
      <c r="D44" s="94" t="s">
        <v>801</v>
      </c>
      <c r="E44" s="94" t="s">
        <v>947</v>
      </c>
      <c r="F44" s="94" t="s">
        <v>1090</v>
      </c>
    </row>
    <row r="45" spans="1:6" ht="16.5" x14ac:dyDescent="0.3">
      <c r="A45" t="s">
        <v>736</v>
      </c>
      <c r="B45" s="90">
        <v>11.510000228881839</v>
      </c>
      <c r="C45" s="90">
        <v>11.39999961853027</v>
      </c>
      <c r="D45" s="94" t="s">
        <v>802</v>
      </c>
      <c r="E45" s="94" t="s">
        <v>948</v>
      </c>
      <c r="F45" s="94" t="s">
        <v>1091</v>
      </c>
    </row>
    <row r="46" spans="1:6" ht="16.5" x14ac:dyDescent="0.3">
      <c r="A46" t="s">
        <v>735</v>
      </c>
      <c r="B46" s="90">
        <v>47.25</v>
      </c>
      <c r="C46" s="90">
        <v>46.650001525878913</v>
      </c>
      <c r="D46" s="94" t="s">
        <v>803</v>
      </c>
      <c r="E46" s="94" t="s">
        <v>949</v>
      </c>
      <c r="F46" s="94" t="s">
        <v>1092</v>
      </c>
    </row>
    <row r="47" spans="1:6" ht="16.5" x14ac:dyDescent="0.3">
      <c r="A47" t="s">
        <v>665</v>
      </c>
      <c r="B47" s="90">
        <v>62.080001831054688</v>
      </c>
      <c r="C47" s="90">
        <v>63.229999542236328</v>
      </c>
      <c r="D47" s="94" t="s">
        <v>804</v>
      </c>
      <c r="E47" s="94" t="s">
        <v>804</v>
      </c>
      <c r="F47" s="94" t="s">
        <v>1093</v>
      </c>
    </row>
    <row r="48" spans="1:6" ht="16.5" x14ac:dyDescent="0.3">
      <c r="A48" t="s">
        <v>751</v>
      </c>
      <c r="B48" s="90">
        <v>248.69999694824219</v>
      </c>
      <c r="C48" s="90">
        <v>236.53999328613281</v>
      </c>
      <c r="D48" s="94" t="s">
        <v>805</v>
      </c>
      <c r="E48" s="94" t="s">
        <v>950</v>
      </c>
      <c r="F48" s="94" t="s">
        <v>1094</v>
      </c>
    </row>
    <row r="49" spans="1:6" ht="16.5" x14ac:dyDescent="0.3">
      <c r="A49" t="s">
        <v>752</v>
      </c>
      <c r="B49" s="90">
        <v>14.10999965667725</v>
      </c>
      <c r="C49" s="90">
        <v>14.10999965667725</v>
      </c>
      <c r="D49" s="94" t="s">
        <v>806</v>
      </c>
      <c r="E49" s="94" t="s">
        <v>629</v>
      </c>
      <c r="F49" s="94" t="s">
        <v>629</v>
      </c>
    </row>
    <row r="50" spans="1:6" ht="16.5" x14ac:dyDescent="0.3">
      <c r="A50" t="s">
        <v>703</v>
      </c>
      <c r="B50" s="90">
        <v>61.319999694824219</v>
      </c>
      <c r="C50" s="90">
        <v>64.199996948242188</v>
      </c>
      <c r="D50" s="94" t="s">
        <v>807</v>
      </c>
      <c r="E50" s="94" t="s">
        <v>951</v>
      </c>
      <c r="F50" s="94" t="s">
        <v>1095</v>
      </c>
    </row>
    <row r="51" spans="1:6" ht="16.5" x14ac:dyDescent="0.3">
      <c r="A51" t="s">
        <v>725</v>
      </c>
      <c r="B51" s="90">
        <v>55.080001831054688</v>
      </c>
      <c r="C51" s="90">
        <v>57.200000762939453</v>
      </c>
      <c r="D51" s="94" t="s">
        <v>808</v>
      </c>
      <c r="E51" s="94" t="s">
        <v>952</v>
      </c>
      <c r="F51" s="94" t="s">
        <v>1096</v>
      </c>
    </row>
    <row r="52" spans="1:6" ht="16.5" x14ac:dyDescent="0.3">
      <c r="A52" t="s">
        <v>663</v>
      </c>
      <c r="B52" s="90">
        <v>62.527557373046882</v>
      </c>
      <c r="C52" s="90">
        <v>62.438091278076172</v>
      </c>
      <c r="D52" s="94" t="s">
        <v>809</v>
      </c>
      <c r="E52" s="94" t="s">
        <v>953</v>
      </c>
      <c r="F52" s="94" t="s">
        <v>1097</v>
      </c>
    </row>
    <row r="53" spans="1:6" ht="16.5" x14ac:dyDescent="0.3">
      <c r="A53" t="s">
        <v>662</v>
      </c>
      <c r="B53" s="90">
        <v>60.768428802490227</v>
      </c>
      <c r="C53" s="90">
        <v>60.050693511962891</v>
      </c>
      <c r="D53" s="94" t="s">
        <v>810</v>
      </c>
      <c r="E53" s="94" t="s">
        <v>954</v>
      </c>
      <c r="F53" s="94" t="s">
        <v>1098</v>
      </c>
    </row>
    <row r="54" spans="1:6" ht="16.5" x14ac:dyDescent="0.3">
      <c r="A54" t="s">
        <v>718</v>
      </c>
      <c r="B54" s="90">
        <v>64.879997253417969</v>
      </c>
      <c r="C54" s="90">
        <v>61.900001525878913</v>
      </c>
      <c r="D54" s="94" t="s">
        <v>811</v>
      </c>
      <c r="E54" s="94" t="s">
        <v>955</v>
      </c>
      <c r="F54" s="94" t="s">
        <v>1099</v>
      </c>
    </row>
    <row r="55" spans="1:6" ht="16.5" x14ac:dyDescent="0.3">
      <c r="A55" t="s">
        <v>666</v>
      </c>
      <c r="B55" s="90">
        <v>1614.924072265625</v>
      </c>
      <c r="C55" s="90">
        <v>1650.108154296875</v>
      </c>
      <c r="D55" s="94" t="s">
        <v>812</v>
      </c>
      <c r="E55" s="94" t="s">
        <v>956</v>
      </c>
      <c r="F55" s="94" t="s">
        <v>1100</v>
      </c>
    </row>
    <row r="56" spans="1:6" ht="16.5" x14ac:dyDescent="0.3">
      <c r="A56" t="s">
        <v>669</v>
      </c>
      <c r="B56" s="90">
        <v>43.490001678466797</v>
      </c>
      <c r="C56" s="90">
        <v>42.009998321533203</v>
      </c>
      <c r="D56" s="94" t="s">
        <v>813</v>
      </c>
      <c r="E56" s="94" t="s">
        <v>957</v>
      </c>
      <c r="F56" s="94" t="s">
        <v>1101</v>
      </c>
    </row>
    <row r="57" spans="1:6" ht="16.5" x14ac:dyDescent="0.3">
      <c r="A57" t="s">
        <v>747</v>
      </c>
      <c r="B57" s="90">
        <v>68.389999389648438</v>
      </c>
      <c r="C57" s="90">
        <v>69.720001220703125</v>
      </c>
      <c r="D57" s="94" t="s">
        <v>814</v>
      </c>
      <c r="E57" s="94" t="s">
        <v>958</v>
      </c>
      <c r="F57" s="94" t="s">
        <v>1102</v>
      </c>
    </row>
    <row r="58" spans="1:6" ht="16.5" x14ac:dyDescent="0.3">
      <c r="A58" t="s">
        <v>706</v>
      </c>
      <c r="B58" s="90">
        <v>466.14999389648438</v>
      </c>
      <c r="C58" s="90">
        <v>448.67001342773438</v>
      </c>
      <c r="D58" s="94" t="s">
        <v>815</v>
      </c>
      <c r="E58" s="94" t="s">
        <v>959</v>
      </c>
      <c r="F58" s="94" t="s">
        <v>1103</v>
      </c>
    </row>
    <row r="59" spans="1:6" ht="16.5" x14ac:dyDescent="0.3">
      <c r="A59" t="s">
        <v>677</v>
      </c>
      <c r="B59" s="90">
        <v>36.5</v>
      </c>
      <c r="C59" s="90">
        <v>36.229999542236328</v>
      </c>
      <c r="D59" s="94" t="s">
        <v>816</v>
      </c>
      <c r="E59" s="94" t="s">
        <v>960</v>
      </c>
      <c r="F59" s="94" t="s">
        <v>1104</v>
      </c>
    </row>
    <row r="60" spans="1:6" ht="16.5" x14ac:dyDescent="0.3">
      <c r="A60" t="s">
        <v>712</v>
      </c>
      <c r="B60" s="90">
        <v>54.360000610351563</v>
      </c>
      <c r="C60" s="90">
        <v>58.319999694824219</v>
      </c>
      <c r="D60" s="94" t="s">
        <v>817</v>
      </c>
      <c r="E60" s="94" t="s">
        <v>961</v>
      </c>
      <c r="F60" s="94" t="s">
        <v>1105</v>
      </c>
    </row>
    <row r="61" spans="1:6" ht="16.5" x14ac:dyDescent="0.3">
      <c r="A61" t="s">
        <v>696</v>
      </c>
      <c r="B61" s="90">
        <v>60.490001678466797</v>
      </c>
      <c r="C61" s="90">
        <v>60.200000762939453</v>
      </c>
      <c r="D61" s="94" t="s">
        <v>818</v>
      </c>
      <c r="E61" s="94" t="s">
        <v>962</v>
      </c>
      <c r="F61" s="94" t="s">
        <v>1106</v>
      </c>
    </row>
    <row r="62" spans="1:6" ht="16.5" x14ac:dyDescent="0.3">
      <c r="A62" t="s">
        <v>728</v>
      </c>
      <c r="B62" s="90">
        <v>193.19999694824219</v>
      </c>
      <c r="C62" s="90">
        <v>193.19999694824219</v>
      </c>
      <c r="D62" s="94" t="s">
        <v>819</v>
      </c>
      <c r="E62" s="94" t="s">
        <v>963</v>
      </c>
      <c r="F62" s="94" t="s">
        <v>963</v>
      </c>
    </row>
    <row r="63" spans="1:6" ht="16.5" x14ac:dyDescent="0.3">
      <c r="A63" t="s">
        <v>729</v>
      </c>
      <c r="B63" s="90">
        <v>86.489997863769531</v>
      </c>
      <c r="C63" s="90">
        <v>87.410003662109375</v>
      </c>
      <c r="D63" s="94" t="s">
        <v>820</v>
      </c>
      <c r="E63" s="94" t="s">
        <v>964</v>
      </c>
      <c r="F63" s="94" t="s">
        <v>1107</v>
      </c>
    </row>
    <row r="64" spans="1:6" ht="16.5" x14ac:dyDescent="0.3">
      <c r="A64" t="s">
        <v>739</v>
      </c>
      <c r="B64" s="90">
        <v>79.120002746582031</v>
      </c>
      <c r="C64" s="90">
        <v>78</v>
      </c>
      <c r="D64" s="94" t="s">
        <v>821</v>
      </c>
      <c r="E64" s="94" t="s">
        <v>965</v>
      </c>
      <c r="F64" s="94" t="s">
        <v>1108</v>
      </c>
    </row>
    <row r="65" spans="1:6" ht="16.5" x14ac:dyDescent="0.3">
      <c r="A65" t="s">
        <v>742</v>
      </c>
      <c r="B65" s="90">
        <v>50.540855407714837</v>
      </c>
      <c r="C65" s="90">
        <v>49.639934539794922</v>
      </c>
      <c r="D65" s="94" t="s">
        <v>822</v>
      </c>
      <c r="E65" s="94" t="s">
        <v>966</v>
      </c>
      <c r="F65" s="94" t="s">
        <v>1109</v>
      </c>
    </row>
    <row r="66" spans="1:6" ht="16.5" x14ac:dyDescent="0.3">
      <c r="A66" t="s">
        <v>320</v>
      </c>
      <c r="B66" s="90">
        <v>47.049999237060547</v>
      </c>
      <c r="C66" s="90">
        <v>47</v>
      </c>
      <c r="D66" s="94" t="s">
        <v>823</v>
      </c>
      <c r="E66" s="94" t="s">
        <v>967</v>
      </c>
      <c r="F66" s="94" t="s">
        <v>1110</v>
      </c>
    </row>
    <row r="67" spans="1:6" ht="16.5" x14ac:dyDescent="0.3">
      <c r="A67" t="s">
        <v>734</v>
      </c>
      <c r="B67" s="90">
        <v>886.8599853515625</v>
      </c>
      <c r="C67" s="90">
        <v>886.8599853515625</v>
      </c>
      <c r="D67" s="94" t="s">
        <v>824</v>
      </c>
      <c r="E67" s="94" t="s">
        <v>824</v>
      </c>
      <c r="F67" s="94" t="s">
        <v>824</v>
      </c>
    </row>
    <row r="68" spans="1:6" ht="16.5" x14ac:dyDescent="0.3">
      <c r="A68" t="s">
        <v>705</v>
      </c>
      <c r="B68" s="90">
        <v>173.32624816894531</v>
      </c>
      <c r="C68" s="90">
        <v>176.13999938964841</v>
      </c>
      <c r="D68" s="94" t="s">
        <v>825</v>
      </c>
      <c r="E68" s="94" t="s">
        <v>968</v>
      </c>
      <c r="F68" s="94" t="s">
        <v>1111</v>
      </c>
    </row>
    <row r="69" spans="1:6" ht="16.5" x14ac:dyDescent="0.3">
      <c r="A69" t="s">
        <v>748</v>
      </c>
      <c r="B69" s="90">
        <v>90</v>
      </c>
      <c r="C69" s="90">
        <v>91.260002136230469</v>
      </c>
      <c r="D69" s="94" t="s">
        <v>826</v>
      </c>
      <c r="E69" s="94" t="s">
        <v>969</v>
      </c>
      <c r="F69" s="94" t="s">
        <v>1112</v>
      </c>
    </row>
    <row r="70" spans="1:6" ht="16.5" x14ac:dyDescent="0.3">
      <c r="A70" t="s">
        <v>684</v>
      </c>
      <c r="B70" s="90">
        <v>22.389999389648441</v>
      </c>
      <c r="C70" s="90">
        <v>21.020000457763668</v>
      </c>
      <c r="D70" s="94" t="s">
        <v>827</v>
      </c>
      <c r="E70" s="94" t="s">
        <v>970</v>
      </c>
      <c r="F70" s="94" t="s">
        <v>1113</v>
      </c>
    </row>
    <row r="71" spans="1:6" ht="16.5" x14ac:dyDescent="0.3">
      <c r="A71" t="s">
        <v>700</v>
      </c>
      <c r="B71" s="90">
        <v>64.400001525878906</v>
      </c>
      <c r="C71" s="90">
        <v>64.400001525878906</v>
      </c>
      <c r="D71" s="94" t="s">
        <v>828</v>
      </c>
      <c r="E71" s="94" t="s">
        <v>971</v>
      </c>
      <c r="F71" s="94" t="s">
        <v>1114</v>
      </c>
    </row>
    <row r="72" spans="1:6" ht="16.5" x14ac:dyDescent="0.3">
      <c r="A72" t="s">
        <v>692</v>
      </c>
      <c r="B72" s="90">
        <v>80.919998168945313</v>
      </c>
      <c r="C72" s="90">
        <v>80.650001525878906</v>
      </c>
      <c r="D72" s="94" t="s">
        <v>829</v>
      </c>
      <c r="E72" s="94" t="s">
        <v>972</v>
      </c>
      <c r="F72" s="94" t="s">
        <v>1115</v>
      </c>
    </row>
    <row r="73" spans="1:6" ht="16.5" x14ac:dyDescent="0.3">
      <c r="A73" t="s">
        <v>693</v>
      </c>
      <c r="B73" s="90">
        <v>80.279998779296875</v>
      </c>
      <c r="C73" s="90">
        <v>79.879997253417969</v>
      </c>
      <c r="D73" s="94" t="s">
        <v>830</v>
      </c>
      <c r="E73" s="94" t="s">
        <v>973</v>
      </c>
      <c r="F73" s="94" t="s">
        <v>1116</v>
      </c>
    </row>
    <row r="74" spans="1:6" ht="16.5" x14ac:dyDescent="0.3">
      <c r="A74" t="s">
        <v>660</v>
      </c>
      <c r="B74" s="90">
        <v>207.80000305175781</v>
      </c>
      <c r="C74" s="90">
        <v>203</v>
      </c>
      <c r="D74" s="94" t="s">
        <v>831</v>
      </c>
      <c r="E74" s="94" t="s">
        <v>974</v>
      </c>
      <c r="F74" s="94" t="s">
        <v>1117</v>
      </c>
    </row>
    <row r="75" spans="1:6" ht="16.5" x14ac:dyDescent="0.3">
      <c r="A75" t="s">
        <v>695</v>
      </c>
      <c r="B75" s="90">
        <v>321.010009765625</v>
      </c>
      <c r="C75" s="90">
        <v>319.48001098632813</v>
      </c>
      <c r="D75" s="94" t="s">
        <v>832</v>
      </c>
      <c r="E75" s="94" t="s">
        <v>975</v>
      </c>
      <c r="F75" s="94" t="s">
        <v>1118</v>
      </c>
    </row>
    <row r="76" spans="1:6" ht="16.5" x14ac:dyDescent="0.3">
      <c r="A76" t="s">
        <v>719</v>
      </c>
      <c r="B76" s="90">
        <v>110</v>
      </c>
      <c r="C76" s="90">
        <v>106.51999664306641</v>
      </c>
      <c r="D76" s="94" t="s">
        <v>833</v>
      </c>
      <c r="E76" s="94" t="s">
        <v>976</v>
      </c>
      <c r="F76" s="94" t="s">
        <v>1119</v>
      </c>
    </row>
    <row r="77" spans="1:6" ht="16.5" x14ac:dyDescent="0.3">
      <c r="A77" t="s">
        <v>743</v>
      </c>
      <c r="B77" s="90">
        <v>55.599998474121087</v>
      </c>
      <c r="C77" s="90">
        <v>58.020000457763672</v>
      </c>
      <c r="D77" s="94" t="s">
        <v>834</v>
      </c>
      <c r="E77" s="94" t="s">
        <v>977</v>
      </c>
      <c r="F77" s="94" t="s">
        <v>1120</v>
      </c>
    </row>
    <row r="78" spans="1:6" ht="16.5" x14ac:dyDescent="0.3">
      <c r="A78" t="s">
        <v>707</v>
      </c>
      <c r="B78" s="90">
        <v>50.049999237060547</v>
      </c>
      <c r="C78" s="90">
        <v>51.159999847412109</v>
      </c>
      <c r="D78" s="94" t="s">
        <v>835</v>
      </c>
      <c r="E78" s="94" t="s">
        <v>978</v>
      </c>
      <c r="F78" s="94" t="s">
        <v>1121</v>
      </c>
    </row>
    <row r="79" spans="1:6" x14ac:dyDescent="0.25">
      <c r="A79" t="s">
        <v>1196</v>
      </c>
    </row>
    <row r="80" spans="1:6" x14ac:dyDescent="0.25">
      <c r="A80" t="s">
        <v>1197</v>
      </c>
    </row>
    <row r="81" spans="1:1" x14ac:dyDescent="0.25">
      <c r="A81" t="s">
        <v>1198</v>
      </c>
    </row>
    <row r="82" spans="1:1" x14ac:dyDescent="0.25">
      <c r="A82" t="s">
        <v>1204</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141DC-94A9-46E0-9EEA-040A97715940}">
  <dimension ref="A1:F62"/>
  <sheetViews>
    <sheetView workbookViewId="0">
      <selection activeCell="F1" sqref="F1"/>
    </sheetView>
  </sheetViews>
  <sheetFormatPr defaultRowHeight="15" x14ac:dyDescent="0.25"/>
  <cols>
    <col min="1" max="1" width="15" customWidth="1"/>
    <col min="2" max="2" width="10.7109375" customWidth="1"/>
    <col min="3" max="6" width="10.7109375" bestFit="1" customWidth="1"/>
  </cols>
  <sheetData>
    <row r="1" spans="1:6" x14ac:dyDescent="0.25">
      <c r="A1" t="s">
        <v>475</v>
      </c>
      <c r="B1" s="79">
        <v>45850</v>
      </c>
      <c r="C1" s="79">
        <v>45857</v>
      </c>
      <c r="D1" s="79">
        <v>45864</v>
      </c>
      <c r="E1" s="79">
        <v>45871</v>
      </c>
      <c r="F1" s="79">
        <v>45878</v>
      </c>
    </row>
    <row r="2" spans="1:6" ht="16.5" x14ac:dyDescent="0.3">
      <c r="A2" t="s">
        <v>507</v>
      </c>
      <c r="B2" s="90" t="s">
        <v>586</v>
      </c>
      <c r="C2" s="90" t="s">
        <v>836</v>
      </c>
      <c r="D2" s="90" t="s">
        <v>979</v>
      </c>
      <c r="E2" s="90" t="s">
        <v>1122</v>
      </c>
      <c r="F2" s="90" t="s">
        <v>586</v>
      </c>
    </row>
    <row r="3" spans="1:6" ht="16.5" x14ac:dyDescent="0.3">
      <c r="A3" t="s">
        <v>508</v>
      </c>
      <c r="B3" s="90" t="s">
        <v>587</v>
      </c>
      <c r="C3" s="90" t="s">
        <v>794</v>
      </c>
      <c r="D3" s="90" t="s">
        <v>980</v>
      </c>
      <c r="E3" s="90" t="s">
        <v>1166</v>
      </c>
      <c r="F3" s="90" t="s">
        <v>1205</v>
      </c>
    </row>
    <row r="4" spans="1:6" ht="16.5" x14ac:dyDescent="0.3">
      <c r="A4" t="s">
        <v>509</v>
      </c>
      <c r="B4" s="90" t="s">
        <v>588</v>
      </c>
      <c r="C4" s="90" t="s">
        <v>837</v>
      </c>
      <c r="D4" s="90" t="s">
        <v>981</v>
      </c>
      <c r="E4" s="90" t="s">
        <v>1167</v>
      </c>
      <c r="F4" s="90" t="s">
        <v>1206</v>
      </c>
    </row>
    <row r="5" spans="1:6" ht="16.5" x14ac:dyDescent="0.3">
      <c r="A5" t="s">
        <v>510</v>
      </c>
      <c r="B5" s="90" t="s">
        <v>589</v>
      </c>
      <c r="C5" s="90" t="s">
        <v>838</v>
      </c>
      <c r="D5" s="90" t="s">
        <v>982</v>
      </c>
      <c r="E5" s="90" t="s">
        <v>1139</v>
      </c>
      <c r="F5" s="90" t="s">
        <v>1207</v>
      </c>
    </row>
    <row r="6" spans="1:6" ht="16.5" x14ac:dyDescent="0.3">
      <c r="A6" t="s">
        <v>511</v>
      </c>
      <c r="B6" s="90" t="s">
        <v>590</v>
      </c>
      <c r="C6" s="90" t="s">
        <v>839</v>
      </c>
      <c r="D6" s="90" t="s">
        <v>983</v>
      </c>
      <c r="E6" s="90" t="s">
        <v>1168</v>
      </c>
      <c r="F6" s="90" t="s">
        <v>1208</v>
      </c>
    </row>
    <row r="7" spans="1:6" ht="16.5" x14ac:dyDescent="0.3">
      <c r="A7" t="s">
        <v>512</v>
      </c>
      <c r="B7" s="90" t="s">
        <v>591</v>
      </c>
      <c r="C7" s="90" t="s">
        <v>840</v>
      </c>
      <c r="D7" s="90" t="s">
        <v>984</v>
      </c>
      <c r="E7" s="90" t="s">
        <v>1140</v>
      </c>
      <c r="F7" s="90" t="s">
        <v>1209</v>
      </c>
    </row>
    <row r="8" spans="1:6" ht="16.5" x14ac:dyDescent="0.3">
      <c r="A8" t="s">
        <v>513</v>
      </c>
      <c r="B8" s="90" t="s">
        <v>592</v>
      </c>
      <c r="C8" s="90" t="s">
        <v>841</v>
      </c>
      <c r="D8" s="90" t="s">
        <v>985</v>
      </c>
      <c r="E8" s="90" t="s">
        <v>1141</v>
      </c>
      <c r="F8" s="90" t="s">
        <v>1210</v>
      </c>
    </row>
    <row r="9" spans="1:6" ht="16.5" x14ac:dyDescent="0.3">
      <c r="A9" t="s">
        <v>514</v>
      </c>
      <c r="B9" s="90" t="s">
        <v>593</v>
      </c>
      <c r="C9" s="90" t="s">
        <v>842</v>
      </c>
      <c r="D9" s="90" t="s">
        <v>986</v>
      </c>
      <c r="E9" s="90" t="s">
        <v>1142</v>
      </c>
      <c r="F9" s="90" t="s">
        <v>1211</v>
      </c>
    </row>
    <row r="10" spans="1:6" ht="16.5" x14ac:dyDescent="0.3">
      <c r="A10" t="s">
        <v>515</v>
      </c>
      <c r="B10" s="90" t="s">
        <v>594</v>
      </c>
      <c r="C10" s="90" t="s">
        <v>843</v>
      </c>
      <c r="D10" s="90" t="s">
        <v>987</v>
      </c>
      <c r="E10" s="90" t="s">
        <v>1143</v>
      </c>
      <c r="F10" s="90" t="s">
        <v>1212</v>
      </c>
    </row>
    <row r="11" spans="1:6" ht="16.5" x14ac:dyDescent="0.3">
      <c r="A11" t="s">
        <v>516</v>
      </c>
      <c r="B11" s="90" t="s">
        <v>595</v>
      </c>
      <c r="C11" s="90" t="s">
        <v>844</v>
      </c>
      <c r="D11" s="90" t="s">
        <v>988</v>
      </c>
      <c r="E11" s="90" t="s">
        <v>1144</v>
      </c>
      <c r="F11" s="90" t="s">
        <v>1213</v>
      </c>
    </row>
    <row r="12" spans="1:6" ht="16.5" x14ac:dyDescent="0.3">
      <c r="A12" t="s">
        <v>517</v>
      </c>
      <c r="B12" s="90" t="s">
        <v>596</v>
      </c>
      <c r="C12" s="90" t="s">
        <v>845</v>
      </c>
      <c r="D12" s="90" t="s">
        <v>989</v>
      </c>
      <c r="E12" s="90" t="s">
        <v>1145</v>
      </c>
      <c r="F12" s="90" t="s">
        <v>1214</v>
      </c>
    </row>
    <row r="13" spans="1:6" ht="16.5" x14ac:dyDescent="0.3">
      <c r="A13" t="s">
        <v>518</v>
      </c>
      <c r="B13" s="90" t="s">
        <v>597</v>
      </c>
      <c r="C13" s="90" t="s">
        <v>846</v>
      </c>
      <c r="D13" s="90" t="s">
        <v>990</v>
      </c>
      <c r="E13" s="90" t="s">
        <v>1146</v>
      </c>
      <c r="F13" s="90" t="s">
        <v>1215</v>
      </c>
    </row>
    <row r="14" spans="1:6" ht="16.5" x14ac:dyDescent="0.3">
      <c r="A14" t="s">
        <v>519</v>
      </c>
      <c r="B14" s="90" t="s">
        <v>585</v>
      </c>
      <c r="C14" s="90" t="s">
        <v>847</v>
      </c>
      <c r="D14" s="90" t="s">
        <v>991</v>
      </c>
      <c r="E14" s="90" t="s">
        <v>1147</v>
      </c>
      <c r="F14" s="90" t="s">
        <v>1216</v>
      </c>
    </row>
    <row r="15" spans="1:6" ht="16.5" x14ac:dyDescent="0.3">
      <c r="A15" t="s">
        <v>520</v>
      </c>
      <c r="B15" s="90" t="s">
        <v>598</v>
      </c>
      <c r="C15" s="90" t="s">
        <v>848</v>
      </c>
      <c r="D15" s="90" t="s">
        <v>992</v>
      </c>
      <c r="E15" s="90" t="s">
        <v>1148</v>
      </c>
      <c r="F15" s="90" t="s">
        <v>1217</v>
      </c>
    </row>
    <row r="16" spans="1:6" ht="16.5" x14ac:dyDescent="0.3">
      <c r="A16" t="s">
        <v>521</v>
      </c>
      <c r="B16" s="90" t="s">
        <v>599</v>
      </c>
      <c r="C16" s="90" t="s">
        <v>849</v>
      </c>
      <c r="D16" s="90" t="s">
        <v>993</v>
      </c>
      <c r="E16" s="90" t="s">
        <v>1169</v>
      </c>
      <c r="F16" s="90" t="s">
        <v>1218</v>
      </c>
    </row>
    <row r="17" spans="1:6" ht="16.5" x14ac:dyDescent="0.3">
      <c r="A17" t="s">
        <v>522</v>
      </c>
      <c r="B17" s="90" t="s">
        <v>600</v>
      </c>
      <c r="C17" s="90" t="s">
        <v>850</v>
      </c>
      <c r="D17" s="90" t="s">
        <v>994</v>
      </c>
      <c r="E17" s="90" t="s">
        <v>1170</v>
      </c>
      <c r="F17" s="90" t="s">
        <v>1219</v>
      </c>
    </row>
    <row r="18" spans="1:6" ht="16.5" x14ac:dyDescent="0.3">
      <c r="A18" t="s">
        <v>523</v>
      </c>
      <c r="B18" s="90" t="s">
        <v>583</v>
      </c>
      <c r="C18" s="90" t="s">
        <v>851</v>
      </c>
      <c r="D18" s="90" t="s">
        <v>995</v>
      </c>
      <c r="E18" s="90" t="s">
        <v>1149</v>
      </c>
      <c r="F18" s="90" t="s">
        <v>1220</v>
      </c>
    </row>
    <row r="19" spans="1:6" ht="16.5" x14ac:dyDescent="0.3">
      <c r="A19" t="s">
        <v>524</v>
      </c>
      <c r="B19" s="90" t="s">
        <v>601</v>
      </c>
      <c r="C19" s="90" t="s">
        <v>852</v>
      </c>
      <c r="D19" s="90" t="s">
        <v>996</v>
      </c>
      <c r="E19" s="90" t="s">
        <v>1150</v>
      </c>
      <c r="F19" s="90" t="s">
        <v>1221</v>
      </c>
    </row>
    <row r="20" spans="1:6" ht="16.5" x14ac:dyDescent="0.3">
      <c r="A20" t="s">
        <v>525</v>
      </c>
      <c r="B20" s="90" t="s">
        <v>602</v>
      </c>
      <c r="C20" s="90" t="s">
        <v>853</v>
      </c>
      <c r="D20" s="90" t="s">
        <v>997</v>
      </c>
      <c r="E20" s="90" t="s">
        <v>1171</v>
      </c>
      <c r="F20" s="90" t="s">
        <v>1222</v>
      </c>
    </row>
    <row r="21" spans="1:6" ht="16.5" x14ac:dyDescent="0.3">
      <c r="A21" t="s">
        <v>526</v>
      </c>
      <c r="B21" s="90" t="s">
        <v>603</v>
      </c>
      <c r="C21" s="90" t="s">
        <v>854</v>
      </c>
      <c r="D21" s="90" t="s">
        <v>998</v>
      </c>
      <c r="E21" s="90" t="s">
        <v>1151</v>
      </c>
      <c r="F21" s="90" t="s">
        <v>1223</v>
      </c>
    </row>
    <row r="22" spans="1:6" ht="16.5" x14ac:dyDescent="0.3">
      <c r="A22" t="s">
        <v>527</v>
      </c>
      <c r="B22" s="90" t="s">
        <v>604</v>
      </c>
      <c r="C22" s="90" t="s">
        <v>855</v>
      </c>
      <c r="D22" s="90" t="s">
        <v>999</v>
      </c>
      <c r="E22" s="90" t="s">
        <v>1152</v>
      </c>
      <c r="F22" s="90" t="s">
        <v>1224</v>
      </c>
    </row>
    <row r="23" spans="1:6" ht="16.5" x14ac:dyDescent="0.3">
      <c r="A23" t="s">
        <v>528</v>
      </c>
      <c r="B23" s="90" t="s">
        <v>605</v>
      </c>
      <c r="C23" s="90" t="s">
        <v>856</v>
      </c>
      <c r="D23" s="90" t="s">
        <v>1000</v>
      </c>
      <c r="E23" s="90" t="s">
        <v>1123</v>
      </c>
      <c r="F23" s="90" t="s">
        <v>1225</v>
      </c>
    </row>
    <row r="24" spans="1:6" ht="16.5" x14ac:dyDescent="0.3">
      <c r="A24" t="s">
        <v>529</v>
      </c>
      <c r="B24" s="90" t="s">
        <v>606</v>
      </c>
      <c r="C24" s="90" t="s">
        <v>857</v>
      </c>
      <c r="D24" s="90" t="s">
        <v>1001</v>
      </c>
      <c r="E24" s="90" t="s">
        <v>1153</v>
      </c>
      <c r="F24" s="90" t="s">
        <v>1226</v>
      </c>
    </row>
    <row r="25" spans="1:6" x14ac:dyDescent="0.25">
      <c r="A25" t="s">
        <v>1199</v>
      </c>
      <c r="F25" t="s">
        <v>1258</v>
      </c>
    </row>
    <row r="26" spans="1:6" ht="16.5" x14ac:dyDescent="0.3">
      <c r="A26" t="s">
        <v>530</v>
      </c>
      <c r="B26" s="90" t="s">
        <v>607</v>
      </c>
      <c r="C26" s="90" t="s">
        <v>858</v>
      </c>
      <c r="D26" s="90" t="s">
        <v>1002</v>
      </c>
      <c r="E26" s="90" t="s">
        <v>1124</v>
      </c>
      <c r="F26" s="90" t="s">
        <v>1227</v>
      </c>
    </row>
    <row r="27" spans="1:6" x14ac:dyDescent="0.25">
      <c r="A27" t="s">
        <v>1200</v>
      </c>
      <c r="F27" t="s">
        <v>1259</v>
      </c>
    </row>
    <row r="28" spans="1:6" ht="16.5" x14ac:dyDescent="0.3">
      <c r="A28" t="s">
        <v>497</v>
      </c>
      <c r="B28" s="90" t="s">
        <v>608</v>
      </c>
      <c r="C28" s="90" t="s">
        <v>859</v>
      </c>
      <c r="D28" s="90" t="s">
        <v>1003</v>
      </c>
      <c r="E28" s="90" t="s">
        <v>1125</v>
      </c>
      <c r="F28" s="90" t="s">
        <v>1228</v>
      </c>
    </row>
    <row r="29" spans="1:6" ht="16.5" x14ac:dyDescent="0.3">
      <c r="A29" t="s">
        <v>531</v>
      </c>
      <c r="B29" s="90" t="s">
        <v>609</v>
      </c>
      <c r="C29" s="90" t="s">
        <v>860</v>
      </c>
      <c r="D29" s="90" t="s">
        <v>1004</v>
      </c>
      <c r="E29" s="90" t="s">
        <v>1154</v>
      </c>
      <c r="F29" s="90" t="s">
        <v>1229</v>
      </c>
    </row>
    <row r="30" spans="1:6" ht="16.5" x14ac:dyDescent="0.3">
      <c r="A30" t="s">
        <v>532</v>
      </c>
      <c r="B30" s="90" t="s">
        <v>610</v>
      </c>
      <c r="C30" s="90" t="s">
        <v>861</v>
      </c>
      <c r="D30" s="90" t="s">
        <v>1005</v>
      </c>
      <c r="E30" s="90" t="s">
        <v>1155</v>
      </c>
      <c r="F30" s="90" t="s">
        <v>1230</v>
      </c>
    </row>
    <row r="31" spans="1:6" ht="16.5" x14ac:dyDescent="0.3">
      <c r="A31" t="s">
        <v>533</v>
      </c>
      <c r="B31" s="90" t="s">
        <v>611</v>
      </c>
      <c r="C31" s="90" t="s">
        <v>862</v>
      </c>
      <c r="D31" s="90" t="s">
        <v>1006</v>
      </c>
      <c r="E31" s="90" t="s">
        <v>1156</v>
      </c>
      <c r="F31" s="90" t="s">
        <v>1231</v>
      </c>
    </row>
    <row r="32" spans="1:6" x14ac:dyDescent="0.25">
      <c r="A32" t="s">
        <v>1201</v>
      </c>
      <c r="F32" t="s">
        <v>1260</v>
      </c>
    </row>
    <row r="33" spans="1:6" ht="16.5" x14ac:dyDescent="0.3">
      <c r="A33" t="s">
        <v>534</v>
      </c>
      <c r="B33" s="90" t="s">
        <v>612</v>
      </c>
      <c r="C33" s="90" t="s">
        <v>863</v>
      </c>
      <c r="D33" s="90" t="s">
        <v>1007</v>
      </c>
      <c r="E33" s="90" t="s">
        <v>1157</v>
      </c>
      <c r="F33" s="90" t="s">
        <v>1232</v>
      </c>
    </row>
    <row r="34" spans="1:6" x14ac:dyDescent="0.25">
      <c r="A34" t="s">
        <v>1202</v>
      </c>
      <c r="F34" t="s">
        <v>1261</v>
      </c>
    </row>
    <row r="35" spans="1:6" ht="16.5" x14ac:dyDescent="0.3">
      <c r="A35" t="s">
        <v>535</v>
      </c>
      <c r="B35" s="90" t="s">
        <v>613</v>
      </c>
      <c r="C35" s="90" t="s">
        <v>864</v>
      </c>
      <c r="D35" s="90" t="s">
        <v>1008</v>
      </c>
      <c r="E35" s="90" t="s">
        <v>1126</v>
      </c>
      <c r="F35" s="90" t="s">
        <v>1233</v>
      </c>
    </row>
    <row r="36" spans="1:6" x14ac:dyDescent="0.25">
      <c r="A36" t="s">
        <v>535</v>
      </c>
      <c r="F36" t="s">
        <v>1233</v>
      </c>
    </row>
    <row r="37" spans="1:6" ht="16.5" x14ac:dyDescent="0.3">
      <c r="A37" t="s">
        <v>536</v>
      </c>
      <c r="B37" s="90" t="s">
        <v>614</v>
      </c>
      <c r="C37" s="90" t="s">
        <v>865</v>
      </c>
      <c r="D37" s="90" t="s">
        <v>1009</v>
      </c>
      <c r="E37" s="90" t="s">
        <v>1158</v>
      </c>
      <c r="F37" s="90" t="s">
        <v>1234</v>
      </c>
    </row>
    <row r="38" spans="1:6" ht="16.5" x14ac:dyDescent="0.3">
      <c r="A38" t="s">
        <v>537</v>
      </c>
      <c r="B38" s="90" t="s">
        <v>615</v>
      </c>
      <c r="C38" s="90" t="s">
        <v>866</v>
      </c>
      <c r="D38" s="90" t="s">
        <v>1010</v>
      </c>
      <c r="E38" s="90" t="s">
        <v>1127</v>
      </c>
      <c r="F38" s="90" t="s">
        <v>1235</v>
      </c>
    </row>
    <row r="39" spans="1:6" ht="16.5" x14ac:dyDescent="0.3">
      <c r="A39" t="s">
        <v>538</v>
      </c>
      <c r="B39" s="90" t="s">
        <v>616</v>
      </c>
      <c r="C39" s="90" t="s">
        <v>867</v>
      </c>
      <c r="D39" s="90" t="s">
        <v>1011</v>
      </c>
      <c r="E39" s="90" t="s">
        <v>1172</v>
      </c>
      <c r="F39" s="90" t="s">
        <v>1236</v>
      </c>
    </row>
    <row r="40" spans="1:6" x14ac:dyDescent="0.25">
      <c r="A40" t="s">
        <v>1203</v>
      </c>
      <c r="F40" t="s">
        <v>1262</v>
      </c>
    </row>
    <row r="41" spans="1:6" ht="16.5" x14ac:dyDescent="0.3">
      <c r="A41" t="s">
        <v>539</v>
      </c>
      <c r="B41" s="90" t="s">
        <v>617</v>
      </c>
      <c r="C41" s="90" t="s">
        <v>868</v>
      </c>
      <c r="D41" s="90" t="s">
        <v>1012</v>
      </c>
      <c r="E41" s="90" t="s">
        <v>1138</v>
      </c>
      <c r="F41" s="90" t="s">
        <v>1237</v>
      </c>
    </row>
    <row r="42" spans="1:6" ht="16.5" x14ac:dyDescent="0.3">
      <c r="A42" t="s">
        <v>540</v>
      </c>
      <c r="B42" s="90" t="s">
        <v>618</v>
      </c>
      <c r="C42" s="90" t="s">
        <v>869</v>
      </c>
      <c r="D42" s="90" t="s">
        <v>1013</v>
      </c>
      <c r="E42" s="90" t="s">
        <v>1173</v>
      </c>
      <c r="F42" s="90" t="s">
        <v>1238</v>
      </c>
    </row>
    <row r="43" spans="1:6" ht="16.5" x14ac:dyDescent="0.3">
      <c r="A43" t="s">
        <v>541</v>
      </c>
      <c r="B43" s="90" t="s">
        <v>619</v>
      </c>
      <c r="C43" s="90" t="s">
        <v>870</v>
      </c>
      <c r="D43" s="90" t="s">
        <v>1014</v>
      </c>
      <c r="E43" s="90" t="s">
        <v>1159</v>
      </c>
      <c r="F43" s="90" t="s">
        <v>1239</v>
      </c>
    </row>
    <row r="44" spans="1:6" ht="16.5" x14ac:dyDescent="0.3">
      <c r="A44" t="s">
        <v>542</v>
      </c>
      <c r="B44" s="90" t="s">
        <v>620</v>
      </c>
      <c r="C44" s="90" t="s">
        <v>871</v>
      </c>
      <c r="D44" s="90" t="s">
        <v>1015</v>
      </c>
      <c r="E44" s="90" t="s">
        <v>1128</v>
      </c>
      <c r="F44" s="90" t="s">
        <v>1240</v>
      </c>
    </row>
    <row r="45" spans="1:6" ht="16.5" x14ac:dyDescent="0.3">
      <c r="A45" t="s">
        <v>543</v>
      </c>
      <c r="B45" s="90" t="s">
        <v>621</v>
      </c>
      <c r="C45" s="90" t="s">
        <v>872</v>
      </c>
      <c r="D45" s="90" t="s">
        <v>1016</v>
      </c>
      <c r="E45" s="90" t="s">
        <v>1160</v>
      </c>
      <c r="F45" s="90" t="s">
        <v>1241</v>
      </c>
    </row>
    <row r="46" spans="1:6" ht="16.5" x14ac:dyDescent="0.3">
      <c r="A46" t="s">
        <v>544</v>
      </c>
      <c r="B46" s="90" t="s">
        <v>622</v>
      </c>
      <c r="C46" s="90" t="s">
        <v>873</v>
      </c>
      <c r="D46" s="90" t="s">
        <v>1017</v>
      </c>
      <c r="E46" s="90" t="s">
        <v>1174</v>
      </c>
      <c r="F46" s="90" t="s">
        <v>1242</v>
      </c>
    </row>
    <row r="47" spans="1:6" ht="16.5" x14ac:dyDescent="0.3">
      <c r="A47" t="s">
        <v>545</v>
      </c>
      <c r="B47" s="90" t="s">
        <v>623</v>
      </c>
      <c r="C47" s="90" t="s">
        <v>874</v>
      </c>
      <c r="D47" s="90" t="s">
        <v>1018</v>
      </c>
      <c r="E47" s="90" t="s">
        <v>1129</v>
      </c>
      <c r="F47" s="90" t="s">
        <v>1243</v>
      </c>
    </row>
    <row r="48" spans="1:6" ht="16.5" x14ac:dyDescent="0.3">
      <c r="A48" t="s">
        <v>546</v>
      </c>
      <c r="B48" s="90" t="s">
        <v>624</v>
      </c>
      <c r="C48" s="90" t="s">
        <v>875</v>
      </c>
      <c r="D48" s="90" t="s">
        <v>1019</v>
      </c>
      <c r="E48" s="90" t="s">
        <v>1130</v>
      </c>
      <c r="F48" s="90" t="s">
        <v>1244</v>
      </c>
    </row>
    <row r="49" spans="1:6" ht="16.5" x14ac:dyDescent="0.3">
      <c r="A49" t="s">
        <v>547</v>
      </c>
      <c r="B49" s="90" t="s">
        <v>625</v>
      </c>
      <c r="C49" s="90" t="s">
        <v>876</v>
      </c>
      <c r="D49" s="90" t="s">
        <v>1020</v>
      </c>
      <c r="E49" s="90" t="s">
        <v>1161</v>
      </c>
      <c r="F49" s="90" t="s">
        <v>905</v>
      </c>
    </row>
    <row r="50" spans="1:6" ht="16.5" x14ac:dyDescent="0.3">
      <c r="A50" t="s">
        <v>548</v>
      </c>
      <c r="B50" s="90" t="s">
        <v>626</v>
      </c>
      <c r="C50" s="90" t="s">
        <v>877</v>
      </c>
      <c r="D50" s="90" t="s">
        <v>1021</v>
      </c>
      <c r="E50" s="90" t="s">
        <v>1162</v>
      </c>
      <c r="F50" s="90" t="s">
        <v>1245</v>
      </c>
    </row>
    <row r="51" spans="1:6" ht="16.5" x14ac:dyDescent="0.3">
      <c r="A51" t="s">
        <v>549</v>
      </c>
      <c r="B51" s="90" t="s">
        <v>627</v>
      </c>
      <c r="C51" s="90" t="s">
        <v>878</v>
      </c>
      <c r="D51" s="90" t="s">
        <v>1022</v>
      </c>
      <c r="E51" s="90" t="s">
        <v>1163</v>
      </c>
      <c r="F51" s="90" t="s">
        <v>1246</v>
      </c>
    </row>
    <row r="52" spans="1:6" ht="16.5" x14ac:dyDescent="0.3">
      <c r="A52" t="s">
        <v>550</v>
      </c>
      <c r="B52" s="90" t="s">
        <v>628</v>
      </c>
      <c r="C52" s="90" t="s">
        <v>879</v>
      </c>
      <c r="D52" s="90" t="s">
        <v>1023</v>
      </c>
      <c r="E52" s="90" t="s">
        <v>1175</v>
      </c>
      <c r="F52" s="90" t="s">
        <v>1247</v>
      </c>
    </row>
    <row r="53" spans="1:6" ht="16.5" x14ac:dyDescent="0.3">
      <c r="A53" t="s">
        <v>551</v>
      </c>
      <c r="B53" s="90" t="s">
        <v>629</v>
      </c>
      <c r="C53" s="90" t="s">
        <v>880</v>
      </c>
      <c r="D53" s="90" t="s">
        <v>1024</v>
      </c>
      <c r="E53" s="90" t="s">
        <v>1131</v>
      </c>
      <c r="F53" s="90" t="s">
        <v>1248</v>
      </c>
    </row>
    <row r="54" spans="1:6" ht="16.5" x14ac:dyDescent="0.3">
      <c r="A54" t="s">
        <v>552</v>
      </c>
      <c r="B54" s="90" t="s">
        <v>630</v>
      </c>
      <c r="C54" s="90" t="s">
        <v>881</v>
      </c>
      <c r="D54" s="90" t="s">
        <v>1025</v>
      </c>
      <c r="E54" s="90" t="s">
        <v>1132</v>
      </c>
      <c r="F54" s="90" t="s">
        <v>1249</v>
      </c>
    </row>
    <row r="55" spans="1:6" ht="16.5" x14ac:dyDescent="0.3">
      <c r="A55" t="s">
        <v>553</v>
      </c>
      <c r="B55" s="90" t="s">
        <v>631</v>
      </c>
      <c r="C55" s="90" t="s">
        <v>882</v>
      </c>
      <c r="D55" s="90" t="s">
        <v>1026</v>
      </c>
      <c r="E55" s="90" t="s">
        <v>1176</v>
      </c>
      <c r="F55" s="90" t="s">
        <v>1250</v>
      </c>
    </row>
    <row r="56" spans="1:6" ht="16.5" x14ac:dyDescent="0.3">
      <c r="A56" t="s">
        <v>554</v>
      </c>
      <c r="B56" s="90" t="s">
        <v>632</v>
      </c>
      <c r="C56" s="90" t="s">
        <v>883</v>
      </c>
      <c r="D56" s="90" t="s">
        <v>1027</v>
      </c>
      <c r="E56" s="90" t="s">
        <v>1164</v>
      </c>
      <c r="F56" s="90" t="s">
        <v>1251</v>
      </c>
    </row>
    <row r="57" spans="1:6" ht="16.5" x14ac:dyDescent="0.3">
      <c r="A57" t="s">
        <v>555</v>
      </c>
      <c r="B57" s="90" t="s">
        <v>633</v>
      </c>
      <c r="C57" s="90" t="s">
        <v>884</v>
      </c>
      <c r="D57" s="90" t="s">
        <v>1028</v>
      </c>
      <c r="E57" s="90" t="s">
        <v>1133</v>
      </c>
      <c r="F57" s="90" t="s">
        <v>1252</v>
      </c>
    </row>
    <row r="58" spans="1:6" ht="16.5" x14ac:dyDescent="0.3">
      <c r="A58" t="s">
        <v>556</v>
      </c>
      <c r="B58" s="90" t="s">
        <v>634</v>
      </c>
      <c r="C58" s="90" t="s">
        <v>885</v>
      </c>
      <c r="D58" s="90" t="s">
        <v>1029</v>
      </c>
      <c r="E58" s="90" t="s">
        <v>1134</v>
      </c>
      <c r="F58" s="90" t="s">
        <v>1253</v>
      </c>
    </row>
    <row r="59" spans="1:6" ht="16.5" x14ac:dyDescent="0.3">
      <c r="A59" t="s">
        <v>557</v>
      </c>
      <c r="B59" s="90" t="s">
        <v>635</v>
      </c>
      <c r="C59" s="90" t="s">
        <v>886</v>
      </c>
      <c r="D59" s="90" t="s">
        <v>1030</v>
      </c>
      <c r="E59" s="90" t="s">
        <v>1165</v>
      </c>
      <c r="F59" s="90" t="s">
        <v>1254</v>
      </c>
    </row>
    <row r="60" spans="1:6" ht="16.5" x14ac:dyDescent="0.3">
      <c r="A60" t="s">
        <v>558</v>
      </c>
      <c r="B60" s="90" t="s">
        <v>636</v>
      </c>
      <c r="C60" s="90" t="s">
        <v>887</v>
      </c>
      <c r="D60" s="90" t="s">
        <v>1031</v>
      </c>
      <c r="E60" s="90" t="s">
        <v>1135</v>
      </c>
      <c r="F60" s="90" t="s">
        <v>1255</v>
      </c>
    </row>
    <row r="61" spans="1:6" ht="16.5" x14ac:dyDescent="0.3">
      <c r="A61" t="s">
        <v>559</v>
      </c>
      <c r="B61" s="90" t="s">
        <v>637</v>
      </c>
      <c r="C61" s="90" t="s">
        <v>888</v>
      </c>
      <c r="D61" s="90" t="s">
        <v>1032</v>
      </c>
      <c r="E61" s="90" t="s">
        <v>1136</v>
      </c>
      <c r="F61" s="90" t="s">
        <v>1256</v>
      </c>
    </row>
    <row r="62" spans="1:6" ht="16.5" x14ac:dyDescent="0.3">
      <c r="A62" t="s">
        <v>560</v>
      </c>
      <c r="B62" s="90" t="s">
        <v>638</v>
      </c>
      <c r="C62" s="90" t="s">
        <v>889</v>
      </c>
      <c r="D62" s="90" t="s">
        <v>1033</v>
      </c>
      <c r="E62" s="90" t="s">
        <v>1137</v>
      </c>
      <c r="F62" s="90" t="s">
        <v>1257</v>
      </c>
    </row>
  </sheetData>
  <sortState xmlns:xlrd2="http://schemas.microsoft.com/office/spreadsheetml/2017/richdata2" ref="A2:E62">
    <sortCondition ref="A2:A62"/>
  </sortState>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279CF-2D86-4F14-B6E2-0A64E9EB3B87}">
  <dimension ref="A1:F150"/>
  <sheetViews>
    <sheetView workbookViewId="0">
      <selection activeCell="F1" sqref="F1"/>
    </sheetView>
  </sheetViews>
  <sheetFormatPr defaultRowHeight="15" x14ac:dyDescent="0.25"/>
  <cols>
    <col min="2" max="6" width="10.7109375" bestFit="1" customWidth="1"/>
  </cols>
  <sheetData>
    <row r="1" spans="1:6" x14ac:dyDescent="0.25">
      <c r="A1" t="s">
        <v>475</v>
      </c>
      <c r="B1" s="79">
        <v>45850</v>
      </c>
      <c r="C1" s="79">
        <v>45857</v>
      </c>
      <c r="D1" s="79">
        <v>45864</v>
      </c>
      <c r="E1" s="79">
        <v>45871</v>
      </c>
      <c r="F1" s="79">
        <v>45878</v>
      </c>
    </row>
    <row r="2" spans="1:6" ht="16.5" x14ac:dyDescent="0.3">
      <c r="A2" t="s">
        <v>566</v>
      </c>
      <c r="B2" s="90" t="s">
        <v>639</v>
      </c>
      <c r="C2" s="90" t="s">
        <v>890</v>
      </c>
      <c r="D2" s="90" t="s">
        <v>1034</v>
      </c>
      <c r="E2" s="90" t="s">
        <v>1177</v>
      </c>
      <c r="F2" s="90" t="s">
        <v>1177</v>
      </c>
    </row>
    <row r="3" spans="1:6" ht="16.5" x14ac:dyDescent="0.3">
      <c r="A3" t="s">
        <v>567</v>
      </c>
      <c r="B3" s="90" t="s">
        <v>584</v>
      </c>
      <c r="C3" s="90" t="s">
        <v>891</v>
      </c>
      <c r="D3" s="90" t="s">
        <v>1035</v>
      </c>
      <c r="E3" s="90" t="s">
        <v>891</v>
      </c>
      <c r="F3" s="90" t="s">
        <v>1263</v>
      </c>
    </row>
    <row r="4" spans="1:6" ht="16.5" x14ac:dyDescent="0.3">
      <c r="A4" t="s">
        <v>572</v>
      </c>
      <c r="B4" s="90" t="s">
        <v>640</v>
      </c>
      <c r="C4" s="90" t="s">
        <v>892</v>
      </c>
      <c r="D4" s="90" t="s">
        <v>1036</v>
      </c>
      <c r="E4" s="90" t="s">
        <v>1178</v>
      </c>
      <c r="F4" s="90" t="s">
        <v>1264</v>
      </c>
    </row>
    <row r="5" spans="1:6" ht="16.5" x14ac:dyDescent="0.3">
      <c r="A5" t="s">
        <v>578</v>
      </c>
      <c r="B5" s="90" t="s">
        <v>641</v>
      </c>
      <c r="C5" s="90" t="s">
        <v>893</v>
      </c>
      <c r="D5" s="90" t="s">
        <v>1037</v>
      </c>
      <c r="E5" s="90" t="s">
        <v>1179</v>
      </c>
      <c r="F5" s="90" t="s">
        <v>1265</v>
      </c>
    </row>
    <row r="6" spans="1:6" ht="16.5" x14ac:dyDescent="0.3">
      <c r="A6" t="s">
        <v>563</v>
      </c>
      <c r="B6" s="90" t="s">
        <v>642</v>
      </c>
      <c r="C6" s="90" t="s">
        <v>894</v>
      </c>
      <c r="D6" s="90" t="s">
        <v>1038</v>
      </c>
      <c r="E6" s="90" t="s">
        <v>1180</v>
      </c>
      <c r="F6" s="90" t="s">
        <v>1266</v>
      </c>
    </row>
    <row r="7" spans="1:6" ht="16.5" x14ac:dyDescent="0.3">
      <c r="A7" t="s">
        <v>574</v>
      </c>
      <c r="B7" s="90" t="s">
        <v>643</v>
      </c>
      <c r="C7" s="90" t="s">
        <v>895</v>
      </c>
      <c r="D7" s="90" t="s">
        <v>1039</v>
      </c>
      <c r="E7" s="90" t="s">
        <v>1181</v>
      </c>
      <c r="F7" s="90" t="s">
        <v>1267</v>
      </c>
    </row>
    <row r="8" spans="1:6" ht="16.5" x14ac:dyDescent="0.3">
      <c r="A8" t="s">
        <v>571</v>
      </c>
      <c r="B8" s="90" t="s">
        <v>644</v>
      </c>
      <c r="C8" s="90" t="s">
        <v>896</v>
      </c>
      <c r="D8" s="90" t="s">
        <v>1040</v>
      </c>
      <c r="E8" s="90" t="s">
        <v>1182</v>
      </c>
      <c r="F8" s="90" t="s">
        <v>1268</v>
      </c>
    </row>
    <row r="9" spans="1:6" ht="16.5" x14ac:dyDescent="0.3">
      <c r="A9" t="s">
        <v>564</v>
      </c>
      <c r="B9" s="90" t="s">
        <v>645</v>
      </c>
      <c r="C9" s="90" t="s">
        <v>897</v>
      </c>
      <c r="D9" s="90" t="s">
        <v>1041</v>
      </c>
      <c r="E9" s="90" t="s">
        <v>1183</v>
      </c>
      <c r="F9" s="90" t="s">
        <v>1269</v>
      </c>
    </row>
    <row r="10" spans="1:6" ht="16.5" x14ac:dyDescent="0.3">
      <c r="A10" t="s">
        <v>580</v>
      </c>
      <c r="B10" s="90" t="s">
        <v>646</v>
      </c>
      <c r="C10" s="90" t="s">
        <v>898</v>
      </c>
      <c r="D10" s="90" t="s">
        <v>1042</v>
      </c>
      <c r="E10" s="90" t="s">
        <v>1184</v>
      </c>
      <c r="F10" s="90" t="s">
        <v>1270</v>
      </c>
    </row>
    <row r="11" spans="1:6" ht="16.5" x14ac:dyDescent="0.3">
      <c r="A11" t="s">
        <v>570</v>
      </c>
      <c r="B11" s="90" t="s">
        <v>647</v>
      </c>
      <c r="C11" s="90" t="s">
        <v>899</v>
      </c>
      <c r="D11" s="90" t="s">
        <v>1043</v>
      </c>
      <c r="E11" s="90" t="s">
        <v>1185</v>
      </c>
      <c r="F11" s="90" t="s">
        <v>1271</v>
      </c>
    </row>
    <row r="12" spans="1:6" ht="16.5" x14ac:dyDescent="0.3">
      <c r="A12" t="s">
        <v>579</v>
      </c>
      <c r="B12" s="90" t="s">
        <v>648</v>
      </c>
      <c r="C12" s="90" t="s">
        <v>900</v>
      </c>
      <c r="D12" s="90" t="s">
        <v>1044</v>
      </c>
      <c r="E12" s="90" t="s">
        <v>1186</v>
      </c>
      <c r="F12" s="90" t="s">
        <v>1272</v>
      </c>
    </row>
    <row r="13" spans="1:6" ht="16.5" x14ac:dyDescent="0.3">
      <c r="A13" t="s">
        <v>561</v>
      </c>
      <c r="B13" s="90" t="s">
        <v>649</v>
      </c>
      <c r="C13" s="90" t="s">
        <v>901</v>
      </c>
      <c r="D13" s="90" t="s">
        <v>1045</v>
      </c>
      <c r="E13" s="90" t="s">
        <v>1187</v>
      </c>
      <c r="F13" s="90" t="s">
        <v>1273</v>
      </c>
    </row>
    <row r="14" spans="1:6" ht="16.5" x14ac:dyDescent="0.3">
      <c r="A14" t="s">
        <v>576</v>
      </c>
      <c r="B14" s="90" t="s">
        <v>650</v>
      </c>
      <c r="C14" s="90" t="s">
        <v>902</v>
      </c>
      <c r="D14" s="90" t="s">
        <v>1046</v>
      </c>
      <c r="E14" s="90" t="s">
        <v>1188</v>
      </c>
      <c r="F14" s="90" t="s">
        <v>1274</v>
      </c>
    </row>
    <row r="15" spans="1:6" ht="16.5" x14ac:dyDescent="0.3">
      <c r="A15" t="s">
        <v>575</v>
      </c>
      <c r="B15" s="90" t="s">
        <v>651</v>
      </c>
      <c r="C15" s="90" t="s">
        <v>903</v>
      </c>
      <c r="D15" s="90" t="s">
        <v>1047</v>
      </c>
      <c r="E15" s="90" t="s">
        <v>1189</v>
      </c>
      <c r="F15" s="90" t="s">
        <v>1275</v>
      </c>
    </row>
    <row r="16" spans="1:6" ht="16.5" x14ac:dyDescent="0.3">
      <c r="A16" t="s">
        <v>577</v>
      </c>
      <c r="B16" s="90" t="s">
        <v>652</v>
      </c>
      <c r="C16" s="90" t="s">
        <v>904</v>
      </c>
      <c r="D16" s="90" t="s">
        <v>1048</v>
      </c>
      <c r="E16" s="90" t="s">
        <v>1190</v>
      </c>
      <c r="F16" s="90" t="s">
        <v>1276</v>
      </c>
    </row>
    <row r="17" spans="1:6" ht="16.5" x14ac:dyDescent="0.3">
      <c r="A17" t="s">
        <v>565</v>
      </c>
      <c r="B17" s="90" t="s">
        <v>653</v>
      </c>
      <c r="C17" s="90" t="s">
        <v>905</v>
      </c>
      <c r="D17" s="90" t="s">
        <v>1049</v>
      </c>
      <c r="E17" s="90" t="s">
        <v>1191</v>
      </c>
      <c r="F17" s="90" t="s">
        <v>1191</v>
      </c>
    </row>
    <row r="18" spans="1:6" ht="16.5" x14ac:dyDescent="0.3">
      <c r="A18" t="s">
        <v>573</v>
      </c>
      <c r="B18" s="90" t="s">
        <v>582</v>
      </c>
      <c r="C18" s="90" t="s">
        <v>906</v>
      </c>
      <c r="D18" s="90" t="s">
        <v>1050</v>
      </c>
      <c r="E18" s="90" t="s">
        <v>1192</v>
      </c>
      <c r="F18" s="90" t="s">
        <v>1277</v>
      </c>
    </row>
    <row r="19" spans="1:6" ht="16.5" x14ac:dyDescent="0.3">
      <c r="A19" t="s">
        <v>568</v>
      </c>
      <c r="B19" s="90" t="s">
        <v>654</v>
      </c>
      <c r="C19" s="90" t="s">
        <v>907</v>
      </c>
      <c r="D19" s="90" t="s">
        <v>1051</v>
      </c>
      <c r="E19" s="90" t="s">
        <v>1193</v>
      </c>
      <c r="F19" s="90" t="s">
        <v>1278</v>
      </c>
    </row>
    <row r="20" spans="1:6" ht="16.5" x14ac:dyDescent="0.3">
      <c r="A20" t="s">
        <v>569</v>
      </c>
      <c r="B20" s="90" t="s">
        <v>655</v>
      </c>
      <c r="C20" s="90" t="s">
        <v>908</v>
      </c>
      <c r="D20" s="90" t="s">
        <v>1052</v>
      </c>
      <c r="E20" s="90" t="s">
        <v>1194</v>
      </c>
      <c r="F20" s="90" t="s">
        <v>1279</v>
      </c>
    </row>
    <row r="21" spans="1:6" ht="16.5" x14ac:dyDescent="0.3">
      <c r="A21" t="s">
        <v>562</v>
      </c>
      <c r="B21" s="90" t="s">
        <v>656</v>
      </c>
      <c r="C21" s="90" t="s">
        <v>909</v>
      </c>
      <c r="D21" s="90" t="s">
        <v>1053</v>
      </c>
      <c r="E21" s="90" t="s">
        <v>1195</v>
      </c>
      <c r="F21" s="90" t="s">
        <v>1280</v>
      </c>
    </row>
    <row r="22" spans="1:6" ht="16.5" x14ac:dyDescent="0.3">
      <c r="B22" s="90"/>
    </row>
    <row r="23" spans="1:6" ht="16.5" x14ac:dyDescent="0.3">
      <c r="B23" s="90"/>
    </row>
    <row r="24" spans="1:6" ht="16.5" x14ac:dyDescent="0.3">
      <c r="B24" s="90"/>
    </row>
    <row r="25" spans="1:6" ht="16.5" x14ac:dyDescent="0.3">
      <c r="B25" s="90"/>
    </row>
    <row r="26" spans="1:6" ht="16.5" x14ac:dyDescent="0.3">
      <c r="B26" s="90"/>
    </row>
    <row r="27" spans="1:6" ht="16.5" x14ac:dyDescent="0.3">
      <c r="B27" s="90"/>
    </row>
    <row r="28" spans="1:6" ht="16.5" x14ac:dyDescent="0.3">
      <c r="B28" s="90"/>
    </row>
    <row r="29" spans="1:6" ht="16.5" x14ac:dyDescent="0.3">
      <c r="B29" s="90"/>
    </row>
    <row r="30" spans="1:6" ht="16.5" x14ac:dyDescent="0.3">
      <c r="B30" s="90"/>
    </row>
    <row r="31" spans="1:6" ht="16.5" x14ac:dyDescent="0.3">
      <c r="B31" s="90"/>
    </row>
    <row r="32" spans="1:6" ht="16.5" x14ac:dyDescent="0.3">
      <c r="B32" s="90"/>
    </row>
    <row r="33" spans="2:2" ht="16.5" x14ac:dyDescent="0.3">
      <c r="B33" s="90"/>
    </row>
    <row r="34" spans="2:2" ht="16.5" x14ac:dyDescent="0.3">
      <c r="B34" s="90"/>
    </row>
    <row r="35" spans="2:2" ht="16.5" x14ac:dyDescent="0.3">
      <c r="B35" s="90"/>
    </row>
    <row r="36" spans="2:2" ht="16.5" x14ac:dyDescent="0.3">
      <c r="B36" s="90"/>
    </row>
    <row r="37" spans="2:2" ht="16.5" x14ac:dyDescent="0.3">
      <c r="B37" s="90"/>
    </row>
    <row r="38" spans="2:2" ht="16.5" x14ac:dyDescent="0.3">
      <c r="B38" s="90"/>
    </row>
    <row r="39" spans="2:2" ht="16.5" x14ac:dyDescent="0.3">
      <c r="B39" s="90"/>
    </row>
    <row r="40" spans="2:2" ht="16.5" x14ac:dyDescent="0.3">
      <c r="B40" s="90"/>
    </row>
    <row r="41" spans="2:2" ht="16.5" x14ac:dyDescent="0.3">
      <c r="B41" s="90"/>
    </row>
    <row r="42" spans="2:2" ht="16.5" x14ac:dyDescent="0.3">
      <c r="B42" s="90"/>
    </row>
    <row r="43" spans="2:2" ht="16.5" x14ac:dyDescent="0.3">
      <c r="B43" s="90"/>
    </row>
    <row r="44" spans="2:2" ht="16.5" x14ac:dyDescent="0.3">
      <c r="B44" s="90"/>
    </row>
    <row r="45" spans="2:2" ht="16.5" x14ac:dyDescent="0.3">
      <c r="B45" s="90"/>
    </row>
    <row r="46" spans="2:2" ht="16.5" x14ac:dyDescent="0.3">
      <c r="B46" s="90"/>
    </row>
    <row r="47" spans="2:2" ht="16.5" x14ac:dyDescent="0.3">
      <c r="B47" s="90"/>
    </row>
    <row r="48" spans="2:2" ht="16.5" x14ac:dyDescent="0.3">
      <c r="B48" s="90"/>
    </row>
    <row r="49" spans="2:2" ht="16.5" x14ac:dyDescent="0.3">
      <c r="B49" s="90"/>
    </row>
    <row r="50" spans="2:2" ht="16.5" x14ac:dyDescent="0.3">
      <c r="B50" s="90"/>
    </row>
    <row r="51" spans="2:2" ht="16.5" x14ac:dyDescent="0.3">
      <c r="B51" s="90"/>
    </row>
    <row r="52" spans="2:2" ht="16.5" x14ac:dyDescent="0.3">
      <c r="B52" s="90"/>
    </row>
    <row r="53" spans="2:2" ht="16.5" x14ac:dyDescent="0.3">
      <c r="B53" s="90"/>
    </row>
    <row r="54" spans="2:2" ht="16.5" x14ac:dyDescent="0.3">
      <c r="B54" s="90"/>
    </row>
    <row r="55" spans="2:2" ht="16.5" x14ac:dyDescent="0.3">
      <c r="B55" s="90"/>
    </row>
    <row r="56" spans="2:2" ht="16.5" x14ac:dyDescent="0.3">
      <c r="B56" s="90"/>
    </row>
    <row r="57" spans="2:2" ht="16.5" x14ac:dyDescent="0.3">
      <c r="B57" s="90"/>
    </row>
    <row r="58" spans="2:2" ht="16.5" x14ac:dyDescent="0.3">
      <c r="B58" s="90"/>
    </row>
    <row r="59" spans="2:2" ht="16.5" x14ac:dyDescent="0.3">
      <c r="B59" s="90"/>
    </row>
    <row r="60" spans="2:2" ht="16.5" x14ac:dyDescent="0.3">
      <c r="B60" s="90"/>
    </row>
    <row r="61" spans="2:2" ht="16.5" x14ac:dyDescent="0.3">
      <c r="B61" s="90"/>
    </row>
    <row r="62" spans="2:2" ht="16.5" x14ac:dyDescent="0.3">
      <c r="B62" s="90"/>
    </row>
    <row r="63" spans="2:2" ht="16.5" x14ac:dyDescent="0.3">
      <c r="B63" s="90"/>
    </row>
    <row r="64" spans="2:2" ht="16.5" x14ac:dyDescent="0.3">
      <c r="B64" s="90"/>
    </row>
    <row r="65" spans="2:2" ht="16.5" x14ac:dyDescent="0.3">
      <c r="B65" s="90"/>
    </row>
    <row r="66" spans="2:2" ht="16.5" x14ac:dyDescent="0.3">
      <c r="B66" s="90"/>
    </row>
    <row r="67" spans="2:2" ht="16.5" x14ac:dyDescent="0.3">
      <c r="B67" s="90"/>
    </row>
    <row r="68" spans="2:2" ht="16.5" x14ac:dyDescent="0.3">
      <c r="B68" s="90"/>
    </row>
    <row r="69" spans="2:2" ht="16.5" x14ac:dyDescent="0.3">
      <c r="B69" s="90"/>
    </row>
    <row r="70" spans="2:2" ht="16.5" x14ac:dyDescent="0.3">
      <c r="B70" s="90"/>
    </row>
    <row r="71" spans="2:2" ht="16.5" x14ac:dyDescent="0.3">
      <c r="B71" s="90"/>
    </row>
    <row r="72" spans="2:2" ht="16.5" x14ac:dyDescent="0.3">
      <c r="B72" s="90"/>
    </row>
    <row r="73" spans="2:2" ht="16.5" x14ac:dyDescent="0.3">
      <c r="B73" s="90"/>
    </row>
    <row r="74" spans="2:2" ht="16.5" x14ac:dyDescent="0.3">
      <c r="B74" s="90"/>
    </row>
    <row r="75" spans="2:2" ht="16.5" x14ac:dyDescent="0.3">
      <c r="B75" s="90"/>
    </row>
    <row r="76" spans="2:2" ht="16.5" x14ac:dyDescent="0.3">
      <c r="B76" s="90"/>
    </row>
    <row r="77" spans="2:2" ht="16.5" x14ac:dyDescent="0.3">
      <c r="B77" s="90"/>
    </row>
    <row r="78" spans="2:2" ht="16.5" x14ac:dyDescent="0.3">
      <c r="B78" s="90"/>
    </row>
    <row r="79" spans="2:2" ht="16.5" x14ac:dyDescent="0.3">
      <c r="B79" s="90"/>
    </row>
    <row r="80" spans="2:2" ht="16.5" x14ac:dyDescent="0.3">
      <c r="B80" s="90"/>
    </row>
    <row r="81" spans="2:2" ht="16.5" x14ac:dyDescent="0.3">
      <c r="B81" s="90"/>
    </row>
    <row r="82" spans="2:2" ht="16.5" x14ac:dyDescent="0.3">
      <c r="B82" s="90"/>
    </row>
    <row r="83" spans="2:2" ht="16.5" x14ac:dyDescent="0.3">
      <c r="B83" s="90"/>
    </row>
    <row r="84" spans="2:2" ht="16.5" x14ac:dyDescent="0.3">
      <c r="B84" s="90"/>
    </row>
    <row r="85" spans="2:2" ht="16.5" x14ac:dyDescent="0.3">
      <c r="B85" s="90"/>
    </row>
    <row r="86" spans="2:2" ht="16.5" x14ac:dyDescent="0.3">
      <c r="B86" s="90"/>
    </row>
    <row r="87" spans="2:2" ht="16.5" x14ac:dyDescent="0.3">
      <c r="B87" s="90"/>
    </row>
    <row r="88" spans="2:2" ht="16.5" x14ac:dyDescent="0.3">
      <c r="B88" s="90"/>
    </row>
    <row r="89" spans="2:2" ht="16.5" x14ac:dyDescent="0.3">
      <c r="B89" s="90"/>
    </row>
    <row r="90" spans="2:2" ht="16.5" x14ac:dyDescent="0.3">
      <c r="B90" s="90"/>
    </row>
    <row r="91" spans="2:2" ht="16.5" x14ac:dyDescent="0.3">
      <c r="B91" s="90"/>
    </row>
    <row r="92" spans="2:2" ht="16.5" x14ac:dyDescent="0.3">
      <c r="B92" s="90"/>
    </row>
    <row r="93" spans="2:2" ht="16.5" x14ac:dyDescent="0.3">
      <c r="B93" s="90"/>
    </row>
    <row r="94" spans="2:2" ht="16.5" x14ac:dyDescent="0.3">
      <c r="B94" s="90"/>
    </row>
    <row r="95" spans="2:2" ht="16.5" x14ac:dyDescent="0.3">
      <c r="B95" s="90"/>
    </row>
    <row r="96" spans="2:2" ht="16.5" x14ac:dyDescent="0.3">
      <c r="B96" s="90"/>
    </row>
    <row r="97" spans="2:2" ht="16.5" x14ac:dyDescent="0.3">
      <c r="B97" s="90"/>
    </row>
    <row r="98" spans="2:2" ht="16.5" x14ac:dyDescent="0.3">
      <c r="B98" s="90"/>
    </row>
    <row r="99" spans="2:2" ht="16.5" x14ac:dyDescent="0.3">
      <c r="B99" s="90"/>
    </row>
    <row r="100" spans="2:2" ht="16.5" x14ac:dyDescent="0.3">
      <c r="B100" s="90"/>
    </row>
    <row r="101" spans="2:2" ht="16.5" x14ac:dyDescent="0.3">
      <c r="B101" s="90"/>
    </row>
    <row r="102" spans="2:2" ht="16.5" x14ac:dyDescent="0.3">
      <c r="B102" s="90"/>
    </row>
    <row r="103" spans="2:2" ht="16.5" x14ac:dyDescent="0.3">
      <c r="B103" s="90"/>
    </row>
    <row r="104" spans="2:2" ht="16.5" x14ac:dyDescent="0.3">
      <c r="B104" s="90"/>
    </row>
    <row r="105" spans="2:2" ht="16.5" x14ac:dyDescent="0.3">
      <c r="B105" s="90"/>
    </row>
    <row r="106" spans="2:2" ht="16.5" x14ac:dyDescent="0.3">
      <c r="B106" s="90"/>
    </row>
    <row r="107" spans="2:2" ht="16.5" x14ac:dyDescent="0.3">
      <c r="B107" s="90"/>
    </row>
    <row r="108" spans="2:2" ht="16.5" x14ac:dyDescent="0.3">
      <c r="B108" s="90"/>
    </row>
    <row r="109" spans="2:2" ht="16.5" x14ac:dyDescent="0.3">
      <c r="B109" s="90"/>
    </row>
    <row r="110" spans="2:2" ht="16.5" x14ac:dyDescent="0.3">
      <c r="B110" s="90"/>
    </row>
    <row r="111" spans="2:2" ht="16.5" x14ac:dyDescent="0.3">
      <c r="B111" s="90"/>
    </row>
    <row r="112" spans="2:2" ht="16.5" x14ac:dyDescent="0.3">
      <c r="B112" s="90"/>
    </row>
    <row r="113" spans="2:2" ht="16.5" x14ac:dyDescent="0.3">
      <c r="B113" s="90"/>
    </row>
    <row r="114" spans="2:2" ht="16.5" x14ac:dyDescent="0.3">
      <c r="B114" s="90"/>
    </row>
    <row r="115" spans="2:2" ht="16.5" x14ac:dyDescent="0.3">
      <c r="B115" s="90"/>
    </row>
    <row r="116" spans="2:2" ht="16.5" x14ac:dyDescent="0.3">
      <c r="B116" s="90"/>
    </row>
    <row r="117" spans="2:2" ht="16.5" x14ac:dyDescent="0.3">
      <c r="B117" s="90"/>
    </row>
    <row r="118" spans="2:2" ht="16.5" x14ac:dyDescent="0.3">
      <c r="B118" s="90"/>
    </row>
    <row r="119" spans="2:2" ht="16.5" x14ac:dyDescent="0.3">
      <c r="B119" s="90"/>
    </row>
    <row r="120" spans="2:2" ht="16.5" x14ac:dyDescent="0.3">
      <c r="B120" s="90"/>
    </row>
    <row r="121" spans="2:2" ht="16.5" x14ac:dyDescent="0.3">
      <c r="B121" s="90"/>
    </row>
    <row r="122" spans="2:2" ht="16.5" x14ac:dyDescent="0.3">
      <c r="B122" s="90"/>
    </row>
    <row r="123" spans="2:2" ht="16.5" x14ac:dyDescent="0.3">
      <c r="B123" s="90"/>
    </row>
    <row r="124" spans="2:2" ht="16.5" x14ac:dyDescent="0.3">
      <c r="B124" s="90"/>
    </row>
    <row r="125" spans="2:2" ht="16.5" x14ac:dyDescent="0.3">
      <c r="B125" s="90"/>
    </row>
    <row r="126" spans="2:2" ht="16.5" x14ac:dyDescent="0.3">
      <c r="B126" s="90"/>
    </row>
    <row r="127" spans="2:2" ht="16.5" x14ac:dyDescent="0.3">
      <c r="B127" s="90"/>
    </row>
    <row r="128" spans="2:2" ht="16.5" x14ac:dyDescent="0.3">
      <c r="B128" s="90"/>
    </row>
    <row r="129" spans="2:2" ht="16.5" x14ac:dyDescent="0.3">
      <c r="B129" s="90"/>
    </row>
    <row r="130" spans="2:2" ht="16.5" x14ac:dyDescent="0.3">
      <c r="B130" s="90"/>
    </row>
    <row r="131" spans="2:2" ht="16.5" x14ac:dyDescent="0.3">
      <c r="B131" s="90"/>
    </row>
    <row r="132" spans="2:2" ht="16.5" x14ac:dyDescent="0.3">
      <c r="B132" s="90"/>
    </row>
    <row r="133" spans="2:2" ht="16.5" x14ac:dyDescent="0.3">
      <c r="B133" s="90"/>
    </row>
    <row r="134" spans="2:2" ht="16.5" x14ac:dyDescent="0.3">
      <c r="B134" s="90"/>
    </row>
    <row r="135" spans="2:2" ht="16.5" x14ac:dyDescent="0.3">
      <c r="B135" s="90"/>
    </row>
    <row r="136" spans="2:2" ht="16.5" x14ac:dyDescent="0.3">
      <c r="B136" s="90"/>
    </row>
    <row r="137" spans="2:2" ht="16.5" x14ac:dyDescent="0.3">
      <c r="B137" s="90"/>
    </row>
    <row r="138" spans="2:2" ht="16.5" x14ac:dyDescent="0.3">
      <c r="B138" s="90"/>
    </row>
    <row r="139" spans="2:2" ht="16.5" x14ac:dyDescent="0.3">
      <c r="B139" s="90"/>
    </row>
    <row r="140" spans="2:2" ht="16.5" x14ac:dyDescent="0.3">
      <c r="B140" s="90"/>
    </row>
    <row r="141" spans="2:2" ht="16.5" x14ac:dyDescent="0.3">
      <c r="B141" s="90"/>
    </row>
    <row r="142" spans="2:2" ht="16.5" x14ac:dyDescent="0.3">
      <c r="B142" s="90"/>
    </row>
    <row r="143" spans="2:2" ht="16.5" x14ac:dyDescent="0.3">
      <c r="B143" s="90"/>
    </row>
    <row r="144" spans="2:2" ht="16.5" x14ac:dyDescent="0.3">
      <c r="B144" s="90"/>
    </row>
    <row r="145" spans="2:2" ht="16.5" x14ac:dyDescent="0.3">
      <c r="B145" s="90"/>
    </row>
    <row r="146" spans="2:2" ht="16.5" x14ac:dyDescent="0.3">
      <c r="B146" s="90"/>
    </row>
    <row r="147" spans="2:2" ht="16.5" x14ac:dyDescent="0.3">
      <c r="B147" s="90"/>
    </row>
    <row r="148" spans="2:2" ht="16.5" x14ac:dyDescent="0.3">
      <c r="B148" s="90"/>
    </row>
    <row r="149" spans="2:2" ht="16.5" x14ac:dyDescent="0.3">
      <c r="B149" s="90"/>
    </row>
    <row r="150" spans="2:2" ht="16.5" x14ac:dyDescent="0.3">
      <c r="B150" s="90"/>
    </row>
  </sheetData>
  <sortState xmlns:xlrd2="http://schemas.microsoft.com/office/spreadsheetml/2017/richdata2" ref="A2:E21">
    <sortCondition ref="A2:A21"/>
  </sortState>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1669B-CF8B-4025-8A60-C73FAEB0AFC8}">
  <dimension ref="A1:F7"/>
  <sheetViews>
    <sheetView workbookViewId="0">
      <selection activeCell="F1" sqref="F1"/>
    </sheetView>
  </sheetViews>
  <sheetFormatPr defaultRowHeight="15" x14ac:dyDescent="0.25"/>
  <cols>
    <col min="2" max="6" width="10.7109375" bestFit="1" customWidth="1"/>
  </cols>
  <sheetData>
    <row r="1" spans="1:6" x14ac:dyDescent="0.25">
      <c r="A1" t="s">
        <v>475</v>
      </c>
      <c r="B1" s="79">
        <v>45850</v>
      </c>
      <c r="C1" s="79">
        <v>45857</v>
      </c>
      <c r="D1" s="79">
        <v>45864</v>
      </c>
      <c r="E1" s="79">
        <v>45871</v>
      </c>
      <c r="F1" s="79">
        <v>45878</v>
      </c>
    </row>
    <row r="2" spans="1:6" ht="16.5" x14ac:dyDescent="0.3">
      <c r="A2" t="s">
        <v>658</v>
      </c>
      <c r="B2" s="90">
        <v>0.70860000000000001</v>
      </c>
      <c r="C2" s="94" t="s">
        <v>757</v>
      </c>
      <c r="D2" s="94" t="s">
        <v>917</v>
      </c>
      <c r="E2" s="94" t="s">
        <v>1058</v>
      </c>
      <c r="F2" s="94" t="s">
        <v>1285</v>
      </c>
    </row>
    <row r="3" spans="1:6" ht="16.5" x14ac:dyDescent="0.3">
      <c r="A3" t="s">
        <v>657</v>
      </c>
      <c r="B3" s="90">
        <v>685.7</v>
      </c>
      <c r="C3" s="94" t="s">
        <v>756</v>
      </c>
      <c r="D3" s="94" t="s">
        <v>916</v>
      </c>
      <c r="E3" s="94" t="s">
        <v>1057</v>
      </c>
      <c r="F3" s="94" t="s">
        <v>1284</v>
      </c>
    </row>
    <row r="4" spans="1:6" ht="16.5" x14ac:dyDescent="0.3">
      <c r="A4" t="s">
        <v>505</v>
      </c>
      <c r="B4" s="90">
        <v>117516.99</v>
      </c>
      <c r="C4" s="94" t="s">
        <v>753</v>
      </c>
      <c r="D4" s="94" t="s">
        <v>913</v>
      </c>
      <c r="E4" s="94" t="s">
        <v>1054</v>
      </c>
      <c r="F4" s="94" t="s">
        <v>1281</v>
      </c>
    </row>
    <row r="5" spans="1:6" ht="16.5" x14ac:dyDescent="0.3">
      <c r="A5" t="s">
        <v>506</v>
      </c>
      <c r="B5" s="90">
        <v>2957.88</v>
      </c>
      <c r="C5" s="94" t="s">
        <v>754</v>
      </c>
      <c r="D5" s="94" t="s">
        <v>914</v>
      </c>
      <c r="E5" s="94" t="s">
        <v>1055</v>
      </c>
      <c r="F5" s="94" t="s">
        <v>1282</v>
      </c>
    </row>
    <row r="6" spans="1:6" ht="16.5" x14ac:dyDescent="0.3">
      <c r="A6" t="s">
        <v>581</v>
      </c>
      <c r="B6" s="90">
        <v>162.88</v>
      </c>
      <c r="C6" s="94" t="s">
        <v>755</v>
      </c>
      <c r="D6" s="94" t="s">
        <v>915</v>
      </c>
      <c r="E6" s="94" t="s">
        <v>1056</v>
      </c>
      <c r="F6" s="94" t="s">
        <v>1283</v>
      </c>
    </row>
    <row r="7" spans="1:6" ht="16.5" x14ac:dyDescent="0.3">
      <c r="A7" t="s">
        <v>659</v>
      </c>
      <c r="B7" s="90">
        <v>2.7376</v>
      </c>
      <c r="C7" s="94" t="s">
        <v>758</v>
      </c>
      <c r="D7" s="94" t="s">
        <v>918</v>
      </c>
      <c r="E7" s="94" t="s">
        <v>1059</v>
      </c>
      <c r="F7" s="94" t="s">
        <v>1286</v>
      </c>
    </row>
  </sheetData>
  <sortState xmlns:xlrd2="http://schemas.microsoft.com/office/spreadsheetml/2017/richdata2" ref="A2:E7">
    <sortCondition ref="A2:A7"/>
  </sortState>
  <pageMargins left="0.511811024" right="0.511811024" top="0.78740157499999996" bottom="0.78740157499999996" header="0.31496062000000002" footer="0.31496062000000002"/>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AE7E6-57AD-445D-9994-5BCB8AAB6E6D}">
  <dimension ref="A1:N95"/>
  <sheetViews>
    <sheetView workbookViewId="0">
      <selection activeCell="A96" sqref="A96:XFD839"/>
    </sheetView>
  </sheetViews>
  <sheetFormatPr defaultRowHeight="15" x14ac:dyDescent="0.25"/>
  <cols>
    <col min="1" max="1" width="11.7109375" customWidth="1"/>
    <col min="2" max="2" width="14.140625" customWidth="1"/>
    <col min="3" max="6" width="11.7109375" customWidth="1"/>
    <col min="7" max="7" width="14.42578125" customWidth="1"/>
    <col min="8" max="8" width="12.85546875" customWidth="1"/>
    <col min="9" max="9" width="12.5703125" customWidth="1"/>
    <col min="10" max="10" width="11.7109375" customWidth="1"/>
  </cols>
  <sheetData>
    <row r="1" spans="1:14" x14ac:dyDescent="0.25">
      <c r="A1" t="s">
        <v>475</v>
      </c>
      <c r="B1" s="79">
        <v>45815</v>
      </c>
      <c r="C1" s="79">
        <v>45822</v>
      </c>
      <c r="D1" s="79">
        <v>45829</v>
      </c>
      <c r="E1" s="79">
        <v>45836</v>
      </c>
      <c r="F1" s="79">
        <v>45843</v>
      </c>
      <c r="J1" s="79"/>
      <c r="K1" s="79"/>
      <c r="L1" s="79"/>
      <c r="M1" s="79"/>
      <c r="N1" s="79"/>
    </row>
    <row r="2" spans="1:14" x14ac:dyDescent="0.25">
      <c r="A2" s="93" t="s">
        <v>660</v>
      </c>
      <c r="B2" s="92"/>
      <c r="C2" s="92"/>
      <c r="D2" s="92"/>
      <c r="E2" s="92"/>
      <c r="F2" s="92"/>
    </row>
    <row r="3" spans="1:14" x14ac:dyDescent="0.25">
      <c r="A3" s="93" t="s">
        <v>661</v>
      </c>
      <c r="B3" s="92"/>
      <c r="C3" s="92"/>
      <c r="D3" s="92"/>
      <c r="E3" s="92"/>
      <c r="F3" s="92"/>
    </row>
    <row r="4" spans="1:14" x14ac:dyDescent="0.25">
      <c r="A4" s="93" t="s">
        <v>662</v>
      </c>
      <c r="B4" s="92"/>
      <c r="C4" s="92"/>
      <c r="D4" s="92"/>
      <c r="E4" s="92"/>
      <c r="F4" s="92"/>
    </row>
    <row r="5" spans="1:14" x14ac:dyDescent="0.25">
      <c r="A5" s="93" t="s">
        <v>663</v>
      </c>
      <c r="B5" s="92"/>
      <c r="C5" s="92"/>
      <c r="D5" s="92"/>
      <c r="E5" s="92"/>
      <c r="F5" s="92"/>
    </row>
    <row r="6" spans="1:14" x14ac:dyDescent="0.25">
      <c r="A6" s="93" t="s">
        <v>664</v>
      </c>
      <c r="B6" s="92"/>
      <c r="C6" s="92"/>
      <c r="D6" s="92"/>
      <c r="E6" s="92"/>
      <c r="F6" s="92"/>
    </row>
    <row r="7" spans="1:14" x14ac:dyDescent="0.25">
      <c r="A7" t="s">
        <v>665</v>
      </c>
      <c r="B7" s="92"/>
      <c r="C7" s="92"/>
      <c r="D7" s="92"/>
      <c r="E7" s="92"/>
      <c r="F7" s="92"/>
    </row>
    <row r="8" spans="1:14" x14ac:dyDescent="0.25">
      <c r="A8" t="s">
        <v>666</v>
      </c>
      <c r="B8" s="92"/>
      <c r="C8" s="92"/>
      <c r="D8" s="92"/>
      <c r="E8" s="92"/>
      <c r="F8" s="92"/>
    </row>
    <row r="9" spans="1:14" x14ac:dyDescent="0.25">
      <c r="A9" t="s">
        <v>667</v>
      </c>
      <c r="B9" s="92"/>
      <c r="C9" s="92"/>
      <c r="D9" s="92"/>
      <c r="E9" s="92"/>
      <c r="F9" s="92"/>
    </row>
    <row r="10" spans="1:14" x14ac:dyDescent="0.25">
      <c r="A10" s="93" t="s">
        <v>668</v>
      </c>
      <c r="B10" s="92"/>
      <c r="C10" s="92"/>
      <c r="D10" s="92"/>
      <c r="E10" s="92"/>
      <c r="F10" s="92"/>
    </row>
    <row r="11" spans="1:14" x14ac:dyDescent="0.25">
      <c r="A11" t="s">
        <v>669</v>
      </c>
      <c r="B11" s="92"/>
      <c r="C11" s="92"/>
      <c r="D11" s="92"/>
      <c r="E11" s="92"/>
      <c r="F11" s="92"/>
    </row>
    <row r="12" spans="1:14" x14ac:dyDescent="0.25">
      <c r="A12" s="93" t="s">
        <v>670</v>
      </c>
      <c r="B12" s="92"/>
      <c r="C12" s="92"/>
      <c r="D12" s="92"/>
      <c r="E12" s="92"/>
      <c r="F12" s="92"/>
    </row>
    <row r="13" spans="1:14" x14ac:dyDescent="0.25">
      <c r="A13" t="s">
        <v>671</v>
      </c>
      <c r="B13" s="92"/>
      <c r="C13" s="92"/>
      <c r="D13" s="92"/>
      <c r="E13" s="92"/>
      <c r="F13" s="92"/>
    </row>
    <row r="14" spans="1:14" x14ac:dyDescent="0.25">
      <c r="A14" s="93" t="s">
        <v>672</v>
      </c>
      <c r="B14" s="92"/>
      <c r="C14" s="92"/>
      <c r="D14" s="92"/>
      <c r="E14" s="92"/>
      <c r="F14" s="92"/>
    </row>
    <row r="15" spans="1:14" x14ac:dyDescent="0.25">
      <c r="A15" s="93" t="s">
        <v>673</v>
      </c>
      <c r="B15" s="92"/>
      <c r="C15" s="92"/>
      <c r="D15" s="92"/>
      <c r="E15" s="92"/>
      <c r="F15" s="92"/>
    </row>
    <row r="16" spans="1:14" x14ac:dyDescent="0.25">
      <c r="A16" t="s">
        <v>674</v>
      </c>
      <c r="B16" s="92"/>
      <c r="C16" s="92"/>
      <c r="D16" s="92"/>
      <c r="E16" s="92"/>
      <c r="F16" s="92"/>
    </row>
    <row r="17" spans="1:6" x14ac:dyDescent="0.25">
      <c r="A17" s="93" t="s">
        <v>675</v>
      </c>
      <c r="B17" s="92"/>
      <c r="C17" s="92"/>
      <c r="D17" s="92"/>
      <c r="E17" s="92"/>
      <c r="F17" s="92"/>
    </row>
    <row r="18" spans="1:6" x14ac:dyDescent="0.25">
      <c r="A18" t="s">
        <v>676</v>
      </c>
      <c r="B18" s="92"/>
      <c r="C18" s="92"/>
      <c r="D18" s="92"/>
      <c r="E18" s="92"/>
      <c r="F18" s="92"/>
    </row>
    <row r="19" spans="1:6" x14ac:dyDescent="0.25">
      <c r="A19" s="93" t="s">
        <v>677</v>
      </c>
      <c r="B19" s="92"/>
      <c r="C19" s="92"/>
      <c r="D19" s="92"/>
      <c r="E19" s="92"/>
      <c r="F19" s="92"/>
    </row>
    <row r="20" spans="1:6" x14ac:dyDescent="0.25">
      <c r="A20" s="93" t="s">
        <v>678</v>
      </c>
      <c r="B20" s="92"/>
      <c r="C20" s="92"/>
      <c r="D20" s="92"/>
      <c r="E20" s="92"/>
      <c r="F20" s="92"/>
    </row>
    <row r="21" spans="1:6" x14ac:dyDescent="0.25">
      <c r="A21" s="93" t="s">
        <v>679</v>
      </c>
      <c r="B21" s="92"/>
      <c r="C21" s="92"/>
      <c r="D21" s="92"/>
      <c r="E21" s="92"/>
      <c r="F21" s="92"/>
    </row>
    <row r="22" spans="1:6" x14ac:dyDescent="0.25">
      <c r="A22" s="93" t="s">
        <v>680</v>
      </c>
      <c r="B22" s="92"/>
      <c r="C22" s="92"/>
      <c r="D22" s="92"/>
      <c r="E22" s="92"/>
      <c r="F22" s="92"/>
    </row>
    <row r="23" spans="1:6" x14ac:dyDescent="0.25">
      <c r="A23" s="93" t="s">
        <v>681</v>
      </c>
      <c r="B23" s="92"/>
      <c r="C23" s="92"/>
      <c r="D23" s="92"/>
      <c r="E23" s="92"/>
      <c r="F23" s="92"/>
    </row>
    <row r="24" spans="1:6" x14ac:dyDescent="0.25">
      <c r="A24" s="93" t="s">
        <v>682</v>
      </c>
      <c r="B24" s="92"/>
      <c r="C24" s="92"/>
      <c r="D24" s="92"/>
      <c r="E24" s="92"/>
      <c r="F24" s="92"/>
    </row>
    <row r="25" spans="1:6" x14ac:dyDescent="0.25">
      <c r="A25" s="93" t="s">
        <v>683</v>
      </c>
      <c r="B25" s="92"/>
      <c r="C25" s="92"/>
      <c r="D25" s="92"/>
      <c r="E25" s="92"/>
      <c r="F25" s="92"/>
    </row>
    <row r="26" spans="1:6" x14ac:dyDescent="0.25">
      <c r="A26" s="93" t="s">
        <v>684</v>
      </c>
      <c r="B26" s="92"/>
      <c r="C26" s="92"/>
      <c r="D26" s="92"/>
      <c r="E26" s="92"/>
      <c r="F26" s="92"/>
    </row>
    <row r="27" spans="1:6" x14ac:dyDescent="0.25">
      <c r="A27" s="93" t="s">
        <v>685</v>
      </c>
      <c r="B27" s="92"/>
      <c r="C27" s="92"/>
      <c r="D27" s="92"/>
      <c r="E27" s="92"/>
      <c r="F27" s="92"/>
    </row>
    <row r="28" spans="1:6" x14ac:dyDescent="0.25">
      <c r="A28" s="93" t="s">
        <v>686</v>
      </c>
      <c r="B28" s="92"/>
      <c r="C28" s="92"/>
      <c r="D28" s="92"/>
      <c r="E28" s="92"/>
      <c r="F28" s="92"/>
    </row>
    <row r="29" spans="1:6" x14ac:dyDescent="0.25">
      <c r="A29" s="93" t="s">
        <v>687</v>
      </c>
      <c r="B29" s="92"/>
      <c r="C29" s="92"/>
      <c r="D29" s="92"/>
      <c r="E29" s="92"/>
      <c r="F29" s="92"/>
    </row>
    <row r="30" spans="1:6" x14ac:dyDescent="0.25">
      <c r="A30" s="93" t="s">
        <v>688</v>
      </c>
      <c r="B30" s="92"/>
      <c r="C30" s="92"/>
      <c r="D30" s="92"/>
      <c r="E30" s="92"/>
      <c r="F30" s="92"/>
    </row>
    <row r="31" spans="1:6" x14ac:dyDescent="0.25">
      <c r="A31" s="93" t="s">
        <v>689</v>
      </c>
      <c r="B31" s="92"/>
      <c r="C31" s="92"/>
      <c r="D31" s="92"/>
      <c r="E31" s="92"/>
      <c r="F31" s="92"/>
    </row>
    <row r="32" spans="1:6" x14ac:dyDescent="0.25">
      <c r="A32" s="93" t="s">
        <v>690</v>
      </c>
      <c r="B32" s="92"/>
      <c r="C32" s="92"/>
      <c r="D32" s="92"/>
      <c r="E32" s="92"/>
      <c r="F32" s="92"/>
    </row>
    <row r="33" spans="1:6" x14ac:dyDescent="0.25">
      <c r="A33" s="93" t="s">
        <v>691</v>
      </c>
      <c r="B33" s="92"/>
      <c r="C33" s="92"/>
      <c r="D33" s="92"/>
      <c r="E33" s="92"/>
      <c r="F33" s="92"/>
    </row>
    <row r="34" spans="1:6" x14ac:dyDescent="0.25">
      <c r="A34" s="93" t="s">
        <v>692</v>
      </c>
      <c r="B34" s="92"/>
      <c r="C34" s="92"/>
      <c r="D34" s="92"/>
      <c r="E34" s="92"/>
      <c r="F34" s="92"/>
    </row>
    <row r="35" spans="1:6" x14ac:dyDescent="0.25">
      <c r="A35" t="s">
        <v>693</v>
      </c>
      <c r="B35" s="92"/>
      <c r="C35" s="92"/>
      <c r="D35" s="92"/>
      <c r="E35" s="92"/>
      <c r="F35" s="92"/>
    </row>
    <row r="36" spans="1:6" x14ac:dyDescent="0.25">
      <c r="A36" t="s">
        <v>694</v>
      </c>
      <c r="B36" s="92"/>
      <c r="C36" s="92"/>
      <c r="D36" s="92"/>
      <c r="E36" s="92"/>
      <c r="F36" s="92"/>
    </row>
    <row r="37" spans="1:6" x14ac:dyDescent="0.25">
      <c r="A37" t="s">
        <v>695</v>
      </c>
      <c r="B37" s="92"/>
      <c r="C37" s="92"/>
      <c r="D37" s="92"/>
      <c r="E37" s="92"/>
      <c r="F37" s="92"/>
    </row>
    <row r="38" spans="1:6" x14ac:dyDescent="0.25">
      <c r="A38" t="s">
        <v>696</v>
      </c>
      <c r="B38" s="92"/>
      <c r="C38" s="92"/>
      <c r="D38" s="92"/>
      <c r="E38" s="92"/>
      <c r="F38" s="92"/>
    </row>
    <row r="39" spans="1:6" x14ac:dyDescent="0.25">
      <c r="A39" t="s">
        <v>697</v>
      </c>
      <c r="B39" s="92"/>
      <c r="C39" s="92"/>
      <c r="D39" s="92"/>
      <c r="E39" s="92"/>
      <c r="F39" s="92"/>
    </row>
    <row r="40" spans="1:6" x14ac:dyDescent="0.25">
      <c r="A40" t="s">
        <v>698</v>
      </c>
      <c r="B40" s="92"/>
      <c r="C40" s="92"/>
      <c r="D40" s="92"/>
      <c r="E40" s="92"/>
      <c r="F40" s="92"/>
    </row>
    <row r="41" spans="1:6" x14ac:dyDescent="0.25">
      <c r="A41" t="s">
        <v>699</v>
      </c>
      <c r="B41" s="92"/>
      <c r="C41" s="92"/>
      <c r="D41" s="92"/>
      <c r="E41" s="92"/>
      <c r="F41" s="92"/>
    </row>
    <row r="42" spans="1:6" x14ac:dyDescent="0.25">
      <c r="A42" t="s">
        <v>700</v>
      </c>
      <c r="B42" s="92"/>
      <c r="C42" s="92"/>
      <c r="D42" s="92"/>
      <c r="E42" s="92"/>
      <c r="F42" s="92"/>
    </row>
    <row r="43" spans="1:6" x14ac:dyDescent="0.25">
      <c r="A43" t="s">
        <v>701</v>
      </c>
      <c r="B43" s="92"/>
      <c r="C43" s="92"/>
      <c r="D43" s="92"/>
      <c r="E43" s="92"/>
      <c r="F43" s="92"/>
    </row>
    <row r="44" spans="1:6" x14ac:dyDescent="0.25">
      <c r="A44" t="s">
        <v>702</v>
      </c>
      <c r="B44" s="92"/>
      <c r="C44" s="92"/>
      <c r="D44" s="92"/>
      <c r="E44" s="92"/>
      <c r="F44" s="92"/>
    </row>
    <row r="45" spans="1:6" x14ac:dyDescent="0.25">
      <c r="A45" t="s">
        <v>703</v>
      </c>
      <c r="B45" s="92"/>
      <c r="C45" s="92"/>
      <c r="D45" s="92"/>
      <c r="E45" s="92"/>
      <c r="F45" s="92"/>
    </row>
    <row r="46" spans="1:6" x14ac:dyDescent="0.25">
      <c r="A46" t="s">
        <v>704</v>
      </c>
      <c r="B46" s="92"/>
      <c r="C46" s="92"/>
      <c r="D46" s="92"/>
      <c r="E46" s="92"/>
      <c r="F46" s="92"/>
    </row>
    <row r="47" spans="1:6" x14ac:dyDescent="0.25">
      <c r="A47" t="s">
        <v>705</v>
      </c>
      <c r="B47" s="92"/>
      <c r="C47" s="92"/>
      <c r="D47" s="92"/>
      <c r="E47" s="92"/>
      <c r="F47" s="92"/>
    </row>
    <row r="48" spans="1:6" x14ac:dyDescent="0.25">
      <c r="A48" t="s">
        <v>706</v>
      </c>
      <c r="B48" s="92"/>
      <c r="C48" s="92"/>
      <c r="D48" s="92"/>
      <c r="E48" s="92"/>
      <c r="F48" s="92"/>
    </row>
    <row r="49" spans="1:6" x14ac:dyDescent="0.25">
      <c r="A49" t="s">
        <v>707</v>
      </c>
      <c r="B49" s="92"/>
      <c r="C49" s="92"/>
      <c r="D49" s="92"/>
      <c r="E49" s="92"/>
      <c r="F49" s="92"/>
    </row>
    <row r="50" spans="1:6" x14ac:dyDescent="0.25">
      <c r="A50" t="s">
        <v>708</v>
      </c>
      <c r="B50" s="92"/>
      <c r="C50" s="92"/>
      <c r="D50" s="92"/>
      <c r="E50" s="92"/>
      <c r="F50" s="92"/>
    </row>
    <row r="51" spans="1:6" x14ac:dyDescent="0.25">
      <c r="A51" t="s">
        <v>709</v>
      </c>
      <c r="B51" s="91"/>
      <c r="C51" s="91"/>
      <c r="D51" s="91"/>
      <c r="E51" s="91"/>
      <c r="F51" s="91"/>
    </row>
    <row r="52" spans="1:6" x14ac:dyDescent="0.25">
      <c r="A52" t="s">
        <v>710</v>
      </c>
      <c r="B52" s="91"/>
      <c r="C52" s="91"/>
      <c r="D52" s="91"/>
      <c r="E52" s="91"/>
      <c r="F52" s="91"/>
    </row>
    <row r="53" spans="1:6" x14ac:dyDescent="0.25">
      <c r="A53" t="s">
        <v>711</v>
      </c>
      <c r="B53" s="91"/>
      <c r="C53" s="91"/>
      <c r="D53" s="91"/>
      <c r="E53" s="91"/>
      <c r="F53" s="91"/>
    </row>
    <row r="54" spans="1:6" x14ac:dyDescent="0.25">
      <c r="A54" t="s">
        <v>712</v>
      </c>
    </row>
    <row r="55" spans="1:6" x14ac:dyDescent="0.25">
      <c r="A55" t="s">
        <v>713</v>
      </c>
    </row>
    <row r="56" spans="1:6" x14ac:dyDescent="0.25">
      <c r="A56" t="s">
        <v>714</v>
      </c>
    </row>
    <row r="57" spans="1:6" x14ac:dyDescent="0.25">
      <c r="A57" t="s">
        <v>715</v>
      </c>
    </row>
    <row r="58" spans="1:6" x14ac:dyDescent="0.25">
      <c r="A58" t="s">
        <v>716</v>
      </c>
    </row>
    <row r="59" spans="1:6" x14ac:dyDescent="0.25">
      <c r="A59" t="s">
        <v>717</v>
      </c>
    </row>
    <row r="60" spans="1:6" x14ac:dyDescent="0.25">
      <c r="A60" t="s">
        <v>718</v>
      </c>
    </row>
    <row r="61" spans="1:6" x14ac:dyDescent="0.25">
      <c r="A61" t="s">
        <v>719</v>
      </c>
    </row>
    <row r="62" spans="1:6" x14ac:dyDescent="0.25">
      <c r="A62" t="s">
        <v>720</v>
      </c>
    </row>
    <row r="63" spans="1:6" x14ac:dyDescent="0.25">
      <c r="A63" t="s">
        <v>721</v>
      </c>
    </row>
    <row r="64" spans="1:6" x14ac:dyDescent="0.25">
      <c r="A64" t="s">
        <v>722</v>
      </c>
    </row>
    <row r="65" spans="1:1" x14ac:dyDescent="0.25">
      <c r="A65" t="s">
        <v>723</v>
      </c>
    </row>
    <row r="66" spans="1:1" x14ac:dyDescent="0.25">
      <c r="A66" t="s">
        <v>724</v>
      </c>
    </row>
    <row r="67" spans="1:1" x14ac:dyDescent="0.25">
      <c r="A67" t="s">
        <v>725</v>
      </c>
    </row>
    <row r="68" spans="1:1" x14ac:dyDescent="0.25">
      <c r="A68" t="s">
        <v>726</v>
      </c>
    </row>
    <row r="69" spans="1:1" x14ac:dyDescent="0.25">
      <c r="A69" t="s">
        <v>727</v>
      </c>
    </row>
    <row r="70" spans="1:1" x14ac:dyDescent="0.25">
      <c r="A70" t="s">
        <v>728</v>
      </c>
    </row>
    <row r="71" spans="1:1" x14ac:dyDescent="0.25">
      <c r="A71" t="s">
        <v>729</v>
      </c>
    </row>
    <row r="72" spans="1:1" x14ac:dyDescent="0.25">
      <c r="A72" t="s">
        <v>730</v>
      </c>
    </row>
    <row r="73" spans="1:1" x14ac:dyDescent="0.25">
      <c r="A73" t="s">
        <v>731</v>
      </c>
    </row>
    <row r="74" spans="1:1" x14ac:dyDescent="0.25">
      <c r="A74" t="s">
        <v>732</v>
      </c>
    </row>
    <row r="75" spans="1:1" x14ac:dyDescent="0.25">
      <c r="A75" t="s">
        <v>733</v>
      </c>
    </row>
    <row r="76" spans="1:1" x14ac:dyDescent="0.25">
      <c r="A76" t="s">
        <v>734</v>
      </c>
    </row>
    <row r="77" spans="1:1" x14ac:dyDescent="0.25">
      <c r="A77" t="s">
        <v>735</v>
      </c>
    </row>
    <row r="78" spans="1:1" x14ac:dyDescent="0.25">
      <c r="A78" t="s">
        <v>736</v>
      </c>
    </row>
    <row r="79" spans="1:1" x14ac:dyDescent="0.25">
      <c r="A79" t="s">
        <v>737</v>
      </c>
    </row>
    <row r="80" spans="1:1" x14ac:dyDescent="0.25">
      <c r="A80" t="s">
        <v>738</v>
      </c>
    </row>
    <row r="81" spans="1:1" x14ac:dyDescent="0.25">
      <c r="A81" t="s">
        <v>739</v>
      </c>
    </row>
    <row r="82" spans="1:1" x14ac:dyDescent="0.25">
      <c r="A82" t="s">
        <v>740</v>
      </c>
    </row>
    <row r="83" spans="1:1" x14ac:dyDescent="0.25">
      <c r="A83" t="s">
        <v>741</v>
      </c>
    </row>
    <row r="84" spans="1:1" x14ac:dyDescent="0.25">
      <c r="A84" t="s">
        <v>742</v>
      </c>
    </row>
    <row r="85" spans="1:1" x14ac:dyDescent="0.25">
      <c r="A85" t="s">
        <v>743</v>
      </c>
    </row>
    <row r="86" spans="1:1" x14ac:dyDescent="0.25">
      <c r="A86" t="s">
        <v>744</v>
      </c>
    </row>
    <row r="87" spans="1:1" x14ac:dyDescent="0.25">
      <c r="A87" t="s">
        <v>320</v>
      </c>
    </row>
    <row r="88" spans="1:1" x14ac:dyDescent="0.25">
      <c r="A88" t="s">
        <v>745</v>
      </c>
    </row>
    <row r="89" spans="1:1" x14ac:dyDescent="0.25">
      <c r="A89" t="s">
        <v>746</v>
      </c>
    </row>
    <row r="90" spans="1:1" x14ac:dyDescent="0.25">
      <c r="A90" t="s">
        <v>747</v>
      </c>
    </row>
    <row r="91" spans="1:1" x14ac:dyDescent="0.25">
      <c r="A91" t="s">
        <v>748</v>
      </c>
    </row>
    <row r="92" spans="1:1" x14ac:dyDescent="0.25">
      <c r="A92" t="s">
        <v>749</v>
      </c>
    </row>
    <row r="93" spans="1:1" x14ac:dyDescent="0.25">
      <c r="A93" t="s">
        <v>750</v>
      </c>
    </row>
    <row r="94" spans="1:1" x14ac:dyDescent="0.25">
      <c r="A94" t="s">
        <v>751</v>
      </c>
    </row>
    <row r="95" spans="1:1" x14ac:dyDescent="0.25">
      <c r="A95" t="s">
        <v>752</v>
      </c>
    </row>
  </sheetData>
  <sortState xmlns:xlrd2="http://schemas.microsoft.com/office/spreadsheetml/2017/richdata2" ref="A2:N44">
    <sortCondition descending="1" ref="A2:A44"/>
  </sortState>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A95AD-4DCA-4F23-B841-B8419749550B}">
  <sheetPr filterMode="1"/>
  <dimension ref="A1:U426"/>
  <sheetViews>
    <sheetView zoomScale="80" zoomScaleNormal="80" workbookViewId="0">
      <selection activeCell="S238" sqref="S238"/>
    </sheetView>
  </sheetViews>
  <sheetFormatPr defaultRowHeight="15" x14ac:dyDescent="0.25"/>
  <cols>
    <col min="8" max="8" width="15" customWidth="1"/>
    <col min="12" max="12" width="11.7109375" customWidth="1"/>
    <col min="13" max="14" width="12" customWidth="1"/>
    <col min="18" max="18" width="15.42578125" bestFit="1" customWidth="1"/>
    <col min="19" max="19" width="17.5703125" bestFit="1" customWidth="1"/>
  </cols>
  <sheetData>
    <row r="1" spans="1:21" s="27" customFormat="1" x14ac:dyDescent="0.25">
      <c r="A1" s="27" t="s">
        <v>286</v>
      </c>
      <c r="B1" s="27" t="s">
        <v>272</v>
      </c>
      <c r="C1" s="27" t="s">
        <v>287</v>
      </c>
      <c r="D1" s="27" t="s">
        <v>288</v>
      </c>
      <c r="E1" s="27" t="s">
        <v>289</v>
      </c>
      <c r="F1" s="27" t="s">
        <v>290</v>
      </c>
      <c r="G1" s="27" t="s">
        <v>291</v>
      </c>
      <c r="H1" s="27" t="s">
        <v>292</v>
      </c>
      <c r="I1" s="27" t="s">
        <v>293</v>
      </c>
      <c r="J1" s="27" t="s">
        <v>294</v>
      </c>
      <c r="K1" s="27" t="s">
        <v>295</v>
      </c>
      <c r="L1" s="27" t="s">
        <v>296</v>
      </c>
      <c r="M1" s="27" t="s">
        <v>297</v>
      </c>
      <c r="N1" s="27" t="s">
        <v>298</v>
      </c>
      <c r="O1" s="27" t="s">
        <v>299</v>
      </c>
      <c r="P1" s="27" t="s">
        <v>300</v>
      </c>
      <c r="Q1" s="27" t="s">
        <v>301</v>
      </c>
      <c r="R1" s="27" t="s">
        <v>302</v>
      </c>
      <c r="S1" s="27" t="s">
        <v>303</v>
      </c>
      <c r="T1" s="27" t="s">
        <v>304</v>
      </c>
      <c r="U1" s="27" t="s">
        <v>305</v>
      </c>
    </row>
    <row r="2" spans="1:21" hidden="1" x14ac:dyDescent="0.25">
      <c r="A2" t="s">
        <v>209</v>
      </c>
      <c r="B2">
        <v>4.99</v>
      </c>
      <c r="C2">
        <v>-10.83</v>
      </c>
      <c r="D2">
        <v>0.71</v>
      </c>
      <c r="E2">
        <v>0.61099999999999999</v>
      </c>
      <c r="F2" s="25">
        <v>0</v>
      </c>
      <c r="G2">
        <v>0.26600000000000001</v>
      </c>
      <c r="H2">
        <v>-60.26</v>
      </c>
      <c r="I2">
        <v>6.15</v>
      </c>
      <c r="J2">
        <v>-0.75</v>
      </c>
      <c r="K2" s="26">
        <v>10.54</v>
      </c>
      <c r="L2">
        <v>5.63</v>
      </c>
      <c r="M2" s="25">
        <v>9.9400000000000002E-2</v>
      </c>
      <c r="N2" s="25">
        <v>-4.9500000000000002E-2</v>
      </c>
      <c r="O2">
        <v>0.98</v>
      </c>
      <c r="P2" s="25">
        <v>4.7399999999999998E-2</v>
      </c>
      <c r="Q2" s="25">
        <v>-6.5299999999999997E-2</v>
      </c>
      <c r="R2" s="26">
        <v>387246</v>
      </c>
      <c r="S2" s="26">
        <v>1074970000</v>
      </c>
      <c r="T2">
        <v>0.62</v>
      </c>
      <c r="U2" s="25">
        <v>5.3199999999999997E-2</v>
      </c>
    </row>
    <row r="3" spans="1:21" hidden="1" x14ac:dyDescent="0.25">
      <c r="A3" t="s">
        <v>36</v>
      </c>
      <c r="B3">
        <v>20.77</v>
      </c>
      <c r="C3">
        <v>5.22</v>
      </c>
      <c r="D3">
        <v>0.79</v>
      </c>
      <c r="E3">
        <v>0</v>
      </c>
      <c r="F3" s="25">
        <v>9.3700000000000006E-2</v>
      </c>
      <c r="G3">
        <v>0</v>
      </c>
      <c r="H3">
        <v>0</v>
      </c>
      <c r="I3">
        <v>0</v>
      </c>
      <c r="J3">
        <v>0</v>
      </c>
      <c r="K3">
        <v>0</v>
      </c>
      <c r="L3">
        <v>0</v>
      </c>
      <c r="M3" s="25">
        <v>0</v>
      </c>
      <c r="N3" s="25">
        <v>0</v>
      </c>
      <c r="O3">
        <v>0</v>
      </c>
      <c r="P3" s="25">
        <v>0</v>
      </c>
      <c r="Q3" s="25">
        <v>0.15049999999999999</v>
      </c>
      <c r="R3" s="26">
        <v>14067900</v>
      </c>
      <c r="S3" s="26">
        <v>6472310000</v>
      </c>
      <c r="T3">
        <v>0</v>
      </c>
      <c r="U3" s="25">
        <v>0.30580000000000002</v>
      </c>
    </row>
    <row r="4" spans="1:21" hidden="1" x14ac:dyDescent="0.25">
      <c r="A4" t="s">
        <v>7</v>
      </c>
      <c r="B4">
        <v>13.59</v>
      </c>
      <c r="C4">
        <v>14.84</v>
      </c>
      <c r="D4">
        <v>2.27</v>
      </c>
      <c r="E4">
        <v>2.3370000000000002</v>
      </c>
      <c r="F4" s="25">
        <v>6.7900000000000002E-2</v>
      </c>
      <c r="G4">
        <v>1.454</v>
      </c>
      <c r="H4">
        <v>50.91</v>
      </c>
      <c r="I4">
        <v>10.58</v>
      </c>
      <c r="J4">
        <v>-25.89</v>
      </c>
      <c r="K4">
        <v>9.73</v>
      </c>
      <c r="L4">
        <v>7.28</v>
      </c>
      <c r="M4" s="25">
        <v>0.22090000000000001</v>
      </c>
      <c r="N4" s="25">
        <v>0.16200000000000001</v>
      </c>
      <c r="O4">
        <v>1.1100000000000001</v>
      </c>
      <c r="P4" s="25">
        <v>0.19189999999999999</v>
      </c>
      <c r="Q4" s="25">
        <v>0.1527</v>
      </c>
      <c r="R4" s="26">
        <v>353090000</v>
      </c>
      <c r="S4" s="26">
        <v>94528300000</v>
      </c>
      <c r="T4">
        <v>0.03</v>
      </c>
      <c r="U4" s="25">
        <v>8.6699999999999999E-2</v>
      </c>
    </row>
    <row r="5" spans="1:21" hidden="1" x14ac:dyDescent="0.25">
      <c r="A5" t="s">
        <v>306</v>
      </c>
      <c r="B5">
        <v>1.56</v>
      </c>
      <c r="C5">
        <v>-4.09</v>
      </c>
      <c r="D5">
        <v>-1.29</v>
      </c>
      <c r="E5">
        <v>770.92399999999998</v>
      </c>
      <c r="F5" s="25">
        <v>0</v>
      </c>
      <c r="G5">
        <v>105.126</v>
      </c>
      <c r="H5">
        <v>-1.43</v>
      </c>
      <c r="I5" s="26">
        <v>-5.69</v>
      </c>
      <c r="J5">
        <v>-1.27</v>
      </c>
      <c r="K5" s="26">
        <v>-5.69</v>
      </c>
      <c r="L5">
        <v>-5.81</v>
      </c>
      <c r="M5" s="25">
        <v>-135.48500000000001</v>
      </c>
      <c r="N5" s="25">
        <v>-188.60599999999999</v>
      </c>
      <c r="O5">
        <v>0</v>
      </c>
      <c r="P5" s="25">
        <v>5.2169999999999996</v>
      </c>
      <c r="Q5" s="25">
        <v>0.31469999999999998</v>
      </c>
      <c r="R5" s="26">
        <v>2064</v>
      </c>
      <c r="S5" s="26">
        <v>-19776000</v>
      </c>
      <c r="T5">
        <v>0</v>
      </c>
      <c r="U5" s="25">
        <v>0.43480000000000002</v>
      </c>
    </row>
    <row r="6" spans="1:21" hidden="1" x14ac:dyDescent="0.25">
      <c r="A6" t="s">
        <v>307</v>
      </c>
      <c r="B6">
        <v>4.34</v>
      </c>
      <c r="C6">
        <v>-0.27</v>
      </c>
      <c r="D6">
        <v>2.4300000000000002</v>
      </c>
      <c r="E6">
        <v>0.223</v>
      </c>
      <c r="F6" s="25">
        <v>0</v>
      </c>
      <c r="G6">
        <v>0.128</v>
      </c>
      <c r="H6">
        <v>-30.62</v>
      </c>
      <c r="I6">
        <v>-0.38</v>
      </c>
      <c r="J6">
        <v>-0.23</v>
      </c>
      <c r="K6">
        <v>-2.48</v>
      </c>
      <c r="L6">
        <v>-2.9</v>
      </c>
      <c r="M6" s="25">
        <v>-0.59119999999999995</v>
      </c>
      <c r="N6" s="25">
        <v>-0.81510000000000005</v>
      </c>
      <c r="O6">
        <v>0.99</v>
      </c>
      <c r="P6" s="25">
        <v>-0.37409999999999999</v>
      </c>
      <c r="Q6" s="25">
        <v>-8.8948</v>
      </c>
      <c r="R6" s="26">
        <v>656366</v>
      </c>
      <c r="S6" s="26">
        <v>111006000</v>
      </c>
      <c r="T6">
        <v>14.59</v>
      </c>
      <c r="U6" s="25">
        <v>-0.18770000000000001</v>
      </c>
    </row>
    <row r="7" spans="1:21" hidden="1" x14ac:dyDescent="0.25">
      <c r="A7" t="s">
        <v>308</v>
      </c>
      <c r="B7">
        <v>7.57</v>
      </c>
      <c r="C7">
        <v>18.28</v>
      </c>
      <c r="D7">
        <v>1.99</v>
      </c>
      <c r="E7">
        <v>6.3040000000000003</v>
      </c>
      <c r="F7" s="25">
        <v>5.67E-2</v>
      </c>
      <c r="G7">
        <v>1.3520000000000001</v>
      </c>
      <c r="H7">
        <v>9.99</v>
      </c>
      <c r="I7">
        <v>13.02</v>
      </c>
      <c r="J7">
        <v>-18.149999999999999</v>
      </c>
      <c r="K7">
        <v>13.22</v>
      </c>
      <c r="L7">
        <v>13.16</v>
      </c>
      <c r="M7" s="25">
        <v>0.48409999999999997</v>
      </c>
      <c r="N7" s="25">
        <v>0.34470000000000001</v>
      </c>
      <c r="O7">
        <v>2.2400000000000002</v>
      </c>
      <c r="P7" s="25">
        <v>0.1124</v>
      </c>
      <c r="Q7" s="25">
        <v>0.1086</v>
      </c>
      <c r="R7" s="26">
        <v>2168.7600000000002</v>
      </c>
      <c r="S7" s="26">
        <v>240521000</v>
      </c>
      <c r="T7">
        <v>0.13</v>
      </c>
      <c r="U7" s="25">
        <v>4.3900000000000002E-2</v>
      </c>
    </row>
    <row r="8" spans="1:21" hidden="1" x14ac:dyDescent="0.25">
      <c r="A8" t="s">
        <v>45</v>
      </c>
      <c r="B8">
        <v>20.43</v>
      </c>
      <c r="C8">
        <v>6.78</v>
      </c>
      <c r="D8">
        <v>0.97</v>
      </c>
      <c r="E8">
        <v>1.548</v>
      </c>
      <c r="F8" s="25">
        <v>7.6200000000000004E-2</v>
      </c>
      <c r="G8">
        <v>0.52800000000000002</v>
      </c>
      <c r="H8">
        <v>4.54</v>
      </c>
      <c r="I8">
        <v>5.17</v>
      </c>
      <c r="J8">
        <v>-3.83</v>
      </c>
      <c r="K8">
        <v>8.26</v>
      </c>
      <c r="L8">
        <v>6.9</v>
      </c>
      <c r="M8" s="25">
        <v>0.29959999999999998</v>
      </c>
      <c r="N8" s="25">
        <v>0.22850000000000001</v>
      </c>
      <c r="O8">
        <v>1.58</v>
      </c>
      <c r="P8" s="25">
        <v>0.1113</v>
      </c>
      <c r="Q8" s="25">
        <v>0.14269999999999999</v>
      </c>
      <c r="R8" s="26">
        <v>3277710</v>
      </c>
      <c r="S8" s="26">
        <v>2169900000</v>
      </c>
      <c r="T8">
        <v>0.62</v>
      </c>
      <c r="U8" s="25">
        <v>-4.7000000000000002E-3</v>
      </c>
    </row>
    <row r="9" spans="1:21" hidden="1" x14ac:dyDescent="0.25">
      <c r="A9" t="s">
        <v>309</v>
      </c>
      <c r="B9">
        <v>6.03</v>
      </c>
      <c r="C9">
        <v>-0.04</v>
      </c>
      <c r="D9">
        <v>-0.05</v>
      </c>
      <c r="E9">
        <v>0.03</v>
      </c>
      <c r="F9" s="25">
        <v>0</v>
      </c>
      <c r="G9">
        <v>2.9000000000000001E-2</v>
      </c>
      <c r="H9">
        <v>-0.03</v>
      </c>
      <c r="I9">
        <v>-0.06</v>
      </c>
      <c r="J9">
        <v>-0.03</v>
      </c>
      <c r="K9">
        <v>-0.83</v>
      </c>
      <c r="L9">
        <v>-0.91</v>
      </c>
      <c r="M9" s="25">
        <v>-0.48830000000000001</v>
      </c>
      <c r="N9" s="25">
        <v>-0.877</v>
      </c>
      <c r="O9">
        <v>0.33</v>
      </c>
      <c r="P9" s="25">
        <v>-2.0348000000000002</v>
      </c>
      <c r="Q9" s="25">
        <v>1.4531000000000001</v>
      </c>
      <c r="R9" s="26">
        <v>128969</v>
      </c>
      <c r="S9" s="26">
        <v>-2009680000</v>
      </c>
      <c r="T9">
        <v>-0.75</v>
      </c>
      <c r="U9" s="25">
        <v>-1.4500000000000001E-2</v>
      </c>
    </row>
    <row r="10" spans="1:21" hidden="1" x14ac:dyDescent="0.25">
      <c r="A10" t="s">
        <v>310</v>
      </c>
      <c r="B10">
        <v>35.5</v>
      </c>
      <c r="C10">
        <v>2.63</v>
      </c>
      <c r="D10">
        <v>1.25</v>
      </c>
      <c r="E10">
        <v>0.438</v>
      </c>
      <c r="F10" s="25">
        <v>0</v>
      </c>
      <c r="G10">
        <v>0.54900000000000004</v>
      </c>
      <c r="H10">
        <v>1.73</v>
      </c>
      <c r="I10">
        <v>3.87</v>
      </c>
      <c r="J10">
        <v>-5.21</v>
      </c>
      <c r="K10">
        <v>3.21</v>
      </c>
      <c r="L10">
        <v>2.96</v>
      </c>
      <c r="M10" s="25">
        <v>0.1132</v>
      </c>
      <c r="N10" s="25">
        <v>0.16639999999999999</v>
      </c>
      <c r="O10">
        <v>3.3</v>
      </c>
      <c r="P10" s="25">
        <v>0.17219999999999999</v>
      </c>
      <c r="Q10" s="25">
        <v>0.47449999999999998</v>
      </c>
      <c r="R10" s="26">
        <v>2235.4299999999998</v>
      </c>
      <c r="S10" s="26">
        <v>242674000</v>
      </c>
      <c r="T10">
        <v>0.02</v>
      </c>
      <c r="U10" s="25">
        <v>0.46410000000000001</v>
      </c>
    </row>
    <row r="11" spans="1:21" hidden="1" x14ac:dyDescent="0.25">
      <c r="A11" t="s">
        <v>311</v>
      </c>
      <c r="B11">
        <v>58</v>
      </c>
      <c r="C11">
        <v>4.3</v>
      </c>
      <c r="D11">
        <v>2.04</v>
      </c>
      <c r="E11">
        <v>0.71599999999999997</v>
      </c>
      <c r="F11" s="25">
        <v>0</v>
      </c>
      <c r="G11">
        <v>0.89600000000000002</v>
      </c>
      <c r="H11">
        <v>2.82</v>
      </c>
      <c r="I11">
        <v>6.33</v>
      </c>
      <c r="J11">
        <v>-8.51</v>
      </c>
      <c r="K11">
        <v>5.67</v>
      </c>
      <c r="L11">
        <v>5.22</v>
      </c>
      <c r="M11" s="25">
        <v>0.1132</v>
      </c>
      <c r="N11" s="25">
        <v>0.16639999999999999</v>
      </c>
      <c r="O11">
        <v>3.3</v>
      </c>
      <c r="P11" s="25">
        <v>0.17219999999999999</v>
      </c>
      <c r="Q11" s="25">
        <v>0.47449999999999998</v>
      </c>
      <c r="R11" s="26">
        <v>1266.67</v>
      </c>
      <c r="S11" s="26">
        <v>242674000</v>
      </c>
      <c r="T11">
        <v>0.02</v>
      </c>
      <c r="U11" s="25">
        <v>0.46410000000000001</v>
      </c>
    </row>
    <row r="12" spans="1:21" hidden="1" x14ac:dyDescent="0.25">
      <c r="A12" t="s">
        <v>57</v>
      </c>
      <c r="B12">
        <v>6.91</v>
      </c>
      <c r="C12">
        <v>5.91</v>
      </c>
      <c r="D12">
        <v>0.41</v>
      </c>
      <c r="E12">
        <v>0.123</v>
      </c>
      <c r="F12" s="25">
        <v>0.18640000000000001</v>
      </c>
      <c r="G12">
        <v>0.19</v>
      </c>
      <c r="H12">
        <v>0.57999999999999996</v>
      </c>
      <c r="I12">
        <v>5.38</v>
      </c>
      <c r="J12">
        <v>1.0900000000000001</v>
      </c>
      <c r="K12">
        <v>6.51</v>
      </c>
      <c r="L12">
        <v>4.55</v>
      </c>
      <c r="M12" s="25">
        <v>2.29E-2</v>
      </c>
      <c r="N12" s="25">
        <v>2.0799999999999999E-2</v>
      </c>
      <c r="O12">
        <v>1.86</v>
      </c>
      <c r="P12" s="25">
        <v>6.13E-2</v>
      </c>
      <c r="Q12" s="25">
        <v>6.9000000000000006E-2</v>
      </c>
      <c r="R12" s="26">
        <v>392012</v>
      </c>
      <c r="S12" s="26">
        <v>1601680000</v>
      </c>
      <c r="T12">
        <v>0.3</v>
      </c>
      <c r="U12" s="25">
        <v>9.9000000000000008E-3</v>
      </c>
    </row>
    <row r="13" spans="1:21" hidden="1" x14ac:dyDescent="0.25">
      <c r="A13" t="s">
        <v>312</v>
      </c>
      <c r="B13">
        <v>21.52</v>
      </c>
      <c r="C13">
        <v>13.55</v>
      </c>
      <c r="D13">
        <v>0.87</v>
      </c>
      <c r="E13">
        <v>4.2560000000000002</v>
      </c>
      <c r="F13" s="25">
        <v>5.0900000000000001E-2</v>
      </c>
      <c r="G13">
        <v>0.439</v>
      </c>
      <c r="H13">
        <v>4.54</v>
      </c>
      <c r="I13">
        <v>8.8000000000000007</v>
      </c>
      <c r="J13">
        <v>-1.38</v>
      </c>
      <c r="K13">
        <v>6.48</v>
      </c>
      <c r="L13">
        <v>4.43</v>
      </c>
      <c r="M13" s="25">
        <v>0.48359999999999997</v>
      </c>
      <c r="N13" s="25">
        <v>0.35070000000000001</v>
      </c>
      <c r="O13">
        <v>2.87</v>
      </c>
      <c r="P13" s="25">
        <v>5.6599999999999998E-2</v>
      </c>
      <c r="Q13" s="25">
        <v>6.4199999999999993E-2</v>
      </c>
      <c r="R13" s="26">
        <v>88479300</v>
      </c>
      <c r="S13" s="26">
        <v>13432600000</v>
      </c>
      <c r="T13">
        <v>0</v>
      </c>
      <c r="U13" s="25">
        <v>0.42659999999999998</v>
      </c>
    </row>
    <row r="14" spans="1:21" hidden="1" x14ac:dyDescent="0.25">
      <c r="A14" t="s">
        <v>177</v>
      </c>
      <c r="B14">
        <v>7.64</v>
      </c>
      <c r="C14">
        <v>26.69</v>
      </c>
      <c r="D14">
        <v>1.29</v>
      </c>
      <c r="E14">
        <v>1.222</v>
      </c>
      <c r="F14" s="25">
        <v>1.2699999999999999E-2</v>
      </c>
      <c r="G14">
        <v>0.81799999999999995</v>
      </c>
      <c r="H14">
        <v>3.1</v>
      </c>
      <c r="I14">
        <v>17.8</v>
      </c>
      <c r="J14">
        <v>6.55</v>
      </c>
      <c r="K14">
        <v>17.100000000000001</v>
      </c>
      <c r="L14">
        <v>9.17</v>
      </c>
      <c r="M14" s="25">
        <v>6.8699999999999997E-2</v>
      </c>
      <c r="N14" s="25">
        <v>4.5699999999999998E-2</v>
      </c>
      <c r="O14">
        <v>2.17</v>
      </c>
      <c r="P14" s="25">
        <v>6.0600000000000001E-2</v>
      </c>
      <c r="Q14" s="25">
        <v>4.8300000000000003E-2</v>
      </c>
      <c r="R14" s="26">
        <v>74326.3</v>
      </c>
      <c r="S14" s="26">
        <v>4051630000</v>
      </c>
      <c r="T14">
        <v>0.22</v>
      </c>
      <c r="U14" s="25">
        <v>3.3799999999999997E-2</v>
      </c>
    </row>
    <row r="15" spans="1:21" hidden="1" x14ac:dyDescent="0.25">
      <c r="A15" t="s">
        <v>67</v>
      </c>
      <c r="B15">
        <v>8.6</v>
      </c>
      <c r="C15">
        <v>30.04</v>
      </c>
      <c r="D15">
        <v>1.45</v>
      </c>
      <c r="E15">
        <v>1.3759999999999999</v>
      </c>
      <c r="F15" s="25">
        <v>1.24E-2</v>
      </c>
      <c r="G15">
        <v>0.92100000000000004</v>
      </c>
      <c r="H15">
        <v>3.49</v>
      </c>
      <c r="I15">
        <v>20.04</v>
      </c>
      <c r="J15">
        <v>7.37</v>
      </c>
      <c r="K15">
        <v>19.329999999999998</v>
      </c>
      <c r="L15">
        <v>10.37</v>
      </c>
      <c r="M15" s="25">
        <v>6.8699999999999997E-2</v>
      </c>
      <c r="N15" s="25">
        <v>4.5699999999999998E-2</v>
      </c>
      <c r="O15">
        <v>2.17</v>
      </c>
      <c r="P15" s="25">
        <v>6.0600000000000001E-2</v>
      </c>
      <c r="Q15" s="25">
        <v>4.8300000000000003E-2</v>
      </c>
      <c r="R15" s="26">
        <v>14760600</v>
      </c>
      <c r="S15" s="26">
        <v>4051630000</v>
      </c>
      <c r="T15">
        <v>0.22</v>
      </c>
      <c r="U15" s="25">
        <v>3.3799999999999997E-2</v>
      </c>
    </row>
    <row r="16" spans="1:21" hidden="1" x14ac:dyDescent="0.25">
      <c r="A16" t="s">
        <v>313</v>
      </c>
      <c r="B16">
        <v>2.98</v>
      </c>
      <c r="C16">
        <v>-140.93</v>
      </c>
      <c r="D16">
        <v>1.87</v>
      </c>
      <c r="E16">
        <v>0.39400000000000002</v>
      </c>
      <c r="F16" s="25">
        <v>0</v>
      </c>
      <c r="G16">
        <v>0.26400000000000001</v>
      </c>
      <c r="H16">
        <v>-2.25</v>
      </c>
      <c r="I16">
        <v>1.6</v>
      </c>
      <c r="J16">
        <v>-0.38</v>
      </c>
      <c r="K16">
        <v>4.74</v>
      </c>
      <c r="L16">
        <v>2.94</v>
      </c>
      <c r="M16" s="25">
        <v>0.24579999999999999</v>
      </c>
      <c r="N16" s="25">
        <v>2E-3</v>
      </c>
      <c r="O16">
        <v>0.57999999999999996</v>
      </c>
      <c r="P16" s="25">
        <v>0.18340000000000001</v>
      </c>
      <c r="Q16" s="25">
        <v>-1.3299999999999999E-2</v>
      </c>
      <c r="R16" s="26">
        <v>334607</v>
      </c>
      <c r="S16" s="26">
        <v>346060000</v>
      </c>
      <c r="T16">
        <v>4.1399999999999997</v>
      </c>
      <c r="U16" s="25">
        <v>0.29049999999999998</v>
      </c>
    </row>
    <row r="17" spans="1:21" hidden="1" x14ac:dyDescent="0.25">
      <c r="A17" t="s">
        <v>314</v>
      </c>
      <c r="B17">
        <v>29.79</v>
      </c>
      <c r="C17">
        <v>8.69</v>
      </c>
      <c r="D17">
        <v>1.1499999999999999</v>
      </c>
      <c r="E17">
        <v>2.3220000000000001</v>
      </c>
      <c r="F17" s="25">
        <v>0.03</v>
      </c>
      <c r="G17">
        <v>0.315</v>
      </c>
      <c r="H17">
        <v>2.86</v>
      </c>
      <c r="I17">
        <v>3.47</v>
      </c>
      <c r="J17">
        <v>-0.78</v>
      </c>
      <c r="K17">
        <v>6.64</v>
      </c>
      <c r="L17">
        <v>6.25</v>
      </c>
      <c r="M17" s="25">
        <v>0.66830000000000001</v>
      </c>
      <c r="N17" s="25">
        <v>0.45929999999999999</v>
      </c>
      <c r="O17">
        <v>2.15</v>
      </c>
      <c r="P17" s="25">
        <v>0.1036</v>
      </c>
      <c r="Q17" s="25">
        <v>0.1326</v>
      </c>
      <c r="R17" s="26">
        <v>32495500</v>
      </c>
      <c r="S17" s="26">
        <v>8518980000</v>
      </c>
      <c r="T17">
        <v>1.48</v>
      </c>
      <c r="U17" s="25">
        <v>-0.1187</v>
      </c>
    </row>
    <row r="18" spans="1:21" hidden="1" x14ac:dyDescent="0.25">
      <c r="A18" t="s">
        <v>315</v>
      </c>
      <c r="B18">
        <v>10.42</v>
      </c>
      <c r="C18">
        <v>9.1199999999999992</v>
      </c>
      <c r="D18">
        <v>1.21</v>
      </c>
      <c r="E18">
        <v>2.4359999999999999</v>
      </c>
      <c r="F18" s="25">
        <v>2.6800000000000001E-2</v>
      </c>
      <c r="G18">
        <v>0.33100000000000002</v>
      </c>
      <c r="H18">
        <v>3.01</v>
      </c>
      <c r="I18">
        <v>3.65</v>
      </c>
      <c r="J18">
        <v>-0.82</v>
      </c>
      <c r="K18">
        <v>6.81</v>
      </c>
      <c r="L18">
        <v>6.41</v>
      </c>
      <c r="M18" s="25">
        <v>0.66830000000000001</v>
      </c>
      <c r="N18" s="25">
        <v>0.45929999999999999</v>
      </c>
      <c r="O18">
        <v>2.15</v>
      </c>
      <c r="P18" s="25">
        <v>0.1036</v>
      </c>
      <c r="Q18" s="25">
        <v>0.1326</v>
      </c>
      <c r="R18" s="26">
        <v>65044.1</v>
      </c>
      <c r="S18" s="26">
        <v>8518980000</v>
      </c>
      <c r="T18">
        <v>1.48</v>
      </c>
      <c r="U18" s="25">
        <v>-0.1187</v>
      </c>
    </row>
    <row r="19" spans="1:21" hidden="1" x14ac:dyDescent="0.25">
      <c r="A19" t="s">
        <v>66</v>
      </c>
      <c r="B19">
        <v>9.52</v>
      </c>
      <c r="C19">
        <v>8.33</v>
      </c>
      <c r="D19">
        <v>1.1100000000000001</v>
      </c>
      <c r="E19">
        <v>2.226</v>
      </c>
      <c r="F19" s="25">
        <v>2.93E-2</v>
      </c>
      <c r="G19">
        <v>0.30199999999999999</v>
      </c>
      <c r="H19">
        <v>2.75</v>
      </c>
      <c r="I19">
        <v>3.33</v>
      </c>
      <c r="J19">
        <v>-0.75</v>
      </c>
      <c r="K19">
        <v>6.5</v>
      </c>
      <c r="L19">
        <v>6.11</v>
      </c>
      <c r="M19" s="25">
        <v>0.66830000000000001</v>
      </c>
      <c r="N19" s="25">
        <v>0.45929999999999999</v>
      </c>
      <c r="O19">
        <v>2.15</v>
      </c>
      <c r="P19" s="25">
        <v>0.1036</v>
      </c>
      <c r="Q19" s="25">
        <v>0.1326</v>
      </c>
      <c r="R19" s="26">
        <v>105027</v>
      </c>
      <c r="S19" s="26">
        <v>8518980000</v>
      </c>
      <c r="T19">
        <v>1.48</v>
      </c>
      <c r="U19" s="25">
        <v>-0.1187</v>
      </c>
    </row>
    <row r="20" spans="1:21" hidden="1" x14ac:dyDescent="0.25">
      <c r="A20" t="s">
        <v>316</v>
      </c>
      <c r="B20">
        <v>1.27</v>
      </c>
      <c r="C20">
        <v>-3.95</v>
      </c>
      <c r="D20">
        <v>2.27</v>
      </c>
      <c r="E20">
        <v>0.45400000000000001</v>
      </c>
      <c r="F20" s="25">
        <v>0</v>
      </c>
      <c r="G20">
        <v>0.31900000000000001</v>
      </c>
      <c r="H20">
        <v>-1.75</v>
      </c>
      <c r="I20">
        <v>6.38</v>
      </c>
      <c r="J20">
        <v>-0.55000000000000004</v>
      </c>
      <c r="K20">
        <v>12.59</v>
      </c>
      <c r="L20">
        <v>4.76</v>
      </c>
      <c r="M20" s="25">
        <v>7.1199999999999999E-2</v>
      </c>
      <c r="N20" s="25">
        <v>-0.1149</v>
      </c>
      <c r="O20">
        <v>0.6</v>
      </c>
      <c r="P20" s="25">
        <v>6.3100000000000003E-2</v>
      </c>
      <c r="Q20" s="25">
        <v>-0.57469999999999999</v>
      </c>
      <c r="R20" s="26">
        <v>259189</v>
      </c>
      <c r="S20" s="26">
        <v>287288000</v>
      </c>
      <c r="T20">
        <v>2.2400000000000002</v>
      </c>
      <c r="U20" s="25">
        <v>-0.12559999999999999</v>
      </c>
    </row>
    <row r="21" spans="1:21" hidden="1" x14ac:dyDescent="0.25">
      <c r="A21" t="s">
        <v>196</v>
      </c>
      <c r="B21">
        <v>142.85</v>
      </c>
      <c r="C21">
        <v>-106.14</v>
      </c>
      <c r="D21">
        <v>18.14</v>
      </c>
      <c r="E21">
        <v>3.4649999999999999</v>
      </c>
      <c r="F21" s="25">
        <v>0</v>
      </c>
      <c r="G21">
        <v>1.389</v>
      </c>
      <c r="H21">
        <v>4.8099999999999996</v>
      </c>
      <c r="I21">
        <v>20.95</v>
      </c>
      <c r="J21">
        <v>-3.3</v>
      </c>
      <c r="K21">
        <v>26.43</v>
      </c>
      <c r="L21">
        <v>15.93</v>
      </c>
      <c r="M21" s="25">
        <v>0.16539999999999999</v>
      </c>
      <c r="N21" s="25">
        <v>-1.9699999999999999E-2</v>
      </c>
      <c r="O21">
        <v>2.88</v>
      </c>
      <c r="P21" s="25">
        <v>9.64E-2</v>
      </c>
      <c r="Q21" s="25">
        <v>-0.1709</v>
      </c>
      <c r="R21" s="26">
        <v>28266900</v>
      </c>
      <c r="S21" s="26">
        <v>1315480000</v>
      </c>
      <c r="T21">
        <v>8.5</v>
      </c>
      <c r="U21" s="25">
        <v>0.6452</v>
      </c>
    </row>
    <row r="22" spans="1:21" hidden="1" x14ac:dyDescent="0.25">
      <c r="A22" t="s">
        <v>317</v>
      </c>
      <c r="B22">
        <v>5.0599999999999996</v>
      </c>
      <c r="C22">
        <v>0.14000000000000001</v>
      </c>
      <c r="D22">
        <v>0.23</v>
      </c>
      <c r="E22">
        <v>7.3999999999999996E-2</v>
      </c>
      <c r="F22" s="25">
        <v>0</v>
      </c>
      <c r="G22">
        <v>5.8000000000000003E-2</v>
      </c>
      <c r="H22">
        <v>0.43</v>
      </c>
      <c r="I22">
        <v>-0.78</v>
      </c>
      <c r="J22">
        <v>-0.18</v>
      </c>
      <c r="K22">
        <v>-1.52</v>
      </c>
      <c r="L22">
        <v>-6.68</v>
      </c>
      <c r="M22" s="25">
        <v>-9.5399999999999999E-2</v>
      </c>
      <c r="N22" s="25">
        <v>0.53639999999999999</v>
      </c>
      <c r="O22">
        <v>1.49</v>
      </c>
      <c r="P22" s="25">
        <v>-9.4299999999999995E-2</v>
      </c>
      <c r="Q22" s="25">
        <v>1.6384000000000001</v>
      </c>
      <c r="R22" s="26">
        <v>12327400</v>
      </c>
      <c r="S22" s="26">
        <v>4475000000</v>
      </c>
      <c r="T22">
        <v>0.41</v>
      </c>
      <c r="U22" s="25">
        <v>-1.9599999999999999E-2</v>
      </c>
    </row>
    <row r="23" spans="1:21" hidden="1" x14ac:dyDescent="0.25">
      <c r="A23" t="s">
        <v>318</v>
      </c>
      <c r="B23">
        <v>11.29</v>
      </c>
      <c r="C23">
        <v>-3.4</v>
      </c>
      <c r="D23">
        <v>0.19</v>
      </c>
      <c r="E23">
        <v>2.9000000000000001E-2</v>
      </c>
      <c r="F23" s="25">
        <v>0</v>
      </c>
      <c r="G23">
        <v>4.8000000000000001E-2</v>
      </c>
      <c r="H23">
        <v>0.22</v>
      </c>
      <c r="I23">
        <v>1.47</v>
      </c>
      <c r="J23">
        <v>-0.32</v>
      </c>
      <c r="K23">
        <v>10.42</v>
      </c>
      <c r="L23">
        <v>5.62</v>
      </c>
      <c r="M23" s="25">
        <v>0.02</v>
      </c>
      <c r="N23" s="25">
        <v>-8.6E-3</v>
      </c>
      <c r="O23">
        <v>1.61</v>
      </c>
      <c r="P23" s="25">
        <v>4.4999999999999998E-2</v>
      </c>
      <c r="Q23" s="25">
        <v>-5.5500000000000001E-2</v>
      </c>
      <c r="R23" s="26">
        <v>1843330</v>
      </c>
      <c r="S23" s="26">
        <v>2262550000</v>
      </c>
      <c r="T23">
        <v>1.53</v>
      </c>
      <c r="U23" s="25">
        <v>0</v>
      </c>
    </row>
    <row r="24" spans="1:21" hidden="1" x14ac:dyDescent="0.25">
      <c r="A24" t="s">
        <v>167</v>
      </c>
      <c r="B24">
        <v>3.65</v>
      </c>
      <c r="C24">
        <v>12.67</v>
      </c>
      <c r="D24">
        <v>0.62</v>
      </c>
      <c r="E24">
        <v>0.38300000000000001</v>
      </c>
      <c r="F24" s="25">
        <v>0.14380000000000001</v>
      </c>
      <c r="G24">
        <v>0.14799999999999999</v>
      </c>
      <c r="H24">
        <v>1.23</v>
      </c>
      <c r="I24">
        <v>1.39</v>
      </c>
      <c r="J24">
        <v>-0.31</v>
      </c>
      <c r="K24">
        <v>5.13</v>
      </c>
      <c r="L24">
        <v>3.58</v>
      </c>
      <c r="M24" s="25">
        <v>0.27600000000000002</v>
      </c>
      <c r="N24" s="25">
        <v>6.4199999999999993E-2</v>
      </c>
      <c r="O24">
        <v>2.06</v>
      </c>
      <c r="P24" s="25">
        <v>0.1275</v>
      </c>
      <c r="Q24" s="25">
        <v>4.9099999999999998E-2</v>
      </c>
      <c r="R24" s="26">
        <v>25162300</v>
      </c>
      <c r="S24" s="26">
        <v>2369750000</v>
      </c>
      <c r="T24">
        <v>2.27</v>
      </c>
      <c r="U24" s="25">
        <v>0.23</v>
      </c>
    </row>
    <row r="25" spans="1:21" hidden="1" x14ac:dyDescent="0.25">
      <c r="A25" t="s">
        <v>264</v>
      </c>
      <c r="B25">
        <v>3.93</v>
      </c>
      <c r="C25">
        <v>10.46</v>
      </c>
      <c r="D25">
        <v>1.08</v>
      </c>
      <c r="E25">
        <v>0.749</v>
      </c>
      <c r="F25" s="25">
        <v>3.6499999999999998E-2</v>
      </c>
      <c r="G25">
        <v>0.29799999999999999</v>
      </c>
      <c r="H25">
        <v>1.67</v>
      </c>
      <c r="I25">
        <v>2.83</v>
      </c>
      <c r="J25">
        <v>-0.73</v>
      </c>
      <c r="K25">
        <v>6.46</v>
      </c>
      <c r="L25">
        <v>4.46</v>
      </c>
      <c r="M25" s="25">
        <v>0.26490000000000002</v>
      </c>
      <c r="N25" s="25">
        <v>7.1599999999999997E-2</v>
      </c>
      <c r="O25">
        <v>2.42</v>
      </c>
      <c r="P25" s="25">
        <v>0.13800000000000001</v>
      </c>
      <c r="Q25" s="25">
        <v>0.1031</v>
      </c>
      <c r="R25" s="26">
        <v>8132890</v>
      </c>
      <c r="S25" s="26">
        <v>1263400000</v>
      </c>
      <c r="T25">
        <v>1.96</v>
      </c>
      <c r="U25" s="25">
        <v>0.49309999999999998</v>
      </c>
    </row>
    <row r="26" spans="1:21" hidden="1" x14ac:dyDescent="0.25">
      <c r="A26" t="s">
        <v>182</v>
      </c>
      <c r="B26">
        <v>9.68</v>
      </c>
      <c r="C26">
        <v>15.85</v>
      </c>
      <c r="D26">
        <v>2.4300000000000002</v>
      </c>
      <c r="E26">
        <v>0.17399999999999999</v>
      </c>
      <c r="F26" s="25">
        <v>1.11E-2</v>
      </c>
      <c r="G26">
        <v>0.29299999999999998</v>
      </c>
      <c r="H26">
        <v>16.16</v>
      </c>
      <c r="I26">
        <v>2.38</v>
      </c>
      <c r="J26">
        <v>-0.55000000000000004</v>
      </c>
      <c r="K26">
        <v>4.55</v>
      </c>
      <c r="L26">
        <v>3.49</v>
      </c>
      <c r="M26" s="25">
        <v>7.3099999999999998E-2</v>
      </c>
      <c r="N26" s="25">
        <v>1.0999999999999999E-2</v>
      </c>
      <c r="O26">
        <v>1.05</v>
      </c>
      <c r="P26" s="25">
        <v>0.1903</v>
      </c>
      <c r="Q26" s="25">
        <v>0.15340000000000001</v>
      </c>
      <c r="R26" s="26">
        <v>136291000</v>
      </c>
      <c r="S26" s="26">
        <v>5385000000</v>
      </c>
      <c r="T26">
        <v>3.03</v>
      </c>
      <c r="U26" s="25">
        <v>0.2361</v>
      </c>
    </row>
    <row r="27" spans="1:21" hidden="1" x14ac:dyDescent="0.25">
      <c r="A27" t="s">
        <v>319</v>
      </c>
      <c r="B27">
        <v>2.0499999999999998</v>
      </c>
      <c r="C27">
        <v>-9.67</v>
      </c>
      <c r="D27">
        <v>2.2999999999999998</v>
      </c>
      <c r="E27">
        <v>1.5640000000000001</v>
      </c>
      <c r="F27" s="25">
        <v>0</v>
      </c>
      <c r="G27">
        <v>1.859</v>
      </c>
      <c r="H27">
        <v>4.3</v>
      </c>
      <c r="I27">
        <v>26.36</v>
      </c>
      <c r="J27">
        <v>4.68</v>
      </c>
      <c r="K27">
        <v>25.96</v>
      </c>
      <c r="L27">
        <v>15.83</v>
      </c>
      <c r="M27" s="25">
        <v>5.9299999999999999E-2</v>
      </c>
      <c r="N27" s="25">
        <v>-0.1111</v>
      </c>
      <c r="O27">
        <v>6.45</v>
      </c>
      <c r="P27" s="25">
        <v>7.8299999999999995E-2</v>
      </c>
      <c r="Q27" s="25">
        <v>-0.2379</v>
      </c>
      <c r="R27" s="26">
        <v>38722.800000000003</v>
      </c>
      <c r="S27" s="26">
        <v>21223000</v>
      </c>
      <c r="T27">
        <v>0.06</v>
      </c>
      <c r="U27" s="25">
        <v>0</v>
      </c>
    </row>
    <row r="28" spans="1:21" hidden="1" x14ac:dyDescent="0.25">
      <c r="A28" t="s">
        <v>265</v>
      </c>
      <c r="B28">
        <v>1.25</v>
      </c>
      <c r="C28">
        <v>-0.21</v>
      </c>
      <c r="D28">
        <v>0.31</v>
      </c>
      <c r="E28">
        <v>8.5000000000000006E-2</v>
      </c>
      <c r="F28" s="25">
        <v>0</v>
      </c>
      <c r="G28">
        <v>0.03</v>
      </c>
      <c r="H28">
        <v>-0.12</v>
      </c>
      <c r="I28">
        <v>-0.62</v>
      </c>
      <c r="J28">
        <v>-0.04</v>
      </c>
      <c r="K28">
        <v>-3.53</v>
      </c>
      <c r="L28">
        <v>-17.98</v>
      </c>
      <c r="M28" s="25">
        <v>-0.1366</v>
      </c>
      <c r="N28" s="25">
        <v>-0.41139999999999999</v>
      </c>
      <c r="O28">
        <v>0.38</v>
      </c>
      <c r="P28" s="25">
        <v>-5.28E-2</v>
      </c>
      <c r="Q28" s="25">
        <v>-1.5024</v>
      </c>
      <c r="R28" s="26">
        <v>16591.3</v>
      </c>
      <c r="S28" s="26">
        <v>107351000</v>
      </c>
      <c r="T28">
        <v>2.09</v>
      </c>
      <c r="U28" s="25">
        <v>-0.25879999999999997</v>
      </c>
    </row>
    <row r="29" spans="1:21" hidden="1" x14ac:dyDescent="0.25">
      <c r="A29" t="s">
        <v>320</v>
      </c>
      <c r="B29">
        <v>46.3</v>
      </c>
      <c r="C29">
        <v>-18.89</v>
      </c>
      <c r="D29">
        <v>12.52</v>
      </c>
      <c r="E29">
        <v>2.8610000000000002</v>
      </c>
      <c r="F29" s="25">
        <v>9.5999999999999992E-3</v>
      </c>
      <c r="G29">
        <v>1.538</v>
      </c>
      <c r="H29">
        <v>35.270000000000003</v>
      </c>
      <c r="I29">
        <v>7.17</v>
      </c>
      <c r="J29">
        <v>-2.63</v>
      </c>
      <c r="K29">
        <v>8.27</v>
      </c>
      <c r="L29">
        <v>8.27</v>
      </c>
      <c r="M29" s="25">
        <v>0.39900000000000002</v>
      </c>
      <c r="N29" s="25">
        <v>-0.15140000000000001</v>
      </c>
      <c r="O29">
        <v>1.17</v>
      </c>
      <c r="P29" s="25">
        <v>0.2918</v>
      </c>
      <c r="Q29" s="25">
        <v>-0.66269999999999996</v>
      </c>
      <c r="R29" s="26">
        <v>18427300</v>
      </c>
      <c r="S29" s="26">
        <v>803132000</v>
      </c>
      <c r="T29">
        <v>3.34</v>
      </c>
      <c r="U29" s="25">
        <v>0.1147</v>
      </c>
    </row>
    <row r="30" spans="1:21" hidden="1" x14ac:dyDescent="0.25">
      <c r="A30" t="s">
        <v>87</v>
      </c>
      <c r="B30">
        <v>9.7200000000000006</v>
      </c>
      <c r="C30" s="26">
        <v>1755.45</v>
      </c>
      <c r="D30">
        <v>0.77</v>
      </c>
      <c r="E30">
        <v>1.0620000000000001</v>
      </c>
      <c r="F30" s="25">
        <v>5.8999999999999999E-3</v>
      </c>
      <c r="G30">
        <v>0.19500000000000001</v>
      </c>
      <c r="H30">
        <v>2.96</v>
      </c>
      <c r="I30">
        <v>7.02</v>
      </c>
      <c r="J30">
        <v>-0.38</v>
      </c>
      <c r="K30">
        <v>20.78</v>
      </c>
      <c r="L30">
        <v>13</v>
      </c>
      <c r="M30" s="25">
        <v>0.1512</v>
      </c>
      <c r="N30" s="25">
        <v>7.4999999999999997E-3</v>
      </c>
      <c r="O30">
        <v>1.45</v>
      </c>
      <c r="P30" s="25">
        <v>3.2300000000000002E-2</v>
      </c>
      <c r="Q30" s="25">
        <v>4.0000000000000002E-4</v>
      </c>
      <c r="R30" s="26">
        <v>39964100</v>
      </c>
      <c r="S30" s="26">
        <v>13251500000</v>
      </c>
      <c r="T30">
        <v>1.97</v>
      </c>
      <c r="U30" s="25">
        <v>0.3977</v>
      </c>
    </row>
    <row r="31" spans="1:21" hidden="1" x14ac:dyDescent="0.25">
      <c r="A31" t="s">
        <v>321</v>
      </c>
      <c r="B31">
        <v>1.72</v>
      </c>
      <c r="C31" s="26">
        <v>-28.68</v>
      </c>
      <c r="D31">
        <v>-3.86</v>
      </c>
      <c r="E31">
        <v>0.48399999999999999</v>
      </c>
      <c r="F31" s="25">
        <v>0</v>
      </c>
      <c r="G31">
        <v>0.24199999999999999</v>
      </c>
      <c r="H31">
        <v>-3.8</v>
      </c>
      <c r="I31">
        <v>1.76</v>
      </c>
      <c r="J31">
        <v>-0.37</v>
      </c>
      <c r="K31">
        <v>4.03</v>
      </c>
      <c r="L31" s="26">
        <v>4</v>
      </c>
      <c r="M31" s="25">
        <v>0.2752</v>
      </c>
      <c r="N31" s="25">
        <v>1.3899999999999999E-2</v>
      </c>
      <c r="O31">
        <v>0.86</v>
      </c>
      <c r="P31" s="25">
        <v>0.1759</v>
      </c>
      <c r="Q31" s="25">
        <v>0.13469999999999999</v>
      </c>
      <c r="R31" s="26">
        <v>24448.400000000001</v>
      </c>
      <c r="S31" s="26">
        <v>-86998000</v>
      </c>
      <c r="T31">
        <v>-7.67</v>
      </c>
      <c r="U31" s="25">
        <v>0.33529999999999999</v>
      </c>
    </row>
    <row r="32" spans="1:21" hidden="1" x14ac:dyDescent="0.25">
      <c r="A32" t="s">
        <v>249</v>
      </c>
      <c r="B32">
        <v>0.53</v>
      </c>
      <c r="C32">
        <v>-1.19</v>
      </c>
      <c r="D32">
        <v>0.44</v>
      </c>
      <c r="E32">
        <v>2.044</v>
      </c>
      <c r="F32" s="25">
        <v>0</v>
      </c>
      <c r="G32">
        <v>0.23899999999999999</v>
      </c>
      <c r="H32">
        <v>-1.53</v>
      </c>
      <c r="I32">
        <v>-3</v>
      </c>
      <c r="J32">
        <v>-0.73</v>
      </c>
      <c r="K32">
        <v>-4.28</v>
      </c>
      <c r="L32" s="26">
        <v>-6.61</v>
      </c>
      <c r="M32" s="25">
        <v>-0.68030000000000002</v>
      </c>
      <c r="N32" s="25">
        <v>-1.7121</v>
      </c>
      <c r="O32">
        <v>0.44</v>
      </c>
      <c r="P32" s="25">
        <v>-8.7300000000000003E-2</v>
      </c>
      <c r="Q32" s="25">
        <v>-0.36630000000000001</v>
      </c>
      <c r="R32" s="26">
        <v>807619</v>
      </c>
      <c r="S32" s="26">
        <v>718475000</v>
      </c>
      <c r="T32">
        <v>0.2</v>
      </c>
      <c r="U32" s="25">
        <v>0.54369999999999996</v>
      </c>
    </row>
    <row r="33" spans="1:21" hidden="1" x14ac:dyDescent="0.25">
      <c r="A33" t="s">
        <v>237</v>
      </c>
      <c r="B33">
        <v>0.56000000000000005</v>
      </c>
      <c r="C33">
        <v>-1.26</v>
      </c>
      <c r="D33">
        <v>0.46</v>
      </c>
      <c r="E33">
        <v>2.16</v>
      </c>
      <c r="F33" s="25">
        <v>0</v>
      </c>
      <c r="G33">
        <v>0.253</v>
      </c>
      <c r="H33">
        <v>-1.62</v>
      </c>
      <c r="I33">
        <v>-3.17</v>
      </c>
      <c r="J33">
        <v>-0.77</v>
      </c>
      <c r="K33" s="26">
        <v>-4.45</v>
      </c>
      <c r="L33">
        <v>-6.87</v>
      </c>
      <c r="M33" s="25">
        <v>-0.68030000000000002</v>
      </c>
      <c r="N33" s="25">
        <v>-1.7121</v>
      </c>
      <c r="O33">
        <v>0.44</v>
      </c>
      <c r="P33" s="25">
        <v>-8.7300000000000003E-2</v>
      </c>
      <c r="Q33" s="25">
        <v>-0.36630000000000001</v>
      </c>
      <c r="R33" s="26">
        <v>1873950</v>
      </c>
      <c r="S33" s="26">
        <v>718475000</v>
      </c>
      <c r="T33">
        <v>0.2</v>
      </c>
      <c r="U33" s="25">
        <v>0.54369999999999996</v>
      </c>
    </row>
    <row r="34" spans="1:21" hidden="1" x14ac:dyDescent="0.25">
      <c r="A34" t="s">
        <v>322</v>
      </c>
      <c r="B34">
        <v>0.55000000000000004</v>
      </c>
      <c r="C34">
        <v>-2.52</v>
      </c>
      <c r="D34">
        <v>0.72</v>
      </c>
      <c r="E34">
        <v>41.085999999999999</v>
      </c>
      <c r="F34" s="25">
        <v>0</v>
      </c>
      <c r="G34">
        <v>0.53800000000000003</v>
      </c>
      <c r="H34">
        <v>-6.5</v>
      </c>
      <c r="I34">
        <v>-14.37</v>
      </c>
      <c r="J34">
        <v>-2.16</v>
      </c>
      <c r="K34">
        <v>-15.48</v>
      </c>
      <c r="L34">
        <v>-109.41</v>
      </c>
      <c r="M34" s="25">
        <v>-2.8586</v>
      </c>
      <c r="N34" s="25">
        <v>-16.324400000000001</v>
      </c>
      <c r="O34">
        <v>0.08</v>
      </c>
      <c r="P34" s="25">
        <v>-3.8100000000000002E-2</v>
      </c>
      <c r="Q34" s="25">
        <v>-0.28770000000000001</v>
      </c>
      <c r="R34" s="26">
        <v>2888060</v>
      </c>
      <c r="S34" s="26">
        <v>150106000</v>
      </c>
      <c r="T34">
        <v>0.06</v>
      </c>
      <c r="U34" s="25">
        <v>0</v>
      </c>
    </row>
    <row r="35" spans="1:21" hidden="1" x14ac:dyDescent="0.25">
      <c r="A35" t="s">
        <v>258</v>
      </c>
      <c r="B35">
        <v>0.67</v>
      </c>
      <c r="C35">
        <v>0.05</v>
      </c>
      <c r="D35">
        <v>-0.02</v>
      </c>
      <c r="E35">
        <v>3.1E-2</v>
      </c>
      <c r="F35" s="25">
        <v>0</v>
      </c>
      <c r="G35">
        <v>2.4E-2</v>
      </c>
      <c r="H35">
        <v>-0.06</v>
      </c>
      <c r="I35">
        <v>0.14000000000000001</v>
      </c>
      <c r="J35">
        <v>-0.01</v>
      </c>
      <c r="K35">
        <v>7.48</v>
      </c>
      <c r="L35">
        <v>4.6399999999999997</v>
      </c>
      <c r="M35" s="25">
        <v>0.22259999999999999</v>
      </c>
      <c r="N35" s="25">
        <v>0.58760000000000001</v>
      </c>
      <c r="O35">
        <v>0.35</v>
      </c>
      <c r="P35" s="25">
        <v>0.22220000000000001</v>
      </c>
      <c r="Q35" s="25">
        <v>-0.41810000000000003</v>
      </c>
      <c r="R35" s="26">
        <v>31779100</v>
      </c>
      <c r="S35" s="26">
        <v>-28451100000</v>
      </c>
      <c r="T35">
        <v>-1.22</v>
      </c>
      <c r="U35" s="25">
        <v>0.4042</v>
      </c>
    </row>
    <row r="36" spans="1:21" hidden="1" x14ac:dyDescent="0.25">
      <c r="A36" t="s">
        <v>323</v>
      </c>
      <c r="B36">
        <v>37.119999999999997</v>
      </c>
      <c r="C36">
        <v>19.829999999999998</v>
      </c>
      <c r="D36">
        <v>0.98</v>
      </c>
      <c r="E36">
        <v>0.76600000000000001</v>
      </c>
      <c r="F36" s="25">
        <v>1.55E-2</v>
      </c>
      <c r="G36">
        <v>0.5</v>
      </c>
      <c r="H36">
        <v>3.08</v>
      </c>
      <c r="I36">
        <v>10.71</v>
      </c>
      <c r="J36">
        <v>-15.74</v>
      </c>
      <c r="K36">
        <v>13.69</v>
      </c>
      <c r="L36">
        <v>7.92</v>
      </c>
      <c r="M36" s="25">
        <v>7.1599999999999997E-2</v>
      </c>
      <c r="N36" s="25">
        <v>3.85E-2</v>
      </c>
      <c r="O36">
        <v>1.55</v>
      </c>
      <c r="P36" s="25">
        <v>5.6800000000000003E-2</v>
      </c>
      <c r="Q36" s="25">
        <v>4.9500000000000002E-2</v>
      </c>
      <c r="R36" s="26">
        <v>103598000</v>
      </c>
      <c r="S36" s="26">
        <v>7804360000</v>
      </c>
      <c r="T36">
        <v>0.42</v>
      </c>
      <c r="U36" s="25">
        <v>0.48170000000000002</v>
      </c>
    </row>
    <row r="37" spans="1:21" hidden="1" x14ac:dyDescent="0.25">
      <c r="A37" t="s">
        <v>183</v>
      </c>
      <c r="B37">
        <v>13.39</v>
      </c>
      <c r="C37">
        <v>14.9</v>
      </c>
      <c r="D37">
        <v>3.75</v>
      </c>
      <c r="E37">
        <v>6.5519999999999996</v>
      </c>
      <c r="F37" s="25">
        <v>2.2700000000000001E-2</v>
      </c>
      <c r="G37">
        <v>1.5229999999999999</v>
      </c>
      <c r="H37">
        <v>8.25</v>
      </c>
      <c r="I37">
        <v>11.05</v>
      </c>
      <c r="J37">
        <v>-6.2</v>
      </c>
      <c r="K37">
        <v>11.1</v>
      </c>
      <c r="L37">
        <v>10.47</v>
      </c>
      <c r="M37" s="25">
        <v>0.59299999999999997</v>
      </c>
      <c r="N37" s="25">
        <v>0.43969999999999998</v>
      </c>
      <c r="O37">
        <v>2.13</v>
      </c>
      <c r="P37" s="25">
        <v>0.20280000000000001</v>
      </c>
      <c r="Q37" s="25">
        <v>0.25180000000000002</v>
      </c>
      <c r="R37" s="26">
        <v>528021000</v>
      </c>
      <c r="S37" s="26">
        <v>18794600000</v>
      </c>
      <c r="T37">
        <v>0.79</v>
      </c>
      <c r="U37" s="25">
        <v>1.6E-2</v>
      </c>
    </row>
    <row r="38" spans="1:21" hidden="1" x14ac:dyDescent="0.25">
      <c r="A38" t="s">
        <v>324</v>
      </c>
      <c r="B38">
        <v>21</v>
      </c>
      <c r="C38">
        <v>6.63</v>
      </c>
      <c r="D38">
        <v>1.1299999999999999</v>
      </c>
      <c r="E38">
        <v>0.99299999999999999</v>
      </c>
      <c r="F38" s="25">
        <v>6.4600000000000005E-2</v>
      </c>
      <c r="G38">
        <v>0.73099999999999998</v>
      </c>
      <c r="H38">
        <v>1.43</v>
      </c>
      <c r="I38">
        <v>6.04</v>
      </c>
      <c r="J38">
        <v>1.95</v>
      </c>
      <c r="K38">
        <v>4.2</v>
      </c>
      <c r="L38">
        <v>3.65</v>
      </c>
      <c r="M38" s="25">
        <v>0.16450000000000001</v>
      </c>
      <c r="N38" s="25">
        <v>0.1517</v>
      </c>
      <c r="O38">
        <v>3.3</v>
      </c>
      <c r="P38" s="25">
        <v>0.17910000000000001</v>
      </c>
      <c r="Q38" s="25">
        <v>0.1699</v>
      </c>
      <c r="R38" s="26">
        <v>2433.36</v>
      </c>
      <c r="S38" s="26">
        <v>182554000</v>
      </c>
      <c r="T38">
        <v>0.09</v>
      </c>
      <c r="U38" s="25">
        <v>6.9500000000000006E-2</v>
      </c>
    </row>
    <row r="39" spans="1:21" hidden="1" x14ac:dyDescent="0.25">
      <c r="A39" t="s">
        <v>325</v>
      </c>
      <c r="B39">
        <v>15.8</v>
      </c>
      <c r="C39">
        <v>4.99</v>
      </c>
      <c r="D39">
        <v>0.85</v>
      </c>
      <c r="E39">
        <v>0.747</v>
      </c>
      <c r="F39" s="25">
        <v>8.5900000000000004E-2</v>
      </c>
      <c r="G39">
        <v>0.55000000000000004</v>
      </c>
      <c r="H39">
        <v>1.08</v>
      </c>
      <c r="I39">
        <v>4.54</v>
      </c>
      <c r="J39">
        <v>1.47</v>
      </c>
      <c r="K39">
        <v>2.7</v>
      </c>
      <c r="L39">
        <v>2.35</v>
      </c>
      <c r="M39" s="25">
        <v>0.16450000000000001</v>
      </c>
      <c r="N39" s="25">
        <v>0.1517</v>
      </c>
      <c r="O39">
        <v>3.3</v>
      </c>
      <c r="P39" s="25">
        <v>0.17910000000000001</v>
      </c>
      <c r="Q39" s="25">
        <v>0.1699</v>
      </c>
      <c r="R39" s="26">
        <v>12217.4</v>
      </c>
      <c r="S39" s="26">
        <v>182554000</v>
      </c>
      <c r="T39">
        <v>0.09</v>
      </c>
      <c r="U39" s="25">
        <v>6.9500000000000006E-2</v>
      </c>
    </row>
    <row r="40" spans="1:21" hidden="1" x14ac:dyDescent="0.25">
      <c r="A40" t="s">
        <v>326</v>
      </c>
      <c r="B40">
        <v>82.47</v>
      </c>
      <c r="C40">
        <v>16.100000000000001</v>
      </c>
      <c r="D40">
        <v>3.3</v>
      </c>
      <c r="E40">
        <v>1.681</v>
      </c>
      <c r="F40" s="25">
        <v>1.4999999999999999E-2</v>
      </c>
      <c r="G40">
        <v>2.2679999999999998</v>
      </c>
      <c r="H40">
        <v>9.61</v>
      </c>
      <c r="I40">
        <v>21.78</v>
      </c>
      <c r="J40">
        <v>10.3</v>
      </c>
      <c r="K40">
        <v>19.510000000000002</v>
      </c>
      <c r="L40">
        <v>15.29</v>
      </c>
      <c r="M40" s="25">
        <v>7.7200000000000005E-2</v>
      </c>
      <c r="N40" s="25">
        <v>0.10440000000000001</v>
      </c>
      <c r="O40">
        <v>1.79</v>
      </c>
      <c r="P40" s="25">
        <v>0.17910000000000001</v>
      </c>
      <c r="Q40" s="25">
        <v>0.2051</v>
      </c>
      <c r="R40" s="26">
        <v>19242.099999999999</v>
      </c>
      <c r="S40" s="26">
        <v>130425000</v>
      </c>
      <c r="T40">
        <v>0</v>
      </c>
      <c r="U40" s="25">
        <v>9.0999999999999998E-2</v>
      </c>
    </row>
    <row r="41" spans="1:21" hidden="1" x14ac:dyDescent="0.25">
      <c r="A41" t="s">
        <v>327</v>
      </c>
      <c r="B41">
        <v>70.22</v>
      </c>
      <c r="C41">
        <v>3.19</v>
      </c>
      <c r="D41">
        <v>0.59</v>
      </c>
      <c r="E41">
        <v>0</v>
      </c>
      <c r="F41" s="25">
        <v>0.1137</v>
      </c>
      <c r="G41">
        <v>0</v>
      </c>
      <c r="H41">
        <v>0</v>
      </c>
      <c r="I41">
        <v>0</v>
      </c>
      <c r="J41">
        <v>0</v>
      </c>
      <c r="K41">
        <v>0</v>
      </c>
      <c r="L41">
        <v>0</v>
      </c>
      <c r="M41" s="25">
        <v>0</v>
      </c>
      <c r="N41" s="25">
        <v>0</v>
      </c>
      <c r="O41">
        <v>0</v>
      </c>
      <c r="P41" s="25">
        <v>0</v>
      </c>
      <c r="Q41" s="25">
        <v>0.1842</v>
      </c>
      <c r="R41" s="26">
        <v>793198</v>
      </c>
      <c r="S41" s="26">
        <v>6691270000</v>
      </c>
      <c r="T41">
        <v>0</v>
      </c>
      <c r="U41" s="25">
        <v>9.7000000000000003E-2</v>
      </c>
    </row>
    <row r="42" spans="1:21" hidden="1" x14ac:dyDescent="0.25">
      <c r="A42" t="s">
        <v>232</v>
      </c>
      <c r="B42">
        <v>20.21</v>
      </c>
      <c r="C42">
        <v>3.48</v>
      </c>
      <c r="D42">
        <v>0.66</v>
      </c>
      <c r="E42">
        <v>0</v>
      </c>
      <c r="F42" s="25">
        <v>0.1177</v>
      </c>
      <c r="G42">
        <v>0</v>
      </c>
      <c r="H42">
        <v>0</v>
      </c>
      <c r="I42">
        <v>0</v>
      </c>
      <c r="J42">
        <v>0</v>
      </c>
      <c r="K42">
        <v>0</v>
      </c>
      <c r="L42">
        <v>0</v>
      </c>
      <c r="M42" s="25">
        <v>0</v>
      </c>
      <c r="N42" s="25">
        <v>0</v>
      </c>
      <c r="O42">
        <v>0</v>
      </c>
      <c r="P42" s="25">
        <v>0</v>
      </c>
      <c r="Q42" s="25">
        <v>0.1905</v>
      </c>
      <c r="R42" s="26">
        <v>701408000</v>
      </c>
      <c r="S42" s="26">
        <v>174643000000</v>
      </c>
      <c r="T42">
        <v>0</v>
      </c>
      <c r="U42" s="25">
        <v>0.15529999999999999</v>
      </c>
    </row>
    <row r="43" spans="1:21" hidden="1" x14ac:dyDescent="0.25">
      <c r="A43" t="s">
        <v>95</v>
      </c>
      <c r="B43">
        <v>13.63</v>
      </c>
      <c r="C43">
        <v>6.98</v>
      </c>
      <c r="D43">
        <v>0.88</v>
      </c>
      <c r="E43">
        <v>0</v>
      </c>
      <c r="F43" s="25">
        <v>8.3199999999999996E-2</v>
      </c>
      <c r="G43">
        <v>0</v>
      </c>
      <c r="H43">
        <v>0</v>
      </c>
      <c r="I43">
        <v>0</v>
      </c>
      <c r="J43">
        <v>0</v>
      </c>
      <c r="K43">
        <v>0</v>
      </c>
      <c r="L43">
        <v>0</v>
      </c>
      <c r="M43" s="25">
        <v>0</v>
      </c>
      <c r="N43" s="25">
        <v>0</v>
      </c>
      <c r="O43">
        <v>0</v>
      </c>
      <c r="P43" s="25">
        <v>0</v>
      </c>
      <c r="Q43" s="25">
        <v>0.12590000000000001</v>
      </c>
      <c r="R43" s="26">
        <v>131860000</v>
      </c>
      <c r="S43" s="26">
        <v>164193000000</v>
      </c>
      <c r="T43">
        <v>0</v>
      </c>
      <c r="U43" s="25">
        <v>-4.48E-2</v>
      </c>
    </row>
    <row r="44" spans="1:21" hidden="1" x14ac:dyDescent="0.25">
      <c r="A44" t="s">
        <v>110</v>
      </c>
      <c r="B44">
        <v>15.88</v>
      </c>
      <c r="C44">
        <v>8.1300000000000008</v>
      </c>
      <c r="D44">
        <v>1.02</v>
      </c>
      <c r="E44">
        <v>0</v>
      </c>
      <c r="F44" s="25">
        <v>7.85E-2</v>
      </c>
      <c r="G44">
        <v>0</v>
      </c>
      <c r="H44">
        <v>0</v>
      </c>
      <c r="I44">
        <v>0</v>
      </c>
      <c r="J44">
        <v>0</v>
      </c>
      <c r="K44">
        <v>0</v>
      </c>
      <c r="L44">
        <v>0</v>
      </c>
      <c r="M44" s="25">
        <v>0</v>
      </c>
      <c r="N44" s="25">
        <v>0</v>
      </c>
      <c r="O44">
        <v>0</v>
      </c>
      <c r="P44" s="25">
        <v>0</v>
      </c>
      <c r="Q44" s="25">
        <v>0.12590000000000001</v>
      </c>
      <c r="R44" s="26">
        <v>490577000</v>
      </c>
      <c r="S44" s="26">
        <v>164193000000</v>
      </c>
      <c r="T44">
        <v>0</v>
      </c>
      <c r="U44" s="25">
        <v>-4.48E-2</v>
      </c>
    </row>
    <row r="45" spans="1:21" hidden="1" x14ac:dyDescent="0.25">
      <c r="A45" t="s">
        <v>42</v>
      </c>
      <c r="B45">
        <v>33.78</v>
      </c>
      <c r="C45">
        <v>7.82</v>
      </c>
      <c r="D45">
        <v>5.79</v>
      </c>
      <c r="E45">
        <v>0</v>
      </c>
      <c r="F45" s="25">
        <v>0.1096</v>
      </c>
      <c r="G45">
        <v>3.6469999999999998</v>
      </c>
      <c r="H45">
        <v>0</v>
      </c>
      <c r="I45">
        <v>6.98</v>
      </c>
      <c r="J45">
        <v>0</v>
      </c>
      <c r="K45">
        <v>0</v>
      </c>
      <c r="L45">
        <v>0</v>
      </c>
      <c r="M45" s="25">
        <v>0</v>
      </c>
      <c r="N45" s="25">
        <v>0</v>
      </c>
      <c r="O45">
        <v>0</v>
      </c>
      <c r="P45" s="25">
        <v>0</v>
      </c>
      <c r="Q45" s="25">
        <v>0.74129999999999996</v>
      </c>
      <c r="R45" s="26">
        <v>181335000</v>
      </c>
      <c r="S45" s="26">
        <v>11662000000</v>
      </c>
      <c r="T45">
        <v>0</v>
      </c>
      <c r="U45" s="25">
        <v>0</v>
      </c>
    </row>
    <row r="46" spans="1:21" hidden="1" x14ac:dyDescent="0.25">
      <c r="A46" t="s">
        <v>328</v>
      </c>
      <c r="B46">
        <v>9</v>
      </c>
      <c r="C46">
        <v>-0.54</v>
      </c>
      <c r="D46">
        <v>-0.06</v>
      </c>
      <c r="E46">
        <v>0.34300000000000003</v>
      </c>
      <c r="F46" s="25">
        <v>0</v>
      </c>
      <c r="G46">
        <v>2.7E-2</v>
      </c>
      <c r="H46">
        <v>-0.05</v>
      </c>
      <c r="I46">
        <v>-1.1599999999999999</v>
      </c>
      <c r="J46">
        <v>-0.03</v>
      </c>
      <c r="K46">
        <v>-14.84</v>
      </c>
      <c r="L46">
        <v>-17.7</v>
      </c>
      <c r="M46" s="25">
        <v>-0.29549999999999998</v>
      </c>
      <c r="N46" s="25">
        <v>-0.63990000000000002</v>
      </c>
      <c r="O46">
        <v>0.46</v>
      </c>
      <c r="P46" s="25">
        <v>-2.5100000000000001E-2</v>
      </c>
      <c r="Q46" s="25">
        <v>0.11509999999999999</v>
      </c>
      <c r="R46" s="26">
        <v>339.52</v>
      </c>
      <c r="S46" s="26">
        <v>-233585000</v>
      </c>
      <c r="T46">
        <v>-0.8</v>
      </c>
      <c r="U46" s="25">
        <v>0.21890000000000001</v>
      </c>
    </row>
    <row r="47" spans="1:21" hidden="1" x14ac:dyDescent="0.25">
      <c r="A47" t="s">
        <v>329</v>
      </c>
      <c r="B47">
        <v>7.45</v>
      </c>
      <c r="C47">
        <v>-0.44</v>
      </c>
      <c r="D47">
        <v>-0.05</v>
      </c>
      <c r="E47">
        <v>0.28399999999999997</v>
      </c>
      <c r="F47" s="25">
        <v>0</v>
      </c>
      <c r="G47">
        <v>2.1999999999999999E-2</v>
      </c>
      <c r="H47">
        <v>-0.05</v>
      </c>
      <c r="I47">
        <v>-0.96</v>
      </c>
      <c r="J47">
        <v>-0.02</v>
      </c>
      <c r="K47">
        <v>-14.64</v>
      </c>
      <c r="L47">
        <v>-17.47</v>
      </c>
      <c r="M47" s="25">
        <v>-0.29549999999999998</v>
      </c>
      <c r="N47" s="25">
        <v>-0.63990000000000002</v>
      </c>
      <c r="O47">
        <v>0.46</v>
      </c>
      <c r="P47" s="25">
        <v>-2.5100000000000001E-2</v>
      </c>
      <c r="Q47" s="25">
        <v>0.11509999999999999</v>
      </c>
      <c r="R47" s="26">
        <v>1212.17</v>
      </c>
      <c r="S47" s="26">
        <v>-233585000</v>
      </c>
      <c r="T47">
        <v>-0.8</v>
      </c>
      <c r="U47" s="25">
        <v>0.21890000000000001</v>
      </c>
    </row>
    <row r="48" spans="1:21" hidden="1" x14ac:dyDescent="0.25">
      <c r="A48" t="s">
        <v>179</v>
      </c>
      <c r="B48">
        <v>5.24</v>
      </c>
      <c r="C48">
        <v>-4.34</v>
      </c>
      <c r="D48">
        <v>-8.01</v>
      </c>
      <c r="E48">
        <v>0.13700000000000001</v>
      </c>
      <c r="F48" s="25">
        <v>0</v>
      </c>
      <c r="G48">
        <v>0.13</v>
      </c>
      <c r="H48">
        <v>0.7</v>
      </c>
      <c r="I48">
        <v>2</v>
      </c>
      <c r="J48">
        <v>-0.3</v>
      </c>
      <c r="K48">
        <v>7.99</v>
      </c>
      <c r="L48">
        <v>6.19</v>
      </c>
      <c r="M48" s="25">
        <v>6.8400000000000002E-2</v>
      </c>
      <c r="N48" s="25">
        <v>-3.1300000000000001E-2</v>
      </c>
      <c r="O48">
        <v>1.48</v>
      </c>
      <c r="P48" s="25">
        <v>0.12130000000000001</v>
      </c>
      <c r="Q48" s="25">
        <v>1.8464</v>
      </c>
      <c r="R48" s="26">
        <v>77867600</v>
      </c>
      <c r="S48" s="26">
        <v>-650682000</v>
      </c>
      <c r="T48">
        <v>-42.2</v>
      </c>
      <c r="U48" s="25">
        <v>0.1232</v>
      </c>
    </row>
    <row r="49" spans="1:21" hidden="1" x14ac:dyDescent="0.25">
      <c r="A49" t="s">
        <v>6</v>
      </c>
      <c r="B49">
        <v>8.44</v>
      </c>
      <c r="C49">
        <v>7.04</v>
      </c>
      <c r="D49">
        <v>1.17</v>
      </c>
      <c r="E49">
        <v>0</v>
      </c>
      <c r="F49" s="25">
        <v>6.0900000000000003E-2</v>
      </c>
      <c r="G49">
        <v>0</v>
      </c>
      <c r="H49">
        <v>0</v>
      </c>
      <c r="I49">
        <v>0</v>
      </c>
      <c r="J49">
        <v>0</v>
      </c>
      <c r="K49">
        <v>0</v>
      </c>
      <c r="L49">
        <v>0</v>
      </c>
      <c r="M49" s="25">
        <v>0</v>
      </c>
      <c r="N49" s="25">
        <v>0</v>
      </c>
      <c r="O49">
        <v>0</v>
      </c>
      <c r="P49" s="25">
        <v>0</v>
      </c>
      <c r="Q49" s="25">
        <v>0.16669999999999999</v>
      </c>
      <c r="R49" s="26">
        <v>98346.4</v>
      </c>
      <c r="S49" s="26">
        <v>2271950000</v>
      </c>
      <c r="T49">
        <v>0</v>
      </c>
      <c r="U49" s="25">
        <v>0.13350000000000001</v>
      </c>
    </row>
    <row r="50" spans="1:21" hidden="1" x14ac:dyDescent="0.25">
      <c r="A50" t="s">
        <v>23</v>
      </c>
      <c r="B50">
        <v>8.3699999999999992</v>
      </c>
      <c r="C50">
        <v>6.98</v>
      </c>
      <c r="D50">
        <v>1.1599999999999999</v>
      </c>
      <c r="E50">
        <v>0</v>
      </c>
      <c r="F50" s="25">
        <v>6.1400000000000003E-2</v>
      </c>
      <c r="G50">
        <v>0</v>
      </c>
      <c r="H50">
        <v>0</v>
      </c>
      <c r="I50">
        <v>0</v>
      </c>
      <c r="J50">
        <v>0</v>
      </c>
      <c r="K50">
        <v>0</v>
      </c>
      <c r="L50">
        <v>0</v>
      </c>
      <c r="M50" s="25">
        <v>0</v>
      </c>
      <c r="N50" s="25">
        <v>0</v>
      </c>
      <c r="O50">
        <v>0</v>
      </c>
      <c r="P50" s="25">
        <v>0</v>
      </c>
      <c r="Q50" s="25">
        <v>0.16669999999999999</v>
      </c>
      <c r="R50" s="26">
        <v>33945.1</v>
      </c>
      <c r="S50" s="26">
        <v>2271950000</v>
      </c>
      <c r="T50">
        <v>0</v>
      </c>
      <c r="U50" s="25">
        <v>0.13350000000000001</v>
      </c>
    </row>
    <row r="51" spans="1:21" hidden="1" x14ac:dyDescent="0.25">
      <c r="A51" t="s">
        <v>330</v>
      </c>
      <c r="B51">
        <v>34.99</v>
      </c>
      <c r="C51">
        <v>5.14</v>
      </c>
      <c r="D51">
        <v>0.93</v>
      </c>
      <c r="E51">
        <v>0</v>
      </c>
      <c r="F51" s="25">
        <v>0.1046</v>
      </c>
      <c r="G51">
        <v>0</v>
      </c>
      <c r="H51">
        <v>0</v>
      </c>
      <c r="I51">
        <v>0</v>
      </c>
      <c r="J51">
        <v>0</v>
      </c>
      <c r="K51">
        <v>0</v>
      </c>
      <c r="L51">
        <v>0</v>
      </c>
      <c r="M51" s="25">
        <v>0</v>
      </c>
      <c r="N51" s="25">
        <v>0</v>
      </c>
      <c r="O51">
        <v>0</v>
      </c>
      <c r="P51" s="25">
        <v>0</v>
      </c>
      <c r="Q51" s="25">
        <v>0.18110000000000001</v>
      </c>
      <c r="R51" s="26">
        <v>459.17</v>
      </c>
      <c r="S51" s="26">
        <v>810042000</v>
      </c>
      <c r="T51">
        <v>0</v>
      </c>
      <c r="U51" s="25">
        <v>2.1499999999999998E-2</v>
      </c>
    </row>
    <row r="52" spans="1:21" hidden="1" x14ac:dyDescent="0.25">
      <c r="A52" t="s">
        <v>331</v>
      </c>
      <c r="B52">
        <v>28</v>
      </c>
      <c r="C52">
        <v>4.1100000000000003</v>
      </c>
      <c r="D52">
        <v>0.74</v>
      </c>
      <c r="E52">
        <v>0</v>
      </c>
      <c r="F52" s="25">
        <v>0.14380000000000001</v>
      </c>
      <c r="G52">
        <v>0</v>
      </c>
      <c r="H52">
        <v>0</v>
      </c>
      <c r="I52">
        <v>0</v>
      </c>
      <c r="J52">
        <v>0</v>
      </c>
      <c r="K52">
        <v>0</v>
      </c>
      <c r="L52">
        <v>0</v>
      </c>
      <c r="M52" s="25">
        <v>0</v>
      </c>
      <c r="N52" s="25">
        <v>0</v>
      </c>
      <c r="O52">
        <v>0</v>
      </c>
      <c r="P52" s="25">
        <v>0</v>
      </c>
      <c r="Q52" s="25">
        <v>0.18110000000000001</v>
      </c>
      <c r="R52" s="26">
        <v>58065.599999999999</v>
      </c>
      <c r="S52" s="26">
        <v>810042000</v>
      </c>
      <c r="T52">
        <v>0</v>
      </c>
      <c r="U52" s="25">
        <v>2.1499999999999998E-2</v>
      </c>
    </row>
    <row r="53" spans="1:21" hidden="1" x14ac:dyDescent="0.25">
      <c r="A53" t="s">
        <v>332</v>
      </c>
      <c r="B53">
        <v>3.12</v>
      </c>
      <c r="C53">
        <v>-0.25</v>
      </c>
      <c r="D53">
        <v>0.14000000000000001</v>
      </c>
      <c r="E53">
        <v>1.0999999999999999E-2</v>
      </c>
      <c r="F53" s="25">
        <v>0</v>
      </c>
      <c r="G53">
        <v>8.9999999999999993E-3</v>
      </c>
      <c r="H53">
        <v>-0.06</v>
      </c>
      <c r="I53">
        <v>0.16</v>
      </c>
      <c r="J53">
        <v>-0.02</v>
      </c>
      <c r="K53">
        <v>4.75</v>
      </c>
      <c r="L53">
        <v>3.02</v>
      </c>
      <c r="M53" s="25">
        <v>6.6900000000000001E-2</v>
      </c>
      <c r="N53" s="25">
        <v>-4.2799999999999998E-2</v>
      </c>
      <c r="O53">
        <v>0.74</v>
      </c>
      <c r="P53" s="25">
        <v>7.8200000000000006E-2</v>
      </c>
      <c r="Q53" s="25">
        <v>-0.5706</v>
      </c>
      <c r="R53" s="26">
        <v>16473200</v>
      </c>
      <c r="S53" s="26">
        <v>2089000000</v>
      </c>
      <c r="T53">
        <v>4.66</v>
      </c>
      <c r="U53" s="25">
        <v>-2.52E-2</v>
      </c>
    </row>
    <row r="54" spans="1:21" hidden="1" x14ac:dyDescent="0.25">
      <c r="A54" t="s">
        <v>333</v>
      </c>
      <c r="B54">
        <v>3.4</v>
      </c>
      <c r="C54">
        <v>-1.23</v>
      </c>
      <c r="D54">
        <v>1.19</v>
      </c>
      <c r="E54">
        <v>0.25</v>
      </c>
      <c r="F54" s="25">
        <v>0</v>
      </c>
      <c r="G54">
        <v>0.17899999999999999</v>
      </c>
      <c r="H54">
        <v>-0.84</v>
      </c>
      <c r="I54">
        <v>48.9</v>
      </c>
      <c r="J54">
        <v>-0.26</v>
      </c>
      <c r="K54">
        <v>69.64</v>
      </c>
      <c r="L54">
        <v>7.02</v>
      </c>
      <c r="M54" s="25">
        <v>5.1000000000000004E-3</v>
      </c>
      <c r="N54" s="25">
        <v>-0.2056</v>
      </c>
      <c r="O54">
        <v>0.32</v>
      </c>
      <c r="P54" s="25">
        <v>3.8999999999999998E-3</v>
      </c>
      <c r="Q54" s="25">
        <v>-0.9677</v>
      </c>
      <c r="R54" s="26">
        <v>23483.4</v>
      </c>
      <c r="S54" s="26">
        <v>75212000</v>
      </c>
      <c r="T54">
        <v>0.72</v>
      </c>
      <c r="U54" s="25">
        <v>0.13039999999999999</v>
      </c>
    </row>
    <row r="55" spans="1:21" hidden="1" x14ac:dyDescent="0.25">
      <c r="A55" t="s">
        <v>334</v>
      </c>
      <c r="B55">
        <v>7.68</v>
      </c>
      <c r="C55">
        <v>-13.56</v>
      </c>
      <c r="D55">
        <v>3.88</v>
      </c>
      <c r="E55">
        <v>6.7679999999999998</v>
      </c>
      <c r="F55" s="25">
        <v>0</v>
      </c>
      <c r="G55">
        <v>2.1739999999999999</v>
      </c>
      <c r="H55" s="26">
        <v>7.04</v>
      </c>
      <c r="I55">
        <v>-14.89</v>
      </c>
      <c r="J55">
        <v>37.99</v>
      </c>
      <c r="K55">
        <v>-14.93</v>
      </c>
      <c r="L55">
        <v>-14.78</v>
      </c>
      <c r="M55" s="25">
        <v>-0.4546</v>
      </c>
      <c r="N55" s="25">
        <v>-0.499</v>
      </c>
      <c r="O55">
        <v>2.64</v>
      </c>
      <c r="P55" s="25">
        <v>-0.218</v>
      </c>
      <c r="Q55" s="25">
        <v>-0.28610000000000002</v>
      </c>
      <c r="R55" s="26">
        <v>431897</v>
      </c>
      <c r="S55" s="26">
        <v>250993000</v>
      </c>
      <c r="T55">
        <v>0.46</v>
      </c>
      <c r="U55" s="25">
        <v>0.1827</v>
      </c>
    </row>
    <row r="56" spans="1:21" hidden="1" x14ac:dyDescent="0.25">
      <c r="A56" t="s">
        <v>187</v>
      </c>
      <c r="B56">
        <v>12.41</v>
      </c>
      <c r="C56" s="26">
        <v>8.31</v>
      </c>
      <c r="D56">
        <v>1.01</v>
      </c>
      <c r="E56">
        <v>1.2589999999999999</v>
      </c>
      <c r="F56" s="25">
        <v>2.7199999999999998E-2</v>
      </c>
      <c r="G56">
        <v>0.64900000000000002</v>
      </c>
      <c r="H56">
        <v>1.96</v>
      </c>
      <c r="I56">
        <v>5.97</v>
      </c>
      <c r="J56">
        <v>5.52</v>
      </c>
      <c r="K56">
        <v>6.15</v>
      </c>
      <c r="L56">
        <v>5.37</v>
      </c>
      <c r="M56" s="25">
        <v>0.2109</v>
      </c>
      <c r="N56" s="25">
        <v>0.1497</v>
      </c>
      <c r="O56">
        <v>3.23</v>
      </c>
      <c r="P56" s="25">
        <v>0.13789999999999999</v>
      </c>
      <c r="Q56" s="25">
        <v>0.12180000000000001</v>
      </c>
      <c r="R56" s="26">
        <v>4351680</v>
      </c>
      <c r="S56" s="26">
        <v>2201560000</v>
      </c>
      <c r="T56">
        <v>0.23</v>
      </c>
      <c r="U56" s="25">
        <v>7.4300000000000005E-2</v>
      </c>
    </row>
    <row r="57" spans="1:21" hidden="1" x14ac:dyDescent="0.25">
      <c r="A57" t="s">
        <v>335</v>
      </c>
      <c r="B57">
        <v>5.14</v>
      </c>
      <c r="C57">
        <v>-5.63</v>
      </c>
      <c r="D57">
        <v>0.46</v>
      </c>
      <c r="E57">
        <v>0</v>
      </c>
      <c r="F57" s="25">
        <v>0</v>
      </c>
      <c r="G57">
        <v>0.13800000000000001</v>
      </c>
      <c r="H57">
        <v>-0.76</v>
      </c>
      <c r="I57">
        <v>-42.93</v>
      </c>
      <c r="J57">
        <v>-0.2</v>
      </c>
      <c r="K57">
        <v>-53.97</v>
      </c>
      <c r="L57">
        <v>-53.97</v>
      </c>
      <c r="M57" s="25">
        <v>0</v>
      </c>
      <c r="N57" s="25">
        <v>0</v>
      </c>
      <c r="O57">
        <v>0</v>
      </c>
      <c r="P57" s="25">
        <v>-3.3E-3</v>
      </c>
      <c r="Q57" s="25">
        <v>-8.2400000000000001E-2</v>
      </c>
      <c r="R57" s="26">
        <v>3091.81</v>
      </c>
      <c r="S57" s="26">
        <v>56569000</v>
      </c>
      <c r="T57">
        <v>0.12</v>
      </c>
      <c r="U57" s="25">
        <v>0</v>
      </c>
    </row>
    <row r="58" spans="1:21" hidden="1" x14ac:dyDescent="0.25">
      <c r="A58" t="s">
        <v>336</v>
      </c>
      <c r="B58">
        <v>1.52</v>
      </c>
      <c r="C58">
        <v>-1.66</v>
      </c>
      <c r="D58">
        <v>0.14000000000000001</v>
      </c>
      <c r="E58">
        <v>0</v>
      </c>
      <c r="F58" s="25">
        <v>0</v>
      </c>
      <c r="G58">
        <v>4.1000000000000002E-2</v>
      </c>
      <c r="H58">
        <v>-0.22</v>
      </c>
      <c r="I58">
        <v>-12.69</v>
      </c>
      <c r="J58">
        <v>-0.06</v>
      </c>
      <c r="K58">
        <v>-23.74</v>
      </c>
      <c r="L58">
        <v>-23.74</v>
      </c>
      <c r="M58" s="25">
        <v>0</v>
      </c>
      <c r="N58" s="25">
        <v>0</v>
      </c>
      <c r="O58">
        <v>0</v>
      </c>
      <c r="P58" s="25">
        <v>-3.3E-3</v>
      </c>
      <c r="Q58" s="25">
        <v>-8.2400000000000001E-2</v>
      </c>
      <c r="R58" s="26">
        <v>10453.200000000001</v>
      </c>
      <c r="S58" s="26">
        <v>56569000</v>
      </c>
      <c r="T58">
        <v>0.12</v>
      </c>
      <c r="U58" s="25">
        <v>0</v>
      </c>
    </row>
    <row r="59" spans="1:21" hidden="1" x14ac:dyDescent="0.25">
      <c r="A59" t="s">
        <v>337</v>
      </c>
      <c r="B59">
        <v>33.39</v>
      </c>
      <c r="C59">
        <v>4.2300000000000004</v>
      </c>
      <c r="D59">
        <v>1.85</v>
      </c>
      <c r="E59">
        <v>0</v>
      </c>
      <c r="F59" s="25">
        <v>6.0600000000000001E-2</v>
      </c>
      <c r="G59">
        <v>0</v>
      </c>
      <c r="H59">
        <v>0</v>
      </c>
      <c r="I59">
        <v>0</v>
      </c>
      <c r="J59">
        <v>0</v>
      </c>
      <c r="K59">
        <v>0</v>
      </c>
      <c r="L59">
        <v>0</v>
      </c>
      <c r="M59" s="25">
        <v>0</v>
      </c>
      <c r="N59" s="25">
        <v>0</v>
      </c>
      <c r="O59">
        <v>0</v>
      </c>
      <c r="P59" s="25">
        <v>0</v>
      </c>
      <c r="Q59" s="25">
        <v>0.43669999999999998</v>
      </c>
      <c r="R59" s="26">
        <v>11015.2</v>
      </c>
      <c r="S59" s="26">
        <v>1894930000</v>
      </c>
      <c r="T59">
        <v>0</v>
      </c>
      <c r="U59" s="25">
        <v>0.2278</v>
      </c>
    </row>
    <row r="60" spans="1:21" hidden="1" x14ac:dyDescent="0.25">
      <c r="A60" t="s">
        <v>92</v>
      </c>
      <c r="B60">
        <v>39.5</v>
      </c>
      <c r="C60">
        <v>5</v>
      </c>
      <c r="D60">
        <v>2.19</v>
      </c>
      <c r="E60">
        <v>0</v>
      </c>
      <c r="F60" s="25">
        <v>5.6399999999999999E-2</v>
      </c>
      <c r="G60">
        <v>0</v>
      </c>
      <c r="H60">
        <v>0</v>
      </c>
      <c r="I60">
        <v>0</v>
      </c>
      <c r="J60">
        <v>0</v>
      </c>
      <c r="K60">
        <v>0</v>
      </c>
      <c r="L60">
        <v>0</v>
      </c>
      <c r="M60" s="25">
        <v>0</v>
      </c>
      <c r="N60" s="25">
        <v>0</v>
      </c>
      <c r="O60">
        <v>0</v>
      </c>
      <c r="P60" s="25">
        <v>0</v>
      </c>
      <c r="Q60" s="25">
        <v>0.43669999999999998</v>
      </c>
      <c r="R60" s="26">
        <v>415998</v>
      </c>
      <c r="S60" s="26">
        <v>1894930000</v>
      </c>
      <c r="T60">
        <v>0</v>
      </c>
      <c r="U60" s="25">
        <v>0.2278</v>
      </c>
    </row>
    <row r="61" spans="1:21" hidden="1" x14ac:dyDescent="0.25">
      <c r="A61" t="s">
        <v>46</v>
      </c>
      <c r="B61">
        <v>3.67</v>
      </c>
      <c r="C61">
        <v>4.8600000000000003</v>
      </c>
      <c r="D61">
        <v>0.59</v>
      </c>
      <c r="E61">
        <v>0</v>
      </c>
      <c r="F61" s="25">
        <v>8.2299999999999998E-2</v>
      </c>
      <c r="G61">
        <v>0</v>
      </c>
      <c r="H61">
        <v>0</v>
      </c>
      <c r="I61">
        <v>0</v>
      </c>
      <c r="J61">
        <v>0</v>
      </c>
      <c r="K61">
        <v>0</v>
      </c>
      <c r="L61">
        <v>0</v>
      </c>
      <c r="M61" s="25">
        <v>0</v>
      </c>
      <c r="N61" s="25">
        <v>0</v>
      </c>
      <c r="O61">
        <v>0</v>
      </c>
      <c r="P61" s="25">
        <v>0</v>
      </c>
      <c r="Q61" s="25">
        <v>0.1207</v>
      </c>
      <c r="R61" s="26">
        <v>1788480</v>
      </c>
      <c r="S61" s="26">
        <v>3648070000</v>
      </c>
      <c r="T61">
        <v>0</v>
      </c>
      <c r="U61" s="25">
        <v>-4.4499999999999998E-2</v>
      </c>
    </row>
    <row r="62" spans="1:21" hidden="1" x14ac:dyDescent="0.25">
      <c r="A62" t="s">
        <v>338</v>
      </c>
      <c r="B62">
        <v>20</v>
      </c>
      <c r="C62">
        <v>11.63</v>
      </c>
      <c r="D62">
        <v>0.69</v>
      </c>
      <c r="E62">
        <v>0</v>
      </c>
      <c r="F62" s="25">
        <v>1.77E-2</v>
      </c>
      <c r="G62">
        <v>0</v>
      </c>
      <c r="H62">
        <v>0</v>
      </c>
      <c r="I62">
        <v>0</v>
      </c>
      <c r="J62">
        <v>0</v>
      </c>
      <c r="K62">
        <v>0</v>
      </c>
      <c r="L62">
        <v>0</v>
      </c>
      <c r="M62" s="25">
        <v>0</v>
      </c>
      <c r="N62" s="25">
        <v>0</v>
      </c>
      <c r="O62">
        <v>0</v>
      </c>
      <c r="P62" s="25">
        <v>0</v>
      </c>
      <c r="Q62" s="25">
        <v>5.9400000000000001E-2</v>
      </c>
      <c r="R62" s="26">
        <v>93.55</v>
      </c>
      <c r="S62" s="26">
        <v>139754000</v>
      </c>
      <c r="T62">
        <v>0</v>
      </c>
      <c r="U62" s="25">
        <v>0.17380000000000001</v>
      </c>
    </row>
    <row r="63" spans="1:21" hidden="1" x14ac:dyDescent="0.25">
      <c r="A63" t="s">
        <v>339</v>
      </c>
      <c r="B63">
        <v>16.8</v>
      </c>
      <c r="C63">
        <v>9.77</v>
      </c>
      <c r="D63">
        <v>0.57999999999999996</v>
      </c>
      <c r="E63">
        <v>0</v>
      </c>
      <c r="F63" s="25">
        <v>8.3299999999999999E-2</v>
      </c>
      <c r="G63">
        <v>0</v>
      </c>
      <c r="H63">
        <v>0</v>
      </c>
      <c r="I63">
        <v>0</v>
      </c>
      <c r="J63">
        <v>0</v>
      </c>
      <c r="K63">
        <v>0</v>
      </c>
      <c r="L63">
        <v>0</v>
      </c>
      <c r="M63" s="25">
        <v>0</v>
      </c>
      <c r="N63" s="25">
        <v>0</v>
      </c>
      <c r="O63">
        <v>0</v>
      </c>
      <c r="P63" s="25">
        <v>0</v>
      </c>
      <c r="Q63" s="25">
        <v>5.9400000000000001E-2</v>
      </c>
      <c r="R63" s="26">
        <v>683.19</v>
      </c>
      <c r="S63" s="26">
        <v>139754000</v>
      </c>
      <c r="T63">
        <v>0</v>
      </c>
      <c r="U63" s="25">
        <v>0.17380000000000001</v>
      </c>
    </row>
    <row r="64" spans="1:21" hidden="1" x14ac:dyDescent="0.25">
      <c r="A64" t="s">
        <v>340</v>
      </c>
      <c r="B64">
        <v>379.01</v>
      </c>
      <c r="C64">
        <v>11.44</v>
      </c>
      <c r="D64">
        <v>0.83</v>
      </c>
      <c r="E64">
        <v>11.009</v>
      </c>
      <c r="F64" s="25">
        <v>8.7400000000000005E-2</v>
      </c>
      <c r="G64">
        <v>0.72599999999999998</v>
      </c>
      <c r="H64">
        <v>0.99</v>
      </c>
      <c r="I64">
        <v>-34.1</v>
      </c>
      <c r="J64">
        <v>1.1399999999999999</v>
      </c>
      <c r="K64">
        <v>-1.69</v>
      </c>
      <c r="L64">
        <v>-1.73</v>
      </c>
      <c r="M64" s="25">
        <v>-0.32279999999999998</v>
      </c>
      <c r="N64" s="25">
        <v>0.96220000000000006</v>
      </c>
      <c r="O64">
        <v>20.54</v>
      </c>
      <c r="P64" s="25">
        <v>-7.3800000000000004E-2</v>
      </c>
      <c r="Q64" s="25">
        <v>7.2900000000000006E-2</v>
      </c>
      <c r="R64" s="26">
        <v>27238.2</v>
      </c>
      <c r="S64" s="26">
        <v>206593000</v>
      </c>
      <c r="T64">
        <v>0.02</v>
      </c>
      <c r="U64" s="25">
        <v>-8.5099999999999995E-2</v>
      </c>
    </row>
    <row r="65" spans="1:21" hidden="1" x14ac:dyDescent="0.25">
      <c r="A65" t="s">
        <v>25</v>
      </c>
      <c r="B65">
        <v>21.12</v>
      </c>
      <c r="C65">
        <v>14.04</v>
      </c>
      <c r="D65">
        <v>1.55</v>
      </c>
      <c r="E65">
        <v>1.179</v>
      </c>
      <c r="F65" s="25">
        <v>6.3399999999999998E-2</v>
      </c>
      <c r="G65">
        <v>1.111</v>
      </c>
      <c r="H65">
        <v>2.69</v>
      </c>
      <c r="I65">
        <v>14.65</v>
      </c>
      <c r="J65">
        <v>2.92</v>
      </c>
      <c r="K65">
        <v>10.43</v>
      </c>
      <c r="L65">
        <v>6.73</v>
      </c>
      <c r="M65" s="25">
        <v>8.0500000000000002E-2</v>
      </c>
      <c r="N65" s="25">
        <v>8.4500000000000006E-2</v>
      </c>
      <c r="O65">
        <v>2.65</v>
      </c>
      <c r="P65" s="25">
        <v>0.12670000000000001</v>
      </c>
      <c r="Q65" s="25">
        <v>0.11070000000000001</v>
      </c>
      <c r="R65" s="26">
        <v>8427640</v>
      </c>
      <c r="S65" s="26">
        <v>1163230000</v>
      </c>
      <c r="T65">
        <v>0</v>
      </c>
      <c r="U65" s="25">
        <v>0.58779999999999999</v>
      </c>
    </row>
    <row r="66" spans="1:21" hidden="1" x14ac:dyDescent="0.25">
      <c r="A66" t="s">
        <v>341</v>
      </c>
      <c r="B66">
        <v>92.1</v>
      </c>
      <c r="C66">
        <v>4.16</v>
      </c>
      <c r="D66">
        <v>0.64</v>
      </c>
      <c r="E66">
        <v>0</v>
      </c>
      <c r="F66" s="25">
        <v>6.2E-2</v>
      </c>
      <c r="G66">
        <v>0</v>
      </c>
      <c r="H66">
        <v>0</v>
      </c>
      <c r="I66">
        <v>0</v>
      </c>
      <c r="J66">
        <v>0</v>
      </c>
      <c r="K66">
        <v>0</v>
      </c>
      <c r="L66">
        <v>0</v>
      </c>
      <c r="M66" s="25">
        <v>0</v>
      </c>
      <c r="N66" s="25">
        <v>0</v>
      </c>
      <c r="O66">
        <v>0</v>
      </c>
      <c r="P66" s="25">
        <v>0</v>
      </c>
      <c r="Q66" s="25">
        <v>0.1547</v>
      </c>
      <c r="R66" s="26">
        <v>18160.3</v>
      </c>
      <c r="S66" s="26">
        <v>14115100000</v>
      </c>
      <c r="T66">
        <v>0</v>
      </c>
      <c r="U66" s="25">
        <v>0.1033</v>
      </c>
    </row>
    <row r="67" spans="1:21" hidden="1" x14ac:dyDescent="0.25">
      <c r="A67" t="s">
        <v>185</v>
      </c>
      <c r="B67">
        <v>1.4</v>
      </c>
      <c r="C67">
        <v>5</v>
      </c>
      <c r="D67">
        <v>386.35</v>
      </c>
      <c r="E67">
        <v>0.23699999999999999</v>
      </c>
      <c r="F67" s="25">
        <v>0</v>
      </c>
      <c r="G67">
        <v>0.39600000000000002</v>
      </c>
      <c r="H67">
        <v>-21.6</v>
      </c>
      <c r="I67">
        <v>1.79</v>
      </c>
      <c r="J67">
        <v>-0.86</v>
      </c>
      <c r="K67">
        <v>3.07</v>
      </c>
      <c r="L67">
        <v>2.71</v>
      </c>
      <c r="M67" s="25">
        <v>0.13239999999999999</v>
      </c>
      <c r="N67" s="25">
        <v>4.7300000000000002E-2</v>
      </c>
      <c r="O67">
        <v>0.97</v>
      </c>
      <c r="P67" s="25">
        <v>0.33329999999999999</v>
      </c>
      <c r="Q67" s="25">
        <v>77.215000000000003</v>
      </c>
      <c r="R67" s="26">
        <v>15428.7</v>
      </c>
      <c r="S67" s="26">
        <v>944000</v>
      </c>
      <c r="T67">
        <v>400.27</v>
      </c>
      <c r="U67" s="25">
        <v>0.1055</v>
      </c>
    </row>
    <row r="68" spans="1:21" hidden="1" x14ac:dyDescent="0.25">
      <c r="A68" t="s">
        <v>342</v>
      </c>
      <c r="B68">
        <v>40.39</v>
      </c>
      <c r="C68">
        <v>12.67</v>
      </c>
      <c r="D68">
        <v>2.59</v>
      </c>
      <c r="E68">
        <v>0</v>
      </c>
      <c r="F68" s="25">
        <v>1.12E-2</v>
      </c>
      <c r="G68">
        <v>0</v>
      </c>
      <c r="H68">
        <v>0</v>
      </c>
      <c r="I68">
        <v>0</v>
      </c>
      <c r="J68">
        <v>0</v>
      </c>
      <c r="K68">
        <v>0</v>
      </c>
      <c r="L68">
        <v>0</v>
      </c>
      <c r="M68" s="25">
        <v>0</v>
      </c>
      <c r="N68" s="25">
        <v>0</v>
      </c>
      <c r="O68">
        <v>0</v>
      </c>
      <c r="P68" s="25">
        <v>0</v>
      </c>
      <c r="Q68" s="25">
        <v>0.20449999999999999</v>
      </c>
      <c r="R68" s="26">
        <v>315860000</v>
      </c>
      <c r="S68" s="26">
        <v>59778600000</v>
      </c>
      <c r="T68">
        <v>0</v>
      </c>
      <c r="U68" s="25">
        <v>0.31590000000000001</v>
      </c>
    </row>
    <row r="69" spans="1:21" hidden="1" x14ac:dyDescent="0.25">
      <c r="A69" t="s">
        <v>141</v>
      </c>
      <c r="B69">
        <v>22.17</v>
      </c>
      <c r="C69">
        <v>20.87</v>
      </c>
      <c r="D69">
        <v>4.2699999999999996</v>
      </c>
      <c r="E69">
        <v>0</v>
      </c>
      <c r="F69" s="25">
        <v>6.7999999999999996E-3</v>
      </c>
      <c r="G69">
        <v>0</v>
      </c>
      <c r="H69">
        <v>0</v>
      </c>
      <c r="I69">
        <v>0</v>
      </c>
      <c r="J69">
        <v>0</v>
      </c>
      <c r="K69">
        <v>0</v>
      </c>
      <c r="L69">
        <v>0</v>
      </c>
      <c r="M69" s="25">
        <v>0</v>
      </c>
      <c r="N69" s="25">
        <v>0</v>
      </c>
      <c r="O69">
        <v>0</v>
      </c>
      <c r="P69" s="25">
        <v>0</v>
      </c>
      <c r="Q69" s="25">
        <v>0.20449999999999999</v>
      </c>
      <c r="R69" s="26">
        <v>62804.3</v>
      </c>
      <c r="S69" s="26">
        <v>59778600000</v>
      </c>
      <c r="T69">
        <v>0</v>
      </c>
      <c r="U69" s="25">
        <v>0.31590000000000001</v>
      </c>
    </row>
    <row r="70" spans="1:21" hidden="1" x14ac:dyDescent="0.25">
      <c r="A70" t="s">
        <v>148</v>
      </c>
      <c r="B70">
        <v>8.9600000000000009</v>
      </c>
      <c r="C70">
        <v>8.43</v>
      </c>
      <c r="D70">
        <v>1.72</v>
      </c>
      <c r="E70">
        <v>0</v>
      </c>
      <c r="F70" s="25">
        <v>1.6799999999999999E-2</v>
      </c>
      <c r="G70">
        <v>0</v>
      </c>
      <c r="H70">
        <v>0</v>
      </c>
      <c r="I70">
        <v>0</v>
      </c>
      <c r="J70">
        <v>0</v>
      </c>
      <c r="K70">
        <v>0</v>
      </c>
      <c r="L70">
        <v>0</v>
      </c>
      <c r="M70" s="25">
        <v>0</v>
      </c>
      <c r="N70" s="25">
        <v>0</v>
      </c>
      <c r="O70">
        <v>0</v>
      </c>
      <c r="P70" s="25">
        <v>0</v>
      </c>
      <c r="Q70" s="25">
        <v>0.20449999999999999</v>
      </c>
      <c r="R70" s="26">
        <v>30926.799999999999</v>
      </c>
      <c r="S70" s="26">
        <v>59778600000</v>
      </c>
      <c r="T70">
        <v>0</v>
      </c>
      <c r="U70" s="25">
        <v>0.31590000000000001</v>
      </c>
    </row>
    <row r="71" spans="1:21" hidden="1" x14ac:dyDescent="0.25">
      <c r="A71" t="s">
        <v>76</v>
      </c>
      <c r="B71">
        <v>7.81</v>
      </c>
      <c r="C71">
        <v>12.65</v>
      </c>
      <c r="D71">
        <v>1.31</v>
      </c>
      <c r="E71">
        <v>0</v>
      </c>
      <c r="F71" s="25">
        <v>3.09E-2</v>
      </c>
      <c r="G71">
        <v>0</v>
      </c>
      <c r="H71">
        <v>0</v>
      </c>
      <c r="I71">
        <v>0</v>
      </c>
      <c r="J71">
        <v>0</v>
      </c>
      <c r="K71">
        <v>0</v>
      </c>
      <c r="L71">
        <v>0</v>
      </c>
      <c r="M71" s="25">
        <v>0</v>
      </c>
      <c r="N71" s="25">
        <v>0</v>
      </c>
      <c r="O71">
        <v>0</v>
      </c>
      <c r="P71" s="25">
        <v>0</v>
      </c>
      <c r="Q71" s="25">
        <v>0.10340000000000001</v>
      </c>
      <c r="R71" s="26">
        <v>13331500</v>
      </c>
      <c r="S71" s="26">
        <v>7575030000</v>
      </c>
      <c r="T71">
        <v>0</v>
      </c>
      <c r="U71" s="25">
        <v>3.8699999999999998E-2</v>
      </c>
    </row>
    <row r="72" spans="1:21" hidden="1" x14ac:dyDescent="0.25">
      <c r="A72" t="s">
        <v>28</v>
      </c>
      <c r="B72">
        <v>15.41</v>
      </c>
      <c r="C72">
        <v>5.19</v>
      </c>
      <c r="D72">
        <v>0.7</v>
      </c>
      <c r="E72">
        <v>0</v>
      </c>
      <c r="F72" s="25">
        <v>0.1197</v>
      </c>
      <c r="G72">
        <v>0.68899999999999995</v>
      </c>
      <c r="H72">
        <v>10.27</v>
      </c>
      <c r="I72">
        <v>-203.85</v>
      </c>
      <c r="J72">
        <v>10.35</v>
      </c>
      <c r="K72">
        <v>-179.92</v>
      </c>
      <c r="L72">
        <v>-179.92</v>
      </c>
      <c r="M72" s="25">
        <v>0</v>
      </c>
      <c r="N72" s="25">
        <v>0</v>
      </c>
      <c r="O72">
        <v>5.83</v>
      </c>
      <c r="P72" s="25">
        <v>-3.7000000000000002E-3</v>
      </c>
      <c r="Q72" s="25">
        <v>0.13469999999999999</v>
      </c>
      <c r="R72" s="26">
        <v>861294</v>
      </c>
      <c r="S72" s="26">
        <v>8667970000</v>
      </c>
      <c r="T72">
        <v>0</v>
      </c>
      <c r="U72" s="25">
        <v>0</v>
      </c>
    </row>
    <row r="73" spans="1:21" hidden="1" x14ac:dyDescent="0.25">
      <c r="A73" t="s">
        <v>127</v>
      </c>
      <c r="B73">
        <v>16.98</v>
      </c>
      <c r="C73">
        <v>5.72</v>
      </c>
      <c r="D73">
        <v>0.77</v>
      </c>
      <c r="E73">
        <v>0</v>
      </c>
      <c r="F73" s="25">
        <v>0.1195</v>
      </c>
      <c r="G73">
        <v>0.75900000000000001</v>
      </c>
      <c r="H73">
        <v>11.32</v>
      </c>
      <c r="I73">
        <v>-224.62</v>
      </c>
      <c r="J73">
        <v>11.4</v>
      </c>
      <c r="K73">
        <v>-200.69</v>
      </c>
      <c r="L73">
        <v>-200.69</v>
      </c>
      <c r="M73" s="25">
        <v>0</v>
      </c>
      <c r="N73" s="25">
        <v>0</v>
      </c>
      <c r="O73">
        <v>5.83</v>
      </c>
      <c r="P73" s="25">
        <v>-3.7000000000000002E-3</v>
      </c>
      <c r="Q73" s="25">
        <v>0.13469999999999999</v>
      </c>
      <c r="R73" s="26">
        <v>62255700</v>
      </c>
      <c r="S73" s="26">
        <v>8667970000</v>
      </c>
      <c r="T73">
        <v>0</v>
      </c>
      <c r="U73" s="25">
        <v>0</v>
      </c>
    </row>
    <row r="74" spans="1:21" hidden="1" x14ac:dyDescent="0.25">
      <c r="A74" t="s">
        <v>61</v>
      </c>
      <c r="B74">
        <v>19.18</v>
      </c>
      <c r="C74">
        <v>57.4</v>
      </c>
      <c r="D74">
        <v>0.8</v>
      </c>
      <c r="E74">
        <v>0.92800000000000005</v>
      </c>
      <c r="F74" s="25">
        <v>0</v>
      </c>
      <c r="G74">
        <v>0.20599999999999999</v>
      </c>
      <c r="H74">
        <v>4.3</v>
      </c>
      <c r="I74">
        <v>4.5999999999999996</v>
      </c>
      <c r="J74">
        <v>-0.36</v>
      </c>
      <c r="K74">
        <v>11.49</v>
      </c>
      <c r="L74">
        <v>6.49</v>
      </c>
      <c r="M74" s="25">
        <v>0.20169999999999999</v>
      </c>
      <c r="N74" s="25">
        <v>1.5599999999999999E-2</v>
      </c>
      <c r="O74">
        <v>1.4</v>
      </c>
      <c r="P74" s="25">
        <v>5.3100000000000001E-2</v>
      </c>
      <c r="Q74" s="25">
        <v>1.3899999999999999E-2</v>
      </c>
      <c r="R74" s="26">
        <v>152608000</v>
      </c>
      <c r="S74" s="26">
        <v>11151200000</v>
      </c>
      <c r="T74">
        <v>1.59</v>
      </c>
      <c r="U74" s="25">
        <v>1.2646999999999999</v>
      </c>
    </row>
    <row r="75" spans="1:21" hidden="1" x14ac:dyDescent="0.25">
      <c r="A75" t="s">
        <v>343</v>
      </c>
      <c r="B75">
        <v>16</v>
      </c>
      <c r="C75">
        <v>8.9700000000000006</v>
      </c>
      <c r="D75">
        <v>2.11</v>
      </c>
      <c r="E75">
        <v>4.5780000000000003</v>
      </c>
      <c r="F75" s="25">
        <v>0.12559999999999999</v>
      </c>
      <c r="G75">
        <v>0.109</v>
      </c>
      <c r="H75">
        <v>2.65</v>
      </c>
      <c r="I75">
        <v>79</v>
      </c>
      <c r="J75">
        <v>2.65</v>
      </c>
      <c r="K75">
        <v>25.55</v>
      </c>
      <c r="L75">
        <v>17.79</v>
      </c>
      <c r="M75" s="25">
        <v>5.8000000000000003E-2</v>
      </c>
      <c r="N75" s="25">
        <v>0.51049999999999995</v>
      </c>
      <c r="O75">
        <v>1.04</v>
      </c>
      <c r="P75" s="25">
        <v>0.1241</v>
      </c>
      <c r="Q75" s="25">
        <v>0.23530000000000001</v>
      </c>
      <c r="R75" s="26">
        <v>3503450</v>
      </c>
      <c r="S75" s="26">
        <v>796079000</v>
      </c>
      <c r="T75">
        <v>17.75</v>
      </c>
      <c r="U75" s="25">
        <v>-0.2029</v>
      </c>
    </row>
    <row r="76" spans="1:21" hidden="1" x14ac:dyDescent="0.25">
      <c r="A76" t="s">
        <v>135</v>
      </c>
      <c r="B76">
        <v>21.75</v>
      </c>
      <c r="C76">
        <v>9.5500000000000007</v>
      </c>
      <c r="D76">
        <v>2.2799999999999998</v>
      </c>
      <c r="E76">
        <v>0.57599999999999996</v>
      </c>
      <c r="F76" s="25">
        <v>3.2399999999999998E-2</v>
      </c>
      <c r="G76">
        <v>0.58199999999999996</v>
      </c>
      <c r="H76">
        <v>3.7</v>
      </c>
      <c r="I76">
        <v>4.92</v>
      </c>
      <c r="J76">
        <v>-2.6</v>
      </c>
      <c r="K76">
        <v>5.85</v>
      </c>
      <c r="L76">
        <v>3.98</v>
      </c>
      <c r="M76" s="25">
        <v>0.1171</v>
      </c>
      <c r="N76" s="25">
        <v>6.7400000000000002E-2</v>
      </c>
      <c r="O76">
        <v>1.46</v>
      </c>
      <c r="P76" s="25">
        <v>0.21329999999999999</v>
      </c>
      <c r="Q76" s="25">
        <v>0.2389</v>
      </c>
      <c r="R76" s="26">
        <v>225212000</v>
      </c>
      <c r="S76" s="26">
        <v>16044400000</v>
      </c>
      <c r="T76">
        <v>1.24</v>
      </c>
      <c r="U76" s="25">
        <v>9.9400000000000002E-2</v>
      </c>
    </row>
    <row r="77" spans="1:21" hidden="1" x14ac:dyDescent="0.25">
      <c r="A77" t="s">
        <v>247</v>
      </c>
      <c r="B77">
        <v>9.14</v>
      </c>
      <c r="C77">
        <v>-0.79</v>
      </c>
      <c r="D77">
        <v>-1.72</v>
      </c>
      <c r="E77">
        <v>9.1999999999999998E-2</v>
      </c>
      <c r="F77" s="25">
        <v>0</v>
      </c>
      <c r="G77">
        <v>7.5999999999999998E-2</v>
      </c>
      <c r="H77">
        <v>0.89</v>
      </c>
      <c r="I77">
        <v>7.99</v>
      </c>
      <c r="J77">
        <v>-0.11</v>
      </c>
      <c r="K77">
        <v>47.59</v>
      </c>
      <c r="L77">
        <v>7.45</v>
      </c>
      <c r="M77" s="25">
        <v>1.1599999999999999E-2</v>
      </c>
      <c r="N77" s="25">
        <v>-0.127</v>
      </c>
      <c r="O77">
        <v>1.32</v>
      </c>
      <c r="P77" s="25">
        <v>1.37E-2</v>
      </c>
      <c r="Q77" s="25">
        <v>2.19</v>
      </c>
      <c r="R77" s="26">
        <v>309235</v>
      </c>
      <c r="S77" s="26">
        <v>-4236000000</v>
      </c>
      <c r="T77">
        <v>-11.6</v>
      </c>
      <c r="U77" s="25">
        <v>-1.7999999999999999E-2</v>
      </c>
    </row>
    <row r="78" spans="1:21" hidden="1" x14ac:dyDescent="0.25">
      <c r="A78" t="s">
        <v>344</v>
      </c>
      <c r="B78">
        <v>9.01</v>
      </c>
      <c r="C78">
        <v>-0.77</v>
      </c>
      <c r="D78">
        <v>-1.7</v>
      </c>
      <c r="E78">
        <v>9.0999999999999998E-2</v>
      </c>
      <c r="F78" s="25">
        <v>0</v>
      </c>
      <c r="G78">
        <v>7.4999999999999997E-2</v>
      </c>
      <c r="H78">
        <v>0.88</v>
      </c>
      <c r="I78">
        <v>7.88</v>
      </c>
      <c r="J78">
        <v>-0.11</v>
      </c>
      <c r="K78">
        <v>47.47</v>
      </c>
      <c r="L78">
        <v>7.43</v>
      </c>
      <c r="M78" s="25">
        <v>1.1599999999999999E-2</v>
      </c>
      <c r="N78" s="25">
        <v>-0.127</v>
      </c>
      <c r="O78">
        <v>1.32</v>
      </c>
      <c r="P78" s="25">
        <v>1.37E-2</v>
      </c>
      <c r="Q78" s="25">
        <v>2.19</v>
      </c>
      <c r="R78" s="26">
        <v>43115400</v>
      </c>
      <c r="S78" s="26">
        <v>-4236000000</v>
      </c>
      <c r="T78">
        <v>-11.6</v>
      </c>
      <c r="U78" s="25">
        <v>-1.7999999999999999E-2</v>
      </c>
    </row>
    <row r="79" spans="1:21" hidden="1" x14ac:dyDescent="0.25">
      <c r="A79" t="s">
        <v>345</v>
      </c>
      <c r="B79">
        <v>8.6</v>
      </c>
      <c r="C79">
        <v>-0.74</v>
      </c>
      <c r="D79">
        <v>-1.62</v>
      </c>
      <c r="E79">
        <v>8.6999999999999994E-2</v>
      </c>
      <c r="F79" s="25">
        <v>0</v>
      </c>
      <c r="G79">
        <v>7.1999999999999995E-2</v>
      </c>
      <c r="H79">
        <v>0.84</v>
      </c>
      <c r="I79">
        <v>7.52</v>
      </c>
      <c r="J79">
        <v>-0.11</v>
      </c>
      <c r="K79">
        <v>47.11</v>
      </c>
      <c r="L79">
        <v>7.38</v>
      </c>
      <c r="M79" s="25">
        <v>1.1599999999999999E-2</v>
      </c>
      <c r="N79" s="25">
        <v>-0.127</v>
      </c>
      <c r="O79">
        <v>1.32</v>
      </c>
      <c r="P79" s="25">
        <v>1.37E-2</v>
      </c>
      <c r="Q79" s="25">
        <v>2.19</v>
      </c>
      <c r="R79" s="26">
        <v>1274.05</v>
      </c>
      <c r="S79" s="26">
        <v>-4236000000</v>
      </c>
      <c r="T79">
        <v>-11.6</v>
      </c>
      <c r="U79" s="25">
        <v>-1.7999999999999999E-2</v>
      </c>
    </row>
    <row r="80" spans="1:21" hidden="1" x14ac:dyDescent="0.25">
      <c r="A80" t="s">
        <v>346</v>
      </c>
      <c r="B80">
        <v>11.62</v>
      </c>
      <c r="C80">
        <v>4.9000000000000004</v>
      </c>
      <c r="D80">
        <v>0.46</v>
      </c>
      <c r="E80">
        <v>0</v>
      </c>
      <c r="F80" s="25">
        <v>9.4200000000000006E-2</v>
      </c>
      <c r="G80">
        <v>0</v>
      </c>
      <c r="H80">
        <v>0</v>
      </c>
      <c r="I80">
        <v>0</v>
      </c>
      <c r="J80">
        <v>0</v>
      </c>
      <c r="K80">
        <v>0</v>
      </c>
      <c r="L80">
        <v>0</v>
      </c>
      <c r="M80" s="25">
        <v>0</v>
      </c>
      <c r="N80" s="25">
        <v>0</v>
      </c>
      <c r="O80">
        <v>0</v>
      </c>
      <c r="P80" s="25">
        <v>0</v>
      </c>
      <c r="Q80" s="25">
        <v>9.3100000000000002E-2</v>
      </c>
      <c r="R80" s="26">
        <v>48387.8</v>
      </c>
      <c r="S80" s="26">
        <v>10409200000</v>
      </c>
      <c r="T80">
        <v>0</v>
      </c>
      <c r="U80" s="25">
        <v>4.7E-2</v>
      </c>
    </row>
    <row r="81" spans="1:21" hidden="1" x14ac:dyDescent="0.25">
      <c r="A81" t="s">
        <v>347</v>
      </c>
      <c r="B81">
        <v>15.6</v>
      </c>
      <c r="C81">
        <v>6.58</v>
      </c>
      <c r="D81">
        <v>0.61</v>
      </c>
      <c r="E81">
        <v>0</v>
      </c>
      <c r="F81" s="25">
        <v>8.7800000000000003E-2</v>
      </c>
      <c r="G81">
        <v>0</v>
      </c>
      <c r="H81" s="26">
        <v>0</v>
      </c>
      <c r="I81">
        <v>0</v>
      </c>
      <c r="J81">
        <v>0</v>
      </c>
      <c r="K81">
        <v>0</v>
      </c>
      <c r="L81">
        <v>0</v>
      </c>
      <c r="M81" s="25">
        <v>0</v>
      </c>
      <c r="N81" s="25">
        <v>0</v>
      </c>
      <c r="O81">
        <v>0</v>
      </c>
      <c r="P81" s="25">
        <v>0</v>
      </c>
      <c r="Q81" s="25">
        <v>9.3100000000000002E-2</v>
      </c>
      <c r="R81" s="26">
        <v>424.07</v>
      </c>
      <c r="S81" s="26">
        <v>10409200000</v>
      </c>
      <c r="T81">
        <v>0</v>
      </c>
      <c r="U81" s="25">
        <v>4.7E-2</v>
      </c>
    </row>
    <row r="82" spans="1:21" hidden="1" x14ac:dyDescent="0.25">
      <c r="A82" t="s">
        <v>37</v>
      </c>
      <c r="B82">
        <v>10.88</v>
      </c>
      <c r="C82">
        <v>4.59</v>
      </c>
      <c r="D82">
        <v>0.43</v>
      </c>
      <c r="E82">
        <v>0</v>
      </c>
      <c r="F82" s="25">
        <v>0.10059999999999999</v>
      </c>
      <c r="G82">
        <v>0</v>
      </c>
      <c r="H82">
        <v>0</v>
      </c>
      <c r="I82">
        <v>0</v>
      </c>
      <c r="J82">
        <v>0</v>
      </c>
      <c r="K82">
        <v>0</v>
      </c>
      <c r="L82">
        <v>0</v>
      </c>
      <c r="M82" s="25">
        <v>0</v>
      </c>
      <c r="N82" s="25">
        <v>0</v>
      </c>
      <c r="O82">
        <v>0</v>
      </c>
      <c r="P82" s="25">
        <v>0</v>
      </c>
      <c r="Q82" s="25">
        <v>9.3100000000000002E-2</v>
      </c>
      <c r="R82" s="26">
        <v>13194100</v>
      </c>
      <c r="S82" s="26">
        <v>10409200000</v>
      </c>
      <c r="T82">
        <v>0</v>
      </c>
      <c r="U82" s="25">
        <v>4.7E-2</v>
      </c>
    </row>
    <row r="83" spans="1:21" hidden="1" x14ac:dyDescent="0.25">
      <c r="A83" t="s">
        <v>348</v>
      </c>
      <c r="B83">
        <v>2.64</v>
      </c>
      <c r="C83">
        <v>19.190000000000001</v>
      </c>
      <c r="D83">
        <v>0.75</v>
      </c>
      <c r="E83">
        <v>0.77900000000000003</v>
      </c>
      <c r="F83" s="25">
        <v>1.5599999999999999E-2</v>
      </c>
      <c r="G83">
        <v>0.28199999999999997</v>
      </c>
      <c r="H83">
        <v>-8.51</v>
      </c>
      <c r="I83">
        <v>6.05</v>
      </c>
      <c r="J83">
        <v>-0.63</v>
      </c>
      <c r="K83">
        <v>13.52</v>
      </c>
      <c r="L83">
        <v>4.1100000000000003</v>
      </c>
      <c r="M83" s="25">
        <v>0.1288</v>
      </c>
      <c r="N83" s="25">
        <v>4.0599999999999997E-2</v>
      </c>
      <c r="O83">
        <v>0.84</v>
      </c>
      <c r="P83" s="25">
        <v>5.6599999999999998E-2</v>
      </c>
      <c r="Q83" s="25">
        <v>3.9199999999999999E-2</v>
      </c>
      <c r="R83" s="26">
        <v>621350</v>
      </c>
      <c r="S83" s="26">
        <v>1537560000</v>
      </c>
      <c r="T83">
        <v>1.23</v>
      </c>
      <c r="U83" s="25">
        <v>0</v>
      </c>
    </row>
    <row r="84" spans="1:21" hidden="1" x14ac:dyDescent="0.25">
      <c r="A84" t="s">
        <v>349</v>
      </c>
      <c r="B84">
        <v>8.4</v>
      </c>
      <c r="C84">
        <v>8.58</v>
      </c>
      <c r="D84">
        <v>1.06</v>
      </c>
      <c r="E84">
        <v>0</v>
      </c>
      <c r="F84" s="25">
        <v>0.4506</v>
      </c>
      <c r="G84">
        <v>0</v>
      </c>
      <c r="H84">
        <v>0</v>
      </c>
      <c r="I84">
        <v>0</v>
      </c>
      <c r="J84">
        <v>0</v>
      </c>
      <c r="K84">
        <v>0</v>
      </c>
      <c r="L84" s="26">
        <v>0</v>
      </c>
      <c r="M84" s="25">
        <v>0</v>
      </c>
      <c r="N84" s="25">
        <v>0</v>
      </c>
      <c r="O84">
        <v>0</v>
      </c>
      <c r="P84" s="25">
        <v>0</v>
      </c>
      <c r="Q84" s="25">
        <v>0.1234</v>
      </c>
      <c r="R84" s="26">
        <v>11418</v>
      </c>
      <c r="S84" s="26">
        <v>3858140000</v>
      </c>
      <c r="T84">
        <v>0</v>
      </c>
      <c r="U84" s="25">
        <v>0.15579999999999999</v>
      </c>
    </row>
    <row r="85" spans="1:21" hidden="1" x14ac:dyDescent="0.25">
      <c r="A85" t="s">
        <v>350</v>
      </c>
      <c r="B85">
        <v>8.83</v>
      </c>
      <c r="C85">
        <v>9.02</v>
      </c>
      <c r="D85">
        <v>1.1100000000000001</v>
      </c>
      <c r="E85">
        <v>0</v>
      </c>
      <c r="F85" s="25">
        <v>0.47149999999999997</v>
      </c>
      <c r="G85">
        <v>0</v>
      </c>
      <c r="H85">
        <v>0</v>
      </c>
      <c r="I85">
        <v>0</v>
      </c>
      <c r="J85">
        <v>0</v>
      </c>
      <c r="K85">
        <v>0</v>
      </c>
      <c r="L85">
        <v>0</v>
      </c>
      <c r="M85" s="25">
        <v>0</v>
      </c>
      <c r="N85" s="25">
        <v>0</v>
      </c>
      <c r="O85">
        <v>0</v>
      </c>
      <c r="P85" s="25">
        <v>0</v>
      </c>
      <c r="Q85" s="25">
        <v>0.1234</v>
      </c>
      <c r="R85" s="26">
        <v>17615.900000000001</v>
      </c>
      <c r="S85" s="26">
        <v>3858140000</v>
      </c>
      <c r="T85">
        <v>0</v>
      </c>
      <c r="U85" s="25">
        <v>0.15579999999999999</v>
      </c>
    </row>
    <row r="86" spans="1:21" hidden="1" x14ac:dyDescent="0.25">
      <c r="A86" t="s">
        <v>27</v>
      </c>
      <c r="B86">
        <v>9.5</v>
      </c>
      <c r="C86">
        <v>5.36</v>
      </c>
      <c r="D86">
        <v>1.35</v>
      </c>
      <c r="E86">
        <v>0.94299999999999995</v>
      </c>
      <c r="F86" s="25">
        <v>8.8499999999999995E-2</v>
      </c>
      <c r="G86">
        <v>1.0580000000000001</v>
      </c>
      <c r="H86">
        <v>3.16</v>
      </c>
      <c r="I86">
        <v>4.6100000000000003</v>
      </c>
      <c r="J86">
        <v>3.82</v>
      </c>
      <c r="K86">
        <v>4.09</v>
      </c>
      <c r="L86">
        <v>3.53</v>
      </c>
      <c r="M86" s="25">
        <v>0.20469999999999999</v>
      </c>
      <c r="N86" s="25">
        <v>0.1759</v>
      </c>
      <c r="O86">
        <v>3.09</v>
      </c>
      <c r="P86" s="25">
        <v>0.27610000000000001</v>
      </c>
      <c r="Q86" s="25">
        <v>0.2525</v>
      </c>
      <c r="R86" s="26">
        <v>298087</v>
      </c>
      <c r="S86" s="26">
        <v>296523000</v>
      </c>
      <c r="T86">
        <v>0.01</v>
      </c>
      <c r="U86" s="25">
        <v>0.30299999999999999</v>
      </c>
    </row>
    <row r="87" spans="1:21" hidden="1" x14ac:dyDescent="0.25">
      <c r="A87" t="s">
        <v>251</v>
      </c>
      <c r="B87">
        <v>4.93</v>
      </c>
      <c r="C87">
        <v>8.44</v>
      </c>
      <c r="D87">
        <v>0.49</v>
      </c>
      <c r="E87">
        <v>0.14299999999999999</v>
      </c>
      <c r="F87" s="25">
        <v>5.9499999999999997E-2</v>
      </c>
      <c r="G87">
        <v>0.14199999999999999</v>
      </c>
      <c r="H87">
        <v>0.81</v>
      </c>
      <c r="I87">
        <v>3.06</v>
      </c>
      <c r="J87">
        <v>-1.18</v>
      </c>
      <c r="K87">
        <v>9.9499999999999993</v>
      </c>
      <c r="L87">
        <v>6.74</v>
      </c>
      <c r="M87" s="25">
        <v>4.6800000000000001E-2</v>
      </c>
      <c r="N87" s="25">
        <v>1.7000000000000001E-2</v>
      </c>
      <c r="O87">
        <v>1.42</v>
      </c>
      <c r="P87" s="25">
        <v>6.8500000000000005E-2</v>
      </c>
      <c r="Q87" s="25">
        <v>5.8599999999999999E-2</v>
      </c>
      <c r="R87" s="26">
        <v>6482190</v>
      </c>
      <c r="S87" s="26">
        <v>3488880000</v>
      </c>
      <c r="T87">
        <v>1.58</v>
      </c>
      <c r="U87" s="25">
        <v>0.1105</v>
      </c>
    </row>
    <row r="88" spans="1:21" hidden="1" x14ac:dyDescent="0.25">
      <c r="A88" t="s">
        <v>226</v>
      </c>
      <c r="B88">
        <v>5.97</v>
      </c>
      <c r="C88">
        <v>-37.68</v>
      </c>
      <c r="D88">
        <v>1.91</v>
      </c>
      <c r="E88">
        <v>1.7569999999999999</v>
      </c>
      <c r="F88" s="25">
        <v>0.32650000000000001</v>
      </c>
      <c r="G88">
        <v>1.383</v>
      </c>
      <c r="H88">
        <v>3.11</v>
      </c>
      <c r="I88">
        <v>-39.86</v>
      </c>
      <c r="J88">
        <v>3.73</v>
      </c>
      <c r="K88">
        <v>-26.2</v>
      </c>
      <c r="L88">
        <v>-109.1</v>
      </c>
      <c r="M88" s="25">
        <v>-4.41E-2</v>
      </c>
      <c r="N88" s="25">
        <v>-5.33E-2</v>
      </c>
      <c r="O88">
        <v>3.35</v>
      </c>
      <c r="P88" s="25">
        <v>-6.8599999999999994E-2</v>
      </c>
      <c r="Q88" s="25">
        <v>-5.0700000000000002E-2</v>
      </c>
      <c r="R88" s="26">
        <v>27349000</v>
      </c>
      <c r="S88" s="26">
        <v>352593000</v>
      </c>
      <c r="T88">
        <v>0</v>
      </c>
      <c r="U88" s="25">
        <v>0.21690000000000001</v>
      </c>
    </row>
    <row r="89" spans="1:21" hidden="1" x14ac:dyDescent="0.25">
      <c r="A89" t="s">
        <v>137</v>
      </c>
      <c r="B89">
        <v>4.7699999999999996</v>
      </c>
      <c r="C89">
        <v>17.190000000000001</v>
      </c>
      <c r="D89">
        <v>0.73</v>
      </c>
      <c r="E89">
        <v>0.35199999999999998</v>
      </c>
      <c r="F89" s="25">
        <v>0</v>
      </c>
      <c r="G89">
        <v>0.23200000000000001</v>
      </c>
      <c r="H89">
        <v>1.71</v>
      </c>
      <c r="I89">
        <v>4.28</v>
      </c>
      <c r="J89">
        <v>-0.67</v>
      </c>
      <c r="K89">
        <v>8.67</v>
      </c>
      <c r="L89">
        <v>4.5</v>
      </c>
      <c r="M89" s="25">
        <v>8.2299999999999998E-2</v>
      </c>
      <c r="N89" s="25">
        <v>3.3000000000000002E-2</v>
      </c>
      <c r="O89">
        <v>1.77</v>
      </c>
      <c r="P89" s="25">
        <v>6.4600000000000005E-2</v>
      </c>
      <c r="Q89" s="25">
        <v>4.2200000000000001E-2</v>
      </c>
      <c r="R89" s="26">
        <v>20087600</v>
      </c>
      <c r="S89" s="26">
        <v>4280660000</v>
      </c>
      <c r="T89">
        <v>0.94</v>
      </c>
      <c r="U89" s="25">
        <v>-2.0299999999999999E-2</v>
      </c>
    </row>
    <row r="90" spans="1:21" hidden="1" x14ac:dyDescent="0.25">
      <c r="A90" t="s">
        <v>351</v>
      </c>
      <c r="B90">
        <v>14.83</v>
      </c>
      <c r="C90">
        <v>8.15</v>
      </c>
      <c r="D90">
        <v>0.66</v>
      </c>
      <c r="E90">
        <v>0.627</v>
      </c>
      <c r="F90" s="25">
        <v>2.8199999999999999E-2</v>
      </c>
      <c r="G90">
        <v>0.28299999999999997</v>
      </c>
      <c r="H90">
        <v>-2.15</v>
      </c>
      <c r="I90">
        <v>4.8499999999999996</v>
      </c>
      <c r="J90">
        <v>-0.79</v>
      </c>
      <c r="K90">
        <v>8.61</v>
      </c>
      <c r="L90">
        <v>4.95</v>
      </c>
      <c r="M90" s="25">
        <v>0.12920000000000001</v>
      </c>
      <c r="N90" s="25">
        <v>7.6899999999999996E-2</v>
      </c>
      <c r="O90">
        <v>0.62</v>
      </c>
      <c r="P90" s="25">
        <v>6.3899999999999998E-2</v>
      </c>
      <c r="Q90" s="25">
        <v>8.14E-2</v>
      </c>
      <c r="R90" s="26">
        <v>1011.12</v>
      </c>
      <c r="S90" s="26">
        <v>8493750000</v>
      </c>
      <c r="T90">
        <v>0.55000000000000004</v>
      </c>
      <c r="U90" s="25">
        <v>5.4899999999999997E-2</v>
      </c>
    </row>
    <row r="91" spans="1:21" hidden="1" x14ac:dyDescent="0.25">
      <c r="A91" t="s">
        <v>195</v>
      </c>
      <c r="B91">
        <v>17.27</v>
      </c>
      <c r="C91">
        <v>13.8</v>
      </c>
      <c r="D91">
        <v>1.63</v>
      </c>
      <c r="E91">
        <v>0.68300000000000005</v>
      </c>
      <c r="F91" s="25">
        <v>2.2100000000000002E-2</v>
      </c>
      <c r="G91">
        <v>0.57399999999999995</v>
      </c>
      <c r="H91">
        <v>5.29</v>
      </c>
      <c r="I91">
        <v>5.38</v>
      </c>
      <c r="J91">
        <v>-3.21</v>
      </c>
      <c r="K91">
        <v>5.31</v>
      </c>
      <c r="L91">
        <v>4.22</v>
      </c>
      <c r="M91" s="25">
        <v>0.1268</v>
      </c>
      <c r="N91" s="25">
        <v>4.9500000000000002E-2</v>
      </c>
      <c r="O91">
        <v>1.3</v>
      </c>
      <c r="P91" s="25">
        <v>0.16889999999999999</v>
      </c>
      <c r="Q91" s="25">
        <v>0.1182</v>
      </c>
      <c r="R91" s="26">
        <v>49656700</v>
      </c>
      <c r="S91" s="26">
        <v>3262550000</v>
      </c>
      <c r="T91">
        <v>0.44</v>
      </c>
      <c r="U91" s="25">
        <v>0.17480000000000001</v>
      </c>
    </row>
    <row r="92" spans="1:21" hidden="1" x14ac:dyDescent="0.25">
      <c r="A92" t="s">
        <v>352</v>
      </c>
      <c r="B92">
        <v>19.149999999999999</v>
      </c>
      <c r="C92">
        <v>7.65</v>
      </c>
      <c r="D92">
        <v>1.24</v>
      </c>
      <c r="E92">
        <v>3.5329999999999999</v>
      </c>
      <c r="F92" s="25">
        <v>0.1031</v>
      </c>
      <c r="G92">
        <v>0.90200000000000002</v>
      </c>
      <c r="H92">
        <v>1.77</v>
      </c>
      <c r="I92">
        <v>10.5</v>
      </c>
      <c r="J92">
        <v>1.91</v>
      </c>
      <c r="K92">
        <v>5.31</v>
      </c>
      <c r="L92">
        <v>4.99</v>
      </c>
      <c r="M92" s="25">
        <v>0.3367</v>
      </c>
      <c r="N92" s="25">
        <v>0.60240000000000005</v>
      </c>
      <c r="O92">
        <v>9.39</v>
      </c>
      <c r="P92" s="25">
        <v>0.15870000000000001</v>
      </c>
      <c r="Q92" s="25">
        <v>0.1618</v>
      </c>
      <c r="R92" s="26">
        <v>102586</v>
      </c>
      <c r="S92" s="26">
        <v>1115020000</v>
      </c>
      <c r="T92">
        <v>0</v>
      </c>
      <c r="U92" s="25">
        <v>3.6600000000000001E-2</v>
      </c>
    </row>
    <row r="93" spans="1:21" hidden="1" x14ac:dyDescent="0.25">
      <c r="A93" t="s">
        <v>353</v>
      </c>
      <c r="B93">
        <v>19</v>
      </c>
      <c r="C93">
        <v>7.59</v>
      </c>
      <c r="D93">
        <v>1.23</v>
      </c>
      <c r="E93">
        <v>3.5059999999999998</v>
      </c>
      <c r="F93" s="25">
        <v>0.10390000000000001</v>
      </c>
      <c r="G93">
        <v>0.89500000000000002</v>
      </c>
      <c r="H93">
        <v>1.75</v>
      </c>
      <c r="I93">
        <v>10.41</v>
      </c>
      <c r="J93">
        <v>1.89</v>
      </c>
      <c r="K93">
        <v>5.23</v>
      </c>
      <c r="L93">
        <v>4.91</v>
      </c>
      <c r="M93" s="25">
        <v>0.3367</v>
      </c>
      <c r="N93" s="25">
        <v>0.60240000000000005</v>
      </c>
      <c r="O93">
        <v>9.39</v>
      </c>
      <c r="P93" s="25">
        <v>0.15870000000000001</v>
      </c>
      <c r="Q93" s="25">
        <v>0.1618</v>
      </c>
      <c r="R93" s="26">
        <v>65509.3</v>
      </c>
      <c r="S93" s="26">
        <v>1115020000</v>
      </c>
      <c r="T93">
        <v>0</v>
      </c>
      <c r="U93" s="25">
        <v>3.6600000000000001E-2</v>
      </c>
    </row>
    <row r="94" spans="1:21" hidden="1" x14ac:dyDescent="0.25">
      <c r="A94" t="s">
        <v>20</v>
      </c>
      <c r="B94">
        <v>20.86</v>
      </c>
      <c r="C94">
        <v>8.34</v>
      </c>
      <c r="D94">
        <v>1.35</v>
      </c>
      <c r="E94">
        <v>3.8490000000000002</v>
      </c>
      <c r="F94" s="25">
        <v>0.1041</v>
      </c>
      <c r="G94">
        <v>0.98299999999999998</v>
      </c>
      <c r="H94">
        <v>1.92</v>
      </c>
      <c r="I94">
        <v>11.43</v>
      </c>
      <c r="J94">
        <v>2.08</v>
      </c>
      <c r="K94">
        <v>6.25</v>
      </c>
      <c r="L94">
        <v>5.87</v>
      </c>
      <c r="M94" s="25">
        <v>0.3367</v>
      </c>
      <c r="N94" s="25">
        <v>0.60240000000000005</v>
      </c>
      <c r="O94">
        <v>9.39</v>
      </c>
      <c r="P94" s="25">
        <v>0.15870000000000001</v>
      </c>
      <c r="Q94" s="25">
        <v>0.1618</v>
      </c>
      <c r="R94" s="26">
        <v>118324</v>
      </c>
      <c r="S94" s="26">
        <v>1115020000</v>
      </c>
      <c r="T94">
        <v>0</v>
      </c>
      <c r="U94" s="25">
        <v>3.6600000000000001E-2</v>
      </c>
    </row>
    <row r="95" spans="1:21" hidden="1" x14ac:dyDescent="0.25">
      <c r="A95" t="s">
        <v>354</v>
      </c>
      <c r="B95">
        <v>21</v>
      </c>
      <c r="C95">
        <v>2.1</v>
      </c>
      <c r="D95">
        <v>0.67</v>
      </c>
      <c r="E95">
        <v>0.20300000000000001</v>
      </c>
      <c r="F95" s="25">
        <v>0</v>
      </c>
      <c r="G95">
        <v>0.216</v>
      </c>
      <c r="H95">
        <v>3.17</v>
      </c>
      <c r="I95">
        <v>1.1599999999999999</v>
      </c>
      <c r="J95">
        <v>-0.87</v>
      </c>
      <c r="K95">
        <v>3.28</v>
      </c>
      <c r="L95">
        <v>2.89</v>
      </c>
      <c r="M95" s="25">
        <v>0.17499999999999999</v>
      </c>
      <c r="N95" s="25">
        <v>9.64E-2</v>
      </c>
      <c r="O95">
        <v>1.19</v>
      </c>
      <c r="P95" s="25">
        <v>0.2024</v>
      </c>
      <c r="Q95" s="25">
        <v>0.31819999999999998</v>
      </c>
      <c r="R95" s="26">
        <v>1251.8800000000001</v>
      </c>
      <c r="S95" s="26">
        <v>313676000</v>
      </c>
      <c r="T95">
        <v>1.25</v>
      </c>
      <c r="U95" s="25">
        <v>9.4399999999999998E-2</v>
      </c>
    </row>
    <row r="96" spans="1:21" hidden="1" x14ac:dyDescent="0.25">
      <c r="A96" t="s">
        <v>355</v>
      </c>
      <c r="B96">
        <v>16.329999999999998</v>
      </c>
      <c r="C96">
        <v>1.64</v>
      </c>
      <c r="D96">
        <v>0.52</v>
      </c>
      <c r="E96">
        <v>0.158</v>
      </c>
      <c r="F96" s="25">
        <v>0</v>
      </c>
      <c r="G96">
        <v>0.16800000000000001</v>
      </c>
      <c r="H96">
        <v>2.46</v>
      </c>
      <c r="I96">
        <v>0.9</v>
      </c>
      <c r="J96">
        <v>-0.68</v>
      </c>
      <c r="K96">
        <v>3.03</v>
      </c>
      <c r="L96">
        <v>2.67</v>
      </c>
      <c r="M96" s="25">
        <v>0.17499999999999999</v>
      </c>
      <c r="N96" s="25">
        <v>9.64E-2</v>
      </c>
      <c r="O96">
        <v>1.19</v>
      </c>
      <c r="P96" s="25">
        <v>0.2024</v>
      </c>
      <c r="Q96" s="25">
        <v>0.31819999999999998</v>
      </c>
      <c r="R96" s="26">
        <v>25095</v>
      </c>
      <c r="S96" s="26">
        <v>313676000</v>
      </c>
      <c r="T96">
        <v>1.25</v>
      </c>
      <c r="U96" s="25">
        <v>9.4399999999999998E-2</v>
      </c>
    </row>
    <row r="97" spans="1:21" hidden="1" x14ac:dyDescent="0.25">
      <c r="A97" t="s">
        <v>356</v>
      </c>
      <c r="B97">
        <v>37.28</v>
      </c>
      <c r="C97">
        <v>4.58</v>
      </c>
      <c r="D97">
        <v>1.1499999999999999</v>
      </c>
      <c r="E97">
        <v>0.55800000000000005</v>
      </c>
      <c r="F97" s="25">
        <v>4.9500000000000002E-2</v>
      </c>
      <c r="G97">
        <v>0.30599999999999999</v>
      </c>
      <c r="H97">
        <v>-11.28</v>
      </c>
      <c r="I97">
        <v>2.2200000000000002</v>
      </c>
      <c r="J97">
        <v>-0.54</v>
      </c>
      <c r="K97">
        <v>5.65</v>
      </c>
      <c r="L97">
        <v>4.59</v>
      </c>
      <c r="M97" s="25">
        <v>0.25109999999999999</v>
      </c>
      <c r="N97" s="25">
        <v>0.12180000000000001</v>
      </c>
      <c r="O97">
        <v>0.86</v>
      </c>
      <c r="P97" s="25">
        <v>0.14580000000000001</v>
      </c>
      <c r="Q97" s="25">
        <v>0.252</v>
      </c>
      <c r="R97" s="26">
        <v>13391.1</v>
      </c>
      <c r="S97" s="26">
        <v>8461000000</v>
      </c>
      <c r="T97">
        <v>1.84</v>
      </c>
      <c r="U97" s="25">
        <v>6.5100000000000005E-2</v>
      </c>
    </row>
    <row r="98" spans="1:21" hidden="1" x14ac:dyDescent="0.25">
      <c r="A98" t="s">
        <v>357</v>
      </c>
      <c r="B98">
        <v>37.43</v>
      </c>
      <c r="C98">
        <v>4.5999999999999996</v>
      </c>
      <c r="D98">
        <v>1.1599999999999999</v>
      </c>
      <c r="E98">
        <v>0.56000000000000005</v>
      </c>
      <c r="F98" s="25">
        <v>4.9299999999999997E-2</v>
      </c>
      <c r="G98">
        <v>0.307</v>
      </c>
      <c r="H98">
        <v>-11.33</v>
      </c>
      <c r="I98">
        <v>2.23</v>
      </c>
      <c r="J98">
        <v>-0.54</v>
      </c>
      <c r="K98">
        <v>5.66</v>
      </c>
      <c r="L98">
        <v>4.59</v>
      </c>
      <c r="M98" s="25">
        <v>0.25109999999999999</v>
      </c>
      <c r="N98" s="25">
        <v>0.12180000000000001</v>
      </c>
      <c r="O98">
        <v>0.86</v>
      </c>
      <c r="P98" s="25">
        <v>0.14580000000000001</v>
      </c>
      <c r="Q98" s="25">
        <v>0.252</v>
      </c>
      <c r="R98" s="26">
        <v>474.31</v>
      </c>
      <c r="S98" s="26">
        <v>8461000000</v>
      </c>
      <c r="T98">
        <v>1.84</v>
      </c>
      <c r="U98" s="25">
        <v>6.5100000000000005E-2</v>
      </c>
    </row>
    <row r="99" spans="1:21" hidden="1" x14ac:dyDescent="0.25">
      <c r="A99" t="s">
        <v>358</v>
      </c>
      <c r="B99">
        <v>7.09</v>
      </c>
      <c r="C99">
        <v>-1.02</v>
      </c>
      <c r="D99">
        <v>-0.13</v>
      </c>
      <c r="E99">
        <v>8.5999999999999993E-2</v>
      </c>
      <c r="F99" s="25">
        <v>0</v>
      </c>
      <c r="G99">
        <v>5.8999999999999997E-2</v>
      </c>
      <c r="H99">
        <v>1.59</v>
      </c>
      <c r="I99">
        <v>0.81</v>
      </c>
      <c r="J99">
        <v>-0.05</v>
      </c>
      <c r="K99">
        <v>9.17</v>
      </c>
      <c r="L99">
        <v>7.14</v>
      </c>
      <c r="M99" s="25">
        <v>0.1061</v>
      </c>
      <c r="N99" s="25">
        <v>-8.4500000000000006E-2</v>
      </c>
      <c r="O99">
        <v>1.1299999999999999</v>
      </c>
      <c r="P99" s="25">
        <v>8.6699999999999999E-2</v>
      </c>
      <c r="Q99" s="25">
        <v>0.13139999999999999</v>
      </c>
      <c r="R99" s="26">
        <v>2302.14</v>
      </c>
      <c r="S99" s="26">
        <v>-3617840000</v>
      </c>
      <c r="T99">
        <v>-1.58</v>
      </c>
      <c r="U99" s="25">
        <v>8.8400000000000006E-2</v>
      </c>
    </row>
    <row r="100" spans="1:21" hidden="1" x14ac:dyDescent="0.25">
      <c r="A100" t="s">
        <v>359</v>
      </c>
      <c r="B100">
        <v>123.6</v>
      </c>
      <c r="C100">
        <v>9.32</v>
      </c>
      <c r="D100">
        <v>11.53</v>
      </c>
      <c r="E100">
        <v>1.1000000000000001</v>
      </c>
      <c r="F100" s="25">
        <v>8.0299999999999996E-2</v>
      </c>
      <c r="G100">
        <v>1.1679999999999999</v>
      </c>
      <c r="H100">
        <v>9.1199999999999992</v>
      </c>
      <c r="I100">
        <v>5.64</v>
      </c>
      <c r="J100">
        <v>-1.84</v>
      </c>
      <c r="K100">
        <v>8.17</v>
      </c>
      <c r="L100">
        <v>6.64</v>
      </c>
      <c r="M100" s="25">
        <v>0.1951</v>
      </c>
      <c r="N100" s="25">
        <v>0.1179</v>
      </c>
      <c r="O100">
        <v>1.95</v>
      </c>
      <c r="P100" s="25">
        <v>0.2429</v>
      </c>
      <c r="Q100" s="25">
        <v>1.2369000000000001</v>
      </c>
      <c r="R100" s="26">
        <v>10825.2</v>
      </c>
      <c r="S100" s="26">
        <v>1420180000</v>
      </c>
      <c r="T100">
        <v>5.98</v>
      </c>
      <c r="U100" s="25">
        <v>0.1389</v>
      </c>
    </row>
    <row r="101" spans="1:21" hidden="1" x14ac:dyDescent="0.25">
      <c r="A101" t="s">
        <v>360</v>
      </c>
      <c r="B101">
        <v>128.55000000000001</v>
      </c>
      <c r="C101">
        <v>9.6999999999999993</v>
      </c>
      <c r="D101">
        <v>12</v>
      </c>
      <c r="E101">
        <v>1.1439999999999999</v>
      </c>
      <c r="F101" s="25">
        <v>8.5000000000000006E-2</v>
      </c>
      <c r="G101">
        <v>1.214</v>
      </c>
      <c r="H101">
        <v>9.48</v>
      </c>
      <c r="I101">
        <v>5.86</v>
      </c>
      <c r="J101">
        <v>-1.91</v>
      </c>
      <c r="K101">
        <v>8.39</v>
      </c>
      <c r="L101">
        <v>6.83</v>
      </c>
      <c r="M101" s="25">
        <v>0.1951</v>
      </c>
      <c r="N101" s="25">
        <v>0.1179</v>
      </c>
      <c r="O101">
        <v>1.95</v>
      </c>
      <c r="P101" s="25">
        <v>0.2429</v>
      </c>
      <c r="Q101" s="25">
        <v>1.2369000000000001</v>
      </c>
      <c r="R101" s="26">
        <v>99844.2</v>
      </c>
      <c r="S101" s="26">
        <v>1420180000</v>
      </c>
      <c r="T101">
        <v>5.98</v>
      </c>
      <c r="U101" s="25">
        <v>0.1389</v>
      </c>
    </row>
    <row r="102" spans="1:21" hidden="1" x14ac:dyDescent="0.25">
      <c r="A102" t="s">
        <v>361</v>
      </c>
      <c r="B102">
        <v>27.75</v>
      </c>
      <c r="C102">
        <v>5.52</v>
      </c>
      <c r="D102">
        <v>0.6</v>
      </c>
      <c r="E102">
        <v>0.77600000000000002</v>
      </c>
      <c r="F102" s="25">
        <v>0.1163</v>
      </c>
      <c r="G102">
        <v>0.43</v>
      </c>
      <c r="H102">
        <v>1.59</v>
      </c>
      <c r="I102">
        <v>6.61</v>
      </c>
      <c r="J102">
        <v>2.66</v>
      </c>
      <c r="K102">
        <v>4.2300000000000004</v>
      </c>
      <c r="L102">
        <v>3.21</v>
      </c>
      <c r="M102" s="25">
        <v>0.1174</v>
      </c>
      <c r="N102" s="25">
        <v>0.14069999999999999</v>
      </c>
      <c r="O102">
        <v>2.52</v>
      </c>
      <c r="P102" s="25">
        <v>8.6199999999999999E-2</v>
      </c>
      <c r="Q102" s="25">
        <v>0.10929999999999999</v>
      </c>
      <c r="R102" s="26">
        <v>101163</v>
      </c>
      <c r="S102" s="26">
        <v>947333000</v>
      </c>
      <c r="T102">
        <v>0</v>
      </c>
      <c r="U102" s="25">
        <v>0.10879999999999999</v>
      </c>
    </row>
    <row r="103" spans="1:21" hidden="1" x14ac:dyDescent="0.25">
      <c r="A103" t="s">
        <v>4</v>
      </c>
      <c r="B103">
        <v>27.75</v>
      </c>
      <c r="C103">
        <v>5.52</v>
      </c>
      <c r="D103">
        <v>0.6</v>
      </c>
      <c r="E103">
        <v>0.77600000000000002</v>
      </c>
      <c r="F103" s="25">
        <v>0.1163</v>
      </c>
      <c r="G103">
        <v>0.43</v>
      </c>
      <c r="H103">
        <v>1.59</v>
      </c>
      <c r="I103">
        <v>6.61</v>
      </c>
      <c r="J103">
        <v>2.66</v>
      </c>
      <c r="K103">
        <v>4.2300000000000004</v>
      </c>
      <c r="L103">
        <v>3.21</v>
      </c>
      <c r="M103" s="25">
        <v>0.1174</v>
      </c>
      <c r="N103" s="25">
        <v>0.14069999999999999</v>
      </c>
      <c r="O103">
        <v>2.52</v>
      </c>
      <c r="P103" s="25">
        <v>8.6199999999999999E-2</v>
      </c>
      <c r="Q103" s="25">
        <v>0.10929999999999999</v>
      </c>
      <c r="R103" s="26">
        <v>317299</v>
      </c>
      <c r="S103" s="26">
        <v>947333000</v>
      </c>
      <c r="T103">
        <v>0</v>
      </c>
      <c r="U103" s="25">
        <v>0.10879999999999999</v>
      </c>
    </row>
    <row r="104" spans="1:21" hidden="1" x14ac:dyDescent="0.25">
      <c r="A104" t="s">
        <v>362</v>
      </c>
      <c r="B104">
        <v>95.99</v>
      </c>
      <c r="C104">
        <v>5.03</v>
      </c>
      <c r="D104">
        <v>0.96</v>
      </c>
      <c r="E104">
        <v>0.33500000000000002</v>
      </c>
      <c r="F104" s="25">
        <v>6.8400000000000002E-2</v>
      </c>
      <c r="G104">
        <v>0.27600000000000002</v>
      </c>
      <c r="H104">
        <v>3.96</v>
      </c>
      <c r="I104">
        <v>3.28</v>
      </c>
      <c r="J104">
        <v>-0.7</v>
      </c>
      <c r="K104">
        <v>6.35</v>
      </c>
      <c r="L104" s="26">
        <v>4.83</v>
      </c>
      <c r="M104" s="25">
        <v>0.1022</v>
      </c>
      <c r="N104" s="25">
        <v>6.6699999999999995E-2</v>
      </c>
      <c r="O104">
        <v>1.28</v>
      </c>
      <c r="P104" s="25">
        <v>9.6699999999999994E-2</v>
      </c>
      <c r="Q104" s="25">
        <v>0.19059999999999999</v>
      </c>
      <c r="R104" s="26">
        <v>6520.93</v>
      </c>
      <c r="S104" s="26">
        <v>3863830000</v>
      </c>
      <c r="T104">
        <v>1.0900000000000001</v>
      </c>
      <c r="U104" s="25">
        <v>2.5100000000000001E-2</v>
      </c>
    </row>
    <row r="105" spans="1:21" hidden="1" x14ac:dyDescent="0.25">
      <c r="A105" t="s">
        <v>363</v>
      </c>
      <c r="B105">
        <v>104.82</v>
      </c>
      <c r="C105">
        <v>5.49</v>
      </c>
      <c r="D105">
        <v>1.05</v>
      </c>
      <c r="E105">
        <v>0.36599999999999999</v>
      </c>
      <c r="F105" s="25">
        <v>6.8900000000000003E-2</v>
      </c>
      <c r="G105">
        <v>0.30099999999999999</v>
      </c>
      <c r="H105">
        <v>4.32</v>
      </c>
      <c r="I105">
        <v>3.59</v>
      </c>
      <c r="J105">
        <v>-0.76</v>
      </c>
      <c r="K105">
        <v>6.66</v>
      </c>
      <c r="L105">
        <v>5.0599999999999996</v>
      </c>
      <c r="M105" s="25">
        <v>0.1022</v>
      </c>
      <c r="N105" s="25">
        <v>6.6699999999999995E-2</v>
      </c>
      <c r="O105">
        <v>1.28</v>
      </c>
      <c r="P105" s="25">
        <v>9.6699999999999994E-2</v>
      </c>
      <c r="Q105" s="25">
        <v>0.19059999999999999</v>
      </c>
      <c r="R105" s="26">
        <v>377119</v>
      </c>
      <c r="S105" s="26">
        <v>3863830000</v>
      </c>
      <c r="T105">
        <v>1.0900000000000001</v>
      </c>
      <c r="U105" s="25">
        <v>2.5100000000000001E-2</v>
      </c>
    </row>
    <row r="106" spans="1:21" hidden="1" x14ac:dyDescent="0.25">
      <c r="A106" t="s">
        <v>364</v>
      </c>
      <c r="B106">
        <v>14.98</v>
      </c>
      <c r="C106">
        <v>6.12</v>
      </c>
      <c r="D106">
        <v>1.54</v>
      </c>
      <c r="E106">
        <v>1.056</v>
      </c>
      <c r="F106" s="25">
        <v>8.6999999999999994E-2</v>
      </c>
      <c r="G106">
        <v>0.67100000000000004</v>
      </c>
      <c r="H106">
        <v>49.38</v>
      </c>
      <c r="I106">
        <v>6.14</v>
      </c>
      <c r="J106">
        <v>-2.09</v>
      </c>
      <c r="K106">
        <v>7.65</v>
      </c>
      <c r="L106">
        <v>6.37</v>
      </c>
      <c r="M106" s="25">
        <v>0.17180000000000001</v>
      </c>
      <c r="N106" s="25">
        <v>0.17249999999999999</v>
      </c>
      <c r="O106">
        <v>1.06</v>
      </c>
      <c r="P106" s="25">
        <v>0.1241</v>
      </c>
      <c r="Q106" s="25">
        <v>0.25090000000000001</v>
      </c>
      <c r="R106" s="26">
        <v>5551200</v>
      </c>
      <c r="S106" s="26">
        <v>27914500000</v>
      </c>
      <c r="T106">
        <v>0.55000000000000004</v>
      </c>
      <c r="U106" s="25">
        <v>9.9699999999999997E-2</v>
      </c>
    </row>
    <row r="107" spans="1:21" hidden="1" x14ac:dyDescent="0.25">
      <c r="A107" t="s">
        <v>22</v>
      </c>
      <c r="B107">
        <v>10.58</v>
      </c>
      <c r="C107">
        <v>4.32</v>
      </c>
      <c r="D107">
        <v>1.08</v>
      </c>
      <c r="E107">
        <v>0.746</v>
      </c>
      <c r="F107" s="25">
        <v>0.1232</v>
      </c>
      <c r="G107">
        <v>0.47399999999999998</v>
      </c>
      <c r="H107">
        <v>34.869999999999997</v>
      </c>
      <c r="I107">
        <v>4.34</v>
      </c>
      <c r="J107">
        <v>-1.48</v>
      </c>
      <c r="K107">
        <v>5.85</v>
      </c>
      <c r="L107">
        <v>4.87</v>
      </c>
      <c r="M107" s="25">
        <v>0.17180000000000001</v>
      </c>
      <c r="N107" s="25">
        <v>0.17249999999999999</v>
      </c>
      <c r="O107">
        <v>1.06</v>
      </c>
      <c r="P107" s="25">
        <v>0.1241</v>
      </c>
      <c r="Q107" s="25">
        <v>0.25090000000000001</v>
      </c>
      <c r="R107" s="26">
        <v>116043000</v>
      </c>
      <c r="S107" s="26">
        <v>27914500000</v>
      </c>
      <c r="T107">
        <v>0.55000000000000004</v>
      </c>
      <c r="U107" s="25">
        <v>9.9699999999999997E-2</v>
      </c>
    </row>
    <row r="108" spans="1:21" hidden="1" x14ac:dyDescent="0.25">
      <c r="A108" t="s">
        <v>365</v>
      </c>
      <c r="B108">
        <v>5.37</v>
      </c>
      <c r="C108">
        <v>8.15</v>
      </c>
      <c r="D108">
        <v>2.88</v>
      </c>
      <c r="E108">
        <v>1.7430000000000001</v>
      </c>
      <c r="F108" s="25">
        <v>0.15459999999999999</v>
      </c>
      <c r="G108">
        <v>0.83399999999999996</v>
      </c>
      <c r="H108">
        <v>3.19</v>
      </c>
      <c r="I108">
        <v>5.86</v>
      </c>
      <c r="J108">
        <v>-3.5</v>
      </c>
      <c r="K108">
        <v>4.97</v>
      </c>
      <c r="L108">
        <v>4.03</v>
      </c>
      <c r="M108" s="25">
        <v>0.29749999999999999</v>
      </c>
      <c r="N108" s="25">
        <v>0.21379999999999999</v>
      </c>
      <c r="O108">
        <v>2.2400000000000002</v>
      </c>
      <c r="P108" s="25">
        <v>0.26140000000000002</v>
      </c>
      <c r="Q108" s="25">
        <v>0.35299999999999998</v>
      </c>
      <c r="R108" s="26">
        <v>31446200</v>
      </c>
      <c r="S108" s="26">
        <v>10233800000</v>
      </c>
      <c r="T108">
        <v>0.96</v>
      </c>
      <c r="U108" s="25">
        <v>-4.8999999999999998E-3</v>
      </c>
    </row>
    <row r="109" spans="1:21" hidden="1" x14ac:dyDescent="0.25">
      <c r="A109" t="s">
        <v>366</v>
      </c>
      <c r="B109">
        <v>26</v>
      </c>
      <c r="C109">
        <v>6.03</v>
      </c>
      <c r="D109">
        <v>0.43</v>
      </c>
      <c r="E109">
        <v>0.26600000000000001</v>
      </c>
      <c r="F109" s="25">
        <v>4.6899999999999997E-2</v>
      </c>
      <c r="G109">
        <v>0.15</v>
      </c>
      <c r="H109">
        <v>-0.65</v>
      </c>
      <c r="I109">
        <v>1.85</v>
      </c>
      <c r="J109">
        <v>-0.34</v>
      </c>
      <c r="K109">
        <v>6.34</v>
      </c>
      <c r="L109">
        <v>4.08</v>
      </c>
      <c r="M109" s="25">
        <v>0.1439</v>
      </c>
      <c r="N109" s="25">
        <v>4.3999999999999997E-2</v>
      </c>
      <c r="O109">
        <v>0.48</v>
      </c>
      <c r="P109" s="25">
        <v>9.0300000000000005E-2</v>
      </c>
      <c r="Q109" s="25">
        <v>7.1900000000000006E-2</v>
      </c>
      <c r="R109" s="26">
        <v>3893.95</v>
      </c>
      <c r="S109" s="26">
        <v>5174440000</v>
      </c>
      <c r="T109">
        <v>1.1100000000000001</v>
      </c>
      <c r="U109" s="25">
        <v>6.7100000000000007E-2</v>
      </c>
    </row>
    <row r="110" spans="1:21" hidden="1" x14ac:dyDescent="0.25">
      <c r="A110" t="s">
        <v>194</v>
      </c>
      <c r="B110">
        <v>27.65</v>
      </c>
      <c r="C110">
        <v>6.42</v>
      </c>
      <c r="D110">
        <v>0.46</v>
      </c>
      <c r="E110">
        <v>0.28299999999999997</v>
      </c>
      <c r="F110" s="25">
        <v>4.41E-2</v>
      </c>
      <c r="G110">
        <v>0.16</v>
      </c>
      <c r="H110">
        <v>-0.69</v>
      </c>
      <c r="I110">
        <v>1.96</v>
      </c>
      <c r="J110">
        <v>-0.36</v>
      </c>
      <c r="K110">
        <v>6.45</v>
      </c>
      <c r="L110">
        <v>4.1500000000000004</v>
      </c>
      <c r="M110" s="25">
        <v>0.1439</v>
      </c>
      <c r="N110" s="25">
        <v>4.3999999999999997E-2</v>
      </c>
      <c r="O110">
        <v>0.48</v>
      </c>
      <c r="P110" s="25">
        <v>9.0300000000000005E-2</v>
      </c>
      <c r="Q110" s="25">
        <v>7.1900000000000006E-2</v>
      </c>
      <c r="R110" s="26">
        <v>187481</v>
      </c>
      <c r="S110" s="26">
        <v>5174440000</v>
      </c>
      <c r="T110">
        <v>1.1100000000000001</v>
      </c>
      <c r="U110" s="25">
        <v>6.7100000000000007E-2</v>
      </c>
    </row>
    <row r="111" spans="1:21" hidden="1" x14ac:dyDescent="0.25">
      <c r="A111" t="s">
        <v>218</v>
      </c>
      <c r="B111">
        <v>2.64</v>
      </c>
      <c r="C111">
        <v>5.04</v>
      </c>
      <c r="D111">
        <v>0.4</v>
      </c>
      <c r="E111">
        <v>0.76200000000000001</v>
      </c>
      <c r="F111" s="25">
        <v>2.53E-2</v>
      </c>
      <c r="G111">
        <v>0.20499999999999999</v>
      </c>
      <c r="H111">
        <v>3.8</v>
      </c>
      <c r="I111">
        <v>2.39</v>
      </c>
      <c r="J111">
        <v>-0.84</v>
      </c>
      <c r="K111">
        <v>5.0199999999999996</v>
      </c>
      <c r="L111">
        <v>3.76</v>
      </c>
      <c r="M111" s="25">
        <v>0.31909999999999999</v>
      </c>
      <c r="N111" s="25">
        <v>0.1676</v>
      </c>
      <c r="O111">
        <v>1.38</v>
      </c>
      <c r="P111" s="25">
        <v>9.5500000000000002E-2</v>
      </c>
      <c r="Q111" s="25">
        <v>7.9000000000000001E-2</v>
      </c>
      <c r="R111" s="26">
        <v>95544700</v>
      </c>
      <c r="S111" s="26">
        <v>12444500000</v>
      </c>
      <c r="T111">
        <v>0.55000000000000004</v>
      </c>
      <c r="U111" s="25">
        <v>8.7900000000000006E-2</v>
      </c>
    </row>
    <row r="112" spans="1:21" hidden="1" x14ac:dyDescent="0.25">
      <c r="A112" t="s">
        <v>103</v>
      </c>
      <c r="B112">
        <v>38.5</v>
      </c>
      <c r="C112">
        <v>8.32</v>
      </c>
      <c r="D112">
        <v>1.99</v>
      </c>
      <c r="E112">
        <v>1.0289999999999999</v>
      </c>
      <c r="F112" s="25">
        <v>7.2599999999999998E-2</v>
      </c>
      <c r="G112">
        <v>0.56399999999999995</v>
      </c>
      <c r="H112">
        <v>-178.13</v>
      </c>
      <c r="I112">
        <v>4.01</v>
      </c>
      <c r="J112">
        <v>-1.17</v>
      </c>
      <c r="K112">
        <v>6.2</v>
      </c>
      <c r="L112">
        <v>5.25</v>
      </c>
      <c r="M112" s="25">
        <v>0.25650000000000001</v>
      </c>
      <c r="N112" s="25">
        <v>0.13039999999999999</v>
      </c>
      <c r="O112">
        <v>0.99</v>
      </c>
      <c r="P112" s="25">
        <v>0.15609999999999999</v>
      </c>
      <c r="Q112" s="25">
        <v>0.2397</v>
      </c>
      <c r="R112" s="26">
        <v>46633100</v>
      </c>
      <c r="S112" s="26">
        <v>22249300000</v>
      </c>
      <c r="T112">
        <v>1.27</v>
      </c>
      <c r="U112" s="25">
        <v>6.1699999999999998E-2</v>
      </c>
    </row>
    <row r="113" spans="1:21" hidden="1" x14ac:dyDescent="0.25">
      <c r="A113" t="s">
        <v>93</v>
      </c>
      <c r="B113">
        <v>11.1</v>
      </c>
      <c r="C113">
        <v>11.25</v>
      </c>
      <c r="D113">
        <v>1.26</v>
      </c>
      <c r="E113">
        <v>1.4319999999999999</v>
      </c>
      <c r="F113" s="25">
        <v>6.6799999999999998E-2</v>
      </c>
      <c r="G113">
        <v>0.55000000000000004</v>
      </c>
      <c r="H113">
        <v>6.29</v>
      </c>
      <c r="I113">
        <v>7.97</v>
      </c>
      <c r="J113">
        <v>-1.85</v>
      </c>
      <c r="K113">
        <v>11.04</v>
      </c>
      <c r="L113">
        <v>8.17</v>
      </c>
      <c r="M113" s="25">
        <v>0.17960000000000001</v>
      </c>
      <c r="N113" s="25">
        <v>0.12670000000000001</v>
      </c>
      <c r="O113">
        <v>1.48</v>
      </c>
      <c r="P113" s="25">
        <v>8.0100000000000005E-2</v>
      </c>
      <c r="Q113" s="25">
        <v>0.112</v>
      </c>
      <c r="R113" s="26">
        <v>57462600</v>
      </c>
      <c r="S113" s="26">
        <v>26272200000</v>
      </c>
      <c r="T113">
        <v>0.72</v>
      </c>
      <c r="U113" s="25">
        <v>2.06E-2</v>
      </c>
    </row>
    <row r="114" spans="1:21" hidden="1" x14ac:dyDescent="0.25">
      <c r="A114" t="s">
        <v>367</v>
      </c>
      <c r="B114">
        <v>12.01</v>
      </c>
      <c r="C114">
        <v>12.17</v>
      </c>
      <c r="D114">
        <v>1.36</v>
      </c>
      <c r="E114">
        <v>1.5489999999999999</v>
      </c>
      <c r="F114" s="25">
        <v>6.7900000000000002E-2</v>
      </c>
      <c r="G114">
        <v>0.59499999999999997</v>
      </c>
      <c r="H114">
        <v>6.8</v>
      </c>
      <c r="I114">
        <v>8.6300000000000008</v>
      </c>
      <c r="J114">
        <v>-2.0099999999999998</v>
      </c>
      <c r="K114">
        <v>11.69</v>
      </c>
      <c r="L114">
        <v>8.66</v>
      </c>
      <c r="M114" s="25">
        <v>0.17960000000000001</v>
      </c>
      <c r="N114" s="25">
        <v>0.12670000000000001</v>
      </c>
      <c r="O114">
        <v>1.48</v>
      </c>
      <c r="P114" s="25">
        <v>8.0100000000000005E-2</v>
      </c>
      <c r="Q114" s="25">
        <v>0.112</v>
      </c>
      <c r="R114" s="26">
        <v>4526.67</v>
      </c>
      <c r="S114" s="26">
        <v>26272200000</v>
      </c>
      <c r="T114">
        <v>0.72</v>
      </c>
      <c r="U114" s="25">
        <v>2.06E-2</v>
      </c>
    </row>
    <row r="115" spans="1:21" hidden="1" x14ac:dyDescent="0.25">
      <c r="A115" t="s">
        <v>19</v>
      </c>
      <c r="B115">
        <v>11.88</v>
      </c>
      <c r="C115">
        <v>12.04</v>
      </c>
      <c r="D115">
        <v>1.35</v>
      </c>
      <c r="E115">
        <v>1.532</v>
      </c>
      <c r="F115" s="25">
        <v>6.8699999999999997E-2</v>
      </c>
      <c r="G115">
        <v>0.58799999999999997</v>
      </c>
      <c r="H115">
        <v>6.73</v>
      </c>
      <c r="I115">
        <v>8.5299999999999994</v>
      </c>
      <c r="J115">
        <v>-1.98</v>
      </c>
      <c r="K115">
        <v>11.6</v>
      </c>
      <c r="L115">
        <v>8.59</v>
      </c>
      <c r="M115" s="25">
        <v>0.17960000000000001</v>
      </c>
      <c r="N115" s="25">
        <v>0.12670000000000001</v>
      </c>
      <c r="O115">
        <v>1.48</v>
      </c>
      <c r="P115" s="25">
        <v>8.0100000000000005E-2</v>
      </c>
      <c r="Q115" s="25">
        <v>0.112</v>
      </c>
      <c r="R115" s="26">
        <v>141016000</v>
      </c>
      <c r="S115" s="26">
        <v>26272200000</v>
      </c>
      <c r="T115">
        <v>0.72</v>
      </c>
      <c r="U115" s="25">
        <v>2.06E-2</v>
      </c>
    </row>
    <row r="116" spans="1:21" hidden="1" x14ac:dyDescent="0.25">
      <c r="A116" t="s">
        <v>34</v>
      </c>
      <c r="B116">
        <v>8.48</v>
      </c>
      <c r="C116">
        <v>8.92</v>
      </c>
      <c r="D116">
        <v>0.84</v>
      </c>
      <c r="E116">
        <v>0.15</v>
      </c>
      <c r="F116" s="25">
        <v>1.12E-2</v>
      </c>
      <c r="G116">
        <v>0.19</v>
      </c>
      <c r="H116">
        <v>-25.37</v>
      </c>
      <c r="I116">
        <v>3.73</v>
      </c>
      <c r="J116">
        <v>-0.68</v>
      </c>
      <c r="K116">
        <v>7.24</v>
      </c>
      <c r="L116">
        <v>5.24</v>
      </c>
      <c r="M116" s="25">
        <v>4.0300000000000002E-2</v>
      </c>
      <c r="N116" s="25">
        <v>1.8599999999999998E-2</v>
      </c>
      <c r="O116">
        <v>0.98</v>
      </c>
      <c r="P116" s="25">
        <v>6.5799999999999997E-2</v>
      </c>
      <c r="Q116" s="25">
        <v>9.3600000000000003E-2</v>
      </c>
      <c r="R116" s="26">
        <v>4743860</v>
      </c>
      <c r="S116" s="26">
        <v>21416000000</v>
      </c>
      <c r="T116">
        <v>1.1100000000000001</v>
      </c>
      <c r="U116" s="25">
        <v>0.125</v>
      </c>
    </row>
    <row r="117" spans="1:21" hidden="1" x14ac:dyDescent="0.25">
      <c r="A117" t="s">
        <v>368</v>
      </c>
      <c r="B117">
        <v>15.61</v>
      </c>
      <c r="C117">
        <v>-3.85</v>
      </c>
      <c r="D117">
        <v>0.77</v>
      </c>
      <c r="E117">
        <v>0.63600000000000001</v>
      </c>
      <c r="F117" s="25">
        <v>0</v>
      </c>
      <c r="G117">
        <v>0.52</v>
      </c>
      <c r="H117" s="26">
        <v>1.23</v>
      </c>
      <c r="I117">
        <v>-12.22</v>
      </c>
      <c r="J117">
        <v>1.75</v>
      </c>
      <c r="K117">
        <v>-8.7100000000000009</v>
      </c>
      <c r="L117">
        <v>-47</v>
      </c>
      <c r="M117" s="25">
        <v>-5.21E-2</v>
      </c>
      <c r="N117" s="25">
        <v>-0.1651</v>
      </c>
      <c r="O117">
        <v>3.13</v>
      </c>
      <c r="P117" s="25">
        <v>-5.8700000000000002E-2</v>
      </c>
      <c r="Q117" s="25">
        <v>-0.1993</v>
      </c>
      <c r="R117" s="26">
        <v>1299.19</v>
      </c>
      <c r="S117" s="26">
        <v>589725000</v>
      </c>
      <c r="T117">
        <v>0.02</v>
      </c>
      <c r="U117" s="25">
        <v>-0.08</v>
      </c>
    </row>
    <row r="118" spans="1:21" hidden="1" x14ac:dyDescent="0.25">
      <c r="A118" t="s">
        <v>211</v>
      </c>
      <c r="B118">
        <v>16.22</v>
      </c>
      <c r="C118">
        <v>-4.01</v>
      </c>
      <c r="D118">
        <v>0.8</v>
      </c>
      <c r="E118">
        <v>0.66100000000000003</v>
      </c>
      <c r="F118" s="25">
        <v>0</v>
      </c>
      <c r="G118">
        <v>0.54</v>
      </c>
      <c r="H118" s="26">
        <v>1.28</v>
      </c>
      <c r="I118">
        <v>-12.7</v>
      </c>
      <c r="J118">
        <v>1.82</v>
      </c>
      <c r="K118">
        <v>-9.19</v>
      </c>
      <c r="L118">
        <v>-49.58</v>
      </c>
      <c r="M118" s="25">
        <v>-5.21E-2</v>
      </c>
      <c r="N118" s="25">
        <v>-0.1651</v>
      </c>
      <c r="O118">
        <v>3.13</v>
      </c>
      <c r="P118" s="25">
        <v>-5.8700000000000002E-2</v>
      </c>
      <c r="Q118" s="25">
        <v>-0.1993</v>
      </c>
      <c r="R118" s="26">
        <v>49535.199999999997</v>
      </c>
      <c r="S118" s="26">
        <v>589725000</v>
      </c>
      <c r="T118">
        <v>0.02</v>
      </c>
      <c r="U118" s="25">
        <v>-0.08</v>
      </c>
    </row>
    <row r="119" spans="1:21" hidden="1" x14ac:dyDescent="0.25">
      <c r="A119" t="s">
        <v>369</v>
      </c>
      <c r="B119">
        <v>18.989999999999998</v>
      </c>
      <c r="C119">
        <v>-4.6900000000000004</v>
      </c>
      <c r="D119">
        <v>0.93</v>
      </c>
      <c r="E119">
        <v>0.77400000000000002</v>
      </c>
      <c r="F119" s="25">
        <v>0</v>
      </c>
      <c r="G119">
        <v>0.63200000000000001</v>
      </c>
      <c r="H119" s="26">
        <v>1.5</v>
      </c>
      <c r="I119">
        <v>-14.86</v>
      </c>
      <c r="J119">
        <v>2.13</v>
      </c>
      <c r="K119">
        <v>-11.36</v>
      </c>
      <c r="L119">
        <v>-61.27</v>
      </c>
      <c r="M119" s="25">
        <v>-5.21E-2</v>
      </c>
      <c r="N119" s="25">
        <v>-0.1651</v>
      </c>
      <c r="O119">
        <v>3.13</v>
      </c>
      <c r="P119" s="25">
        <v>-5.8700000000000002E-2</v>
      </c>
      <c r="Q119" s="25">
        <v>-0.1993</v>
      </c>
      <c r="R119" s="26">
        <v>2701.79</v>
      </c>
      <c r="S119" s="26">
        <v>589725000</v>
      </c>
      <c r="T119">
        <v>0.02</v>
      </c>
      <c r="U119" s="25">
        <v>-0.08</v>
      </c>
    </row>
    <row r="120" spans="1:21" hidden="1" x14ac:dyDescent="0.25">
      <c r="A120" t="s">
        <v>246</v>
      </c>
      <c r="B120">
        <v>5.87</v>
      </c>
      <c r="C120">
        <v>-0.99</v>
      </c>
      <c r="D120">
        <v>1.39</v>
      </c>
      <c r="E120">
        <v>0.25</v>
      </c>
      <c r="F120" s="25">
        <v>0</v>
      </c>
      <c r="G120">
        <v>8.5999999999999993E-2</v>
      </c>
      <c r="H120">
        <v>0.73</v>
      </c>
      <c r="I120">
        <v>1.19</v>
      </c>
      <c r="J120">
        <v>-0.17</v>
      </c>
      <c r="K120">
        <v>6.86</v>
      </c>
      <c r="L120">
        <v>3.88</v>
      </c>
      <c r="M120" s="25">
        <v>0.21060000000000001</v>
      </c>
      <c r="N120" s="25">
        <v>-0.23669999999999999</v>
      </c>
      <c r="O120">
        <v>2.13</v>
      </c>
      <c r="P120" s="25">
        <v>8.48E-2</v>
      </c>
      <c r="Q120" s="25">
        <v>-1.3964000000000001</v>
      </c>
      <c r="R120" s="26">
        <v>126307000</v>
      </c>
      <c r="S120" s="26">
        <v>7891660000</v>
      </c>
      <c r="T120">
        <v>8.5</v>
      </c>
      <c r="U120" s="25">
        <v>0.28720000000000001</v>
      </c>
    </row>
    <row r="121" spans="1:21" hidden="1" x14ac:dyDescent="0.25">
      <c r="A121" t="s">
        <v>157</v>
      </c>
      <c r="B121">
        <v>4.92</v>
      </c>
      <c r="C121">
        <v>9.34</v>
      </c>
      <c r="D121">
        <v>1.1499999999999999</v>
      </c>
      <c r="E121">
        <v>0.68200000000000005</v>
      </c>
      <c r="F121" s="25">
        <v>7.6399999999999996E-2</v>
      </c>
      <c r="G121">
        <v>0.373</v>
      </c>
      <c r="H121">
        <v>6.34</v>
      </c>
      <c r="I121">
        <v>3.62</v>
      </c>
      <c r="J121">
        <v>-0.83</v>
      </c>
      <c r="K121">
        <v>4.6399999999999997</v>
      </c>
      <c r="L121">
        <v>3.06</v>
      </c>
      <c r="M121" s="25">
        <v>0.18859999999999999</v>
      </c>
      <c r="N121" s="25">
        <v>7.2999999999999995E-2</v>
      </c>
      <c r="O121">
        <v>1.35</v>
      </c>
      <c r="P121" s="25">
        <v>0.12790000000000001</v>
      </c>
      <c r="Q121" s="25">
        <v>0.1234</v>
      </c>
      <c r="R121" s="26">
        <v>1920210</v>
      </c>
      <c r="S121" s="26">
        <v>1557200000</v>
      </c>
      <c r="T121">
        <v>0.85</v>
      </c>
      <c r="U121" s="25">
        <v>0.1042</v>
      </c>
    </row>
    <row r="122" spans="1:21" hidden="1" x14ac:dyDescent="0.25">
      <c r="A122" t="s">
        <v>128</v>
      </c>
      <c r="B122">
        <v>25.82</v>
      </c>
      <c r="C122">
        <v>7.04</v>
      </c>
      <c r="D122">
        <v>1.18</v>
      </c>
      <c r="E122">
        <v>1.216</v>
      </c>
      <c r="F122" s="25">
        <v>6.4600000000000005E-2</v>
      </c>
      <c r="G122">
        <v>0.61599999999999999</v>
      </c>
      <c r="H122">
        <v>22.26</v>
      </c>
      <c r="I122">
        <v>4.3600000000000003</v>
      </c>
      <c r="J122">
        <v>-1.88</v>
      </c>
      <c r="K122">
        <v>6.7</v>
      </c>
      <c r="L122">
        <v>4.9000000000000004</v>
      </c>
      <c r="M122" s="25">
        <v>0.27900000000000003</v>
      </c>
      <c r="N122" s="25">
        <v>0.1726</v>
      </c>
      <c r="O122">
        <v>1.22</v>
      </c>
      <c r="P122" s="25">
        <v>0.1515</v>
      </c>
      <c r="Q122" s="25">
        <v>0.16800000000000001</v>
      </c>
      <c r="R122" s="26">
        <v>65540200</v>
      </c>
      <c r="S122" s="26">
        <v>8296170000</v>
      </c>
      <c r="T122">
        <v>0.72</v>
      </c>
      <c r="U122" s="25">
        <v>0.1081</v>
      </c>
    </row>
    <row r="123" spans="1:21" hidden="1" x14ac:dyDescent="0.25">
      <c r="A123" t="s">
        <v>238</v>
      </c>
      <c r="B123">
        <v>8.77</v>
      </c>
      <c r="C123">
        <v>-4.4400000000000004</v>
      </c>
      <c r="D123">
        <v>0.89</v>
      </c>
      <c r="E123">
        <v>0.25900000000000001</v>
      </c>
      <c r="F123" s="25">
        <v>6.2799999999999995E-2</v>
      </c>
      <c r="G123">
        <v>0.11700000000000001</v>
      </c>
      <c r="H123">
        <v>0.84</v>
      </c>
      <c r="I123">
        <v>1.99</v>
      </c>
      <c r="J123">
        <v>-0.24</v>
      </c>
      <c r="K123">
        <v>7.54</v>
      </c>
      <c r="L123">
        <v>4.53</v>
      </c>
      <c r="M123" s="25">
        <v>0.1305</v>
      </c>
      <c r="N123" s="25">
        <v>-3.9899999999999998E-2</v>
      </c>
      <c r="O123">
        <v>1.64</v>
      </c>
      <c r="P123" s="25">
        <v>8.1000000000000003E-2</v>
      </c>
      <c r="Q123" s="25">
        <v>-0.20030000000000001</v>
      </c>
      <c r="R123" s="26">
        <v>75278500</v>
      </c>
      <c r="S123" s="26">
        <v>13083900000</v>
      </c>
      <c r="T123">
        <v>4.07</v>
      </c>
      <c r="U123" s="25">
        <v>3.2500000000000001E-2</v>
      </c>
    </row>
    <row r="124" spans="1:21" hidden="1" x14ac:dyDescent="0.25">
      <c r="A124" t="s">
        <v>31</v>
      </c>
      <c r="B124">
        <v>17.399999999999999</v>
      </c>
      <c r="C124">
        <v>7.96</v>
      </c>
      <c r="D124">
        <v>1.47</v>
      </c>
      <c r="E124">
        <v>1.256</v>
      </c>
      <c r="F124" s="25">
        <v>6.4799999999999996E-2</v>
      </c>
      <c r="G124">
        <v>1.026</v>
      </c>
      <c r="H124">
        <v>16.600000000000001</v>
      </c>
      <c r="I124">
        <v>5.86</v>
      </c>
      <c r="J124">
        <v>-117.78</v>
      </c>
      <c r="K124">
        <v>5.74</v>
      </c>
      <c r="L124">
        <v>3.83</v>
      </c>
      <c r="M124" s="25">
        <v>0.2142</v>
      </c>
      <c r="N124" s="25">
        <v>0.1578</v>
      </c>
      <c r="O124">
        <v>1.27</v>
      </c>
      <c r="P124" s="25">
        <v>0.21060000000000001</v>
      </c>
      <c r="Q124" s="25">
        <v>0.1847</v>
      </c>
      <c r="R124" s="26">
        <v>538120</v>
      </c>
      <c r="S124" s="26">
        <v>494617000</v>
      </c>
      <c r="T124">
        <v>0.13</v>
      </c>
      <c r="U124" s="25">
        <v>4.7100000000000003E-2</v>
      </c>
    </row>
    <row r="125" spans="1:21" hidden="1" x14ac:dyDescent="0.25">
      <c r="A125" t="s">
        <v>498</v>
      </c>
      <c r="B125">
        <v>1.07</v>
      </c>
      <c r="C125">
        <v>-0.18</v>
      </c>
      <c r="D125">
        <v>0.27</v>
      </c>
      <c r="E125">
        <v>7.2999999999999995E-2</v>
      </c>
      <c r="F125" s="25">
        <v>0</v>
      </c>
      <c r="G125">
        <v>2.5999999999999999E-2</v>
      </c>
      <c r="H125">
        <v>-0.1</v>
      </c>
      <c r="I125">
        <v>-0.53</v>
      </c>
      <c r="J125">
        <v>-0.03</v>
      </c>
      <c r="K125">
        <v>-3.44</v>
      </c>
      <c r="L125">
        <v>-17.52</v>
      </c>
      <c r="M125" s="25">
        <v>-0.1366</v>
      </c>
      <c r="N125" s="25">
        <v>-0.41139999999999999</v>
      </c>
      <c r="O125">
        <v>0.38</v>
      </c>
      <c r="P125" s="25">
        <v>-5.28E-2</v>
      </c>
      <c r="Q125" s="25">
        <v>-1.5024</v>
      </c>
      <c r="R125" s="26">
        <v>13526.8</v>
      </c>
      <c r="S125" s="26">
        <v>107351000</v>
      </c>
      <c r="T125">
        <v>2.09</v>
      </c>
      <c r="U125" s="25">
        <v>-0.25879999999999997</v>
      </c>
    </row>
    <row r="126" spans="1:21" hidden="1" x14ac:dyDescent="0.25">
      <c r="A126" t="s">
        <v>370</v>
      </c>
      <c r="B126">
        <v>34.18</v>
      </c>
      <c r="C126">
        <v>1.77</v>
      </c>
      <c r="D126">
        <v>11.43</v>
      </c>
      <c r="E126">
        <v>0.29799999999999999</v>
      </c>
      <c r="F126" s="25">
        <v>0</v>
      </c>
      <c r="G126">
        <v>0.3</v>
      </c>
      <c r="H126">
        <v>0.98</v>
      </c>
      <c r="I126">
        <v>2.4900000000000002</v>
      </c>
      <c r="J126">
        <v>-0.94</v>
      </c>
      <c r="K126">
        <v>6.86</v>
      </c>
      <c r="L126">
        <v>5.57</v>
      </c>
      <c r="M126" s="25">
        <v>0.11940000000000001</v>
      </c>
      <c r="N126" s="25">
        <v>0.1686</v>
      </c>
      <c r="O126">
        <v>1.87</v>
      </c>
      <c r="P126" s="25">
        <v>0.1578</v>
      </c>
      <c r="Q126" s="25">
        <v>6.4744000000000002</v>
      </c>
      <c r="R126" s="26">
        <v>256.12</v>
      </c>
      <c r="S126" s="26">
        <v>18555000</v>
      </c>
      <c r="T126">
        <v>23.99</v>
      </c>
      <c r="U126" s="25">
        <v>0.13420000000000001</v>
      </c>
    </row>
    <row r="127" spans="1:21" hidden="1" x14ac:dyDescent="0.25">
      <c r="A127" t="s">
        <v>371</v>
      </c>
      <c r="B127">
        <v>34.99</v>
      </c>
      <c r="C127">
        <v>1.81</v>
      </c>
      <c r="D127">
        <v>11.7</v>
      </c>
      <c r="E127">
        <v>0.30499999999999999</v>
      </c>
      <c r="F127" s="25">
        <v>0</v>
      </c>
      <c r="G127">
        <v>0.307</v>
      </c>
      <c r="H127">
        <v>1.01</v>
      </c>
      <c r="I127">
        <v>2.5499999999999998</v>
      </c>
      <c r="J127">
        <v>-0.96</v>
      </c>
      <c r="K127">
        <v>6.92</v>
      </c>
      <c r="L127">
        <v>5.62</v>
      </c>
      <c r="M127" s="25">
        <v>0.11940000000000001</v>
      </c>
      <c r="N127" s="25">
        <v>0.1686</v>
      </c>
      <c r="O127">
        <v>1.87</v>
      </c>
      <c r="P127" s="25">
        <v>0.1578</v>
      </c>
      <c r="Q127" s="25">
        <v>6.4744000000000002</v>
      </c>
      <c r="R127" s="26">
        <v>8873.17</v>
      </c>
      <c r="S127" s="26">
        <v>18555000</v>
      </c>
      <c r="T127">
        <v>23.99</v>
      </c>
      <c r="U127" s="25">
        <v>0.13420000000000001</v>
      </c>
    </row>
    <row r="128" spans="1:21" hidden="1" x14ac:dyDescent="0.25">
      <c r="A128" t="s">
        <v>372</v>
      </c>
      <c r="B128">
        <v>2.87</v>
      </c>
      <c r="C128">
        <v>-0.16</v>
      </c>
      <c r="D128">
        <v>0.15</v>
      </c>
      <c r="E128">
        <v>0.20300000000000001</v>
      </c>
      <c r="F128" s="25">
        <v>0</v>
      </c>
      <c r="G128">
        <v>3.4000000000000002E-2</v>
      </c>
      <c r="H128">
        <v>-0.09</v>
      </c>
      <c r="I128">
        <v>-0.28999999999999998</v>
      </c>
      <c r="J128">
        <v>-0.05</v>
      </c>
      <c r="K128">
        <v>-3.38</v>
      </c>
      <c r="L128">
        <v>-3.99</v>
      </c>
      <c r="M128" s="25">
        <v>-0.69220000000000004</v>
      </c>
      <c r="N128" s="25">
        <v>-1.246</v>
      </c>
      <c r="O128">
        <v>0.3</v>
      </c>
      <c r="P128" s="25">
        <v>-0.13220000000000001</v>
      </c>
      <c r="Q128" s="25">
        <v>-0.93740000000000001</v>
      </c>
      <c r="R128" s="26">
        <v>1637.5</v>
      </c>
      <c r="S128" s="26">
        <v>130725000</v>
      </c>
      <c r="T128">
        <v>1.66</v>
      </c>
      <c r="U128" s="25">
        <v>-0.34389999999999998</v>
      </c>
    </row>
    <row r="129" spans="1:21" hidden="1" x14ac:dyDescent="0.25">
      <c r="A129" t="s">
        <v>373</v>
      </c>
      <c r="B129">
        <v>2.6</v>
      </c>
      <c r="C129">
        <v>-0.15</v>
      </c>
      <c r="D129">
        <v>0.14000000000000001</v>
      </c>
      <c r="E129">
        <v>0.184</v>
      </c>
      <c r="F129" s="25">
        <v>0</v>
      </c>
      <c r="G129">
        <v>3.1E-2</v>
      </c>
      <c r="H129">
        <v>-0.09</v>
      </c>
      <c r="I129">
        <v>-0.27</v>
      </c>
      <c r="J129">
        <v>-0.05</v>
      </c>
      <c r="K129">
        <v>-3.35</v>
      </c>
      <c r="L129">
        <v>-3.95</v>
      </c>
      <c r="M129" s="25">
        <v>-0.69220000000000004</v>
      </c>
      <c r="N129" s="25">
        <v>-1.246</v>
      </c>
      <c r="O129">
        <v>0.3</v>
      </c>
      <c r="P129" s="25">
        <v>-0.13220000000000001</v>
      </c>
      <c r="Q129" s="25">
        <v>-0.93740000000000001</v>
      </c>
      <c r="R129" s="26">
        <v>4764.6899999999996</v>
      </c>
      <c r="S129" s="26">
        <v>130725000</v>
      </c>
      <c r="T129">
        <v>1.66</v>
      </c>
      <c r="U129" s="25">
        <v>-0.34389999999999998</v>
      </c>
    </row>
    <row r="130" spans="1:21" hidden="1" x14ac:dyDescent="0.25">
      <c r="A130" t="s">
        <v>114</v>
      </c>
      <c r="B130">
        <v>29.18</v>
      </c>
      <c r="C130">
        <v>11.8</v>
      </c>
      <c r="D130">
        <v>7.51</v>
      </c>
      <c r="E130">
        <v>1.978</v>
      </c>
      <c r="F130" s="25">
        <v>4.1599999999999998E-2</v>
      </c>
      <c r="G130">
        <v>1.7490000000000001</v>
      </c>
      <c r="H130">
        <v>5.01</v>
      </c>
      <c r="I130">
        <v>8.39</v>
      </c>
      <c r="J130">
        <v>-18.48</v>
      </c>
      <c r="K130">
        <v>8.1300000000000008</v>
      </c>
      <c r="L130">
        <v>7.88</v>
      </c>
      <c r="M130" s="25">
        <v>0.2359</v>
      </c>
      <c r="N130" s="25">
        <v>0.18079999999999999</v>
      </c>
      <c r="O130">
        <v>2.2599999999999998</v>
      </c>
      <c r="P130" s="25">
        <v>0.33079999999999998</v>
      </c>
      <c r="Q130" s="25">
        <v>0.63680000000000003</v>
      </c>
      <c r="R130" s="26">
        <v>61055000</v>
      </c>
      <c r="S130" s="26">
        <v>1133950000</v>
      </c>
      <c r="T130">
        <v>1.1299999999999999</v>
      </c>
      <c r="U130" s="25">
        <v>0.34849999999999998</v>
      </c>
    </row>
    <row r="131" spans="1:21" hidden="1" x14ac:dyDescent="0.25">
      <c r="A131" t="s">
        <v>71</v>
      </c>
      <c r="B131">
        <v>2.4300000000000002</v>
      </c>
      <c r="C131">
        <v>-16.72</v>
      </c>
      <c r="D131">
        <v>2.46</v>
      </c>
      <c r="E131">
        <v>0.88500000000000001</v>
      </c>
      <c r="F131" s="25">
        <v>0</v>
      </c>
      <c r="G131">
        <v>0.34200000000000003</v>
      </c>
      <c r="H131">
        <v>-4.22</v>
      </c>
      <c r="I131">
        <v>11.12</v>
      </c>
      <c r="J131">
        <v>-1.21</v>
      </c>
      <c r="K131">
        <v>12.55</v>
      </c>
      <c r="L131">
        <v>4.25</v>
      </c>
      <c r="M131" s="25">
        <v>7.9600000000000004E-2</v>
      </c>
      <c r="N131" s="25">
        <v>-5.2900000000000003E-2</v>
      </c>
      <c r="O131">
        <v>0.88</v>
      </c>
      <c r="P131" s="25">
        <v>4.1700000000000001E-2</v>
      </c>
      <c r="Q131" s="25">
        <v>-0.1472</v>
      </c>
      <c r="R131" s="26">
        <v>27548000</v>
      </c>
      <c r="S131" s="26">
        <v>519227000</v>
      </c>
      <c r="T131">
        <v>1.0900000000000001</v>
      </c>
      <c r="U131" s="25">
        <v>0.35599999999999998</v>
      </c>
    </row>
    <row r="132" spans="1:21" hidden="1" x14ac:dyDescent="0.25">
      <c r="A132" t="s">
        <v>56</v>
      </c>
      <c r="B132">
        <v>13.73</v>
      </c>
      <c r="C132">
        <v>10.4</v>
      </c>
      <c r="D132">
        <v>2.94</v>
      </c>
      <c r="E132">
        <v>0</v>
      </c>
      <c r="F132" s="25">
        <v>8.3500000000000005E-2</v>
      </c>
      <c r="G132">
        <v>2.89</v>
      </c>
      <c r="H132">
        <v>22.69</v>
      </c>
      <c r="I132">
        <v>-321.58</v>
      </c>
      <c r="J132">
        <v>22.74</v>
      </c>
      <c r="K132">
        <v>-312.17</v>
      </c>
      <c r="L132">
        <v>-312.19</v>
      </c>
      <c r="M132" s="25">
        <v>0</v>
      </c>
      <c r="N132" s="25">
        <v>0</v>
      </c>
      <c r="O132">
        <v>9.32</v>
      </c>
      <c r="P132" s="25">
        <v>-9.7999999999999997E-3</v>
      </c>
      <c r="Q132" s="25">
        <v>0.28220000000000001</v>
      </c>
      <c r="R132" s="26">
        <v>67118100</v>
      </c>
      <c r="S132" s="26">
        <v>14032600000</v>
      </c>
      <c r="T132">
        <v>0</v>
      </c>
      <c r="U132" s="25">
        <v>0</v>
      </c>
    </row>
    <row r="133" spans="1:21" hidden="1" x14ac:dyDescent="0.25">
      <c r="A133" t="s">
        <v>55</v>
      </c>
      <c r="B133">
        <v>25.94</v>
      </c>
      <c r="C133">
        <v>5.83</v>
      </c>
      <c r="D133">
        <v>1.07</v>
      </c>
      <c r="E133">
        <v>1.194</v>
      </c>
      <c r="F133" s="25">
        <v>4.1200000000000001E-2</v>
      </c>
      <c r="G133">
        <v>0.45600000000000002</v>
      </c>
      <c r="H133">
        <v>1.1399999999999999</v>
      </c>
      <c r="I133">
        <v>6.5</v>
      </c>
      <c r="J133">
        <v>10.44</v>
      </c>
      <c r="K133">
        <v>8.4600000000000009</v>
      </c>
      <c r="L133">
        <v>8.0299999999999994</v>
      </c>
      <c r="M133" s="25">
        <v>0.18360000000000001</v>
      </c>
      <c r="N133" s="25">
        <v>0.17449999999999999</v>
      </c>
      <c r="O133">
        <v>3.36</v>
      </c>
      <c r="P133" s="25">
        <v>8.2600000000000007E-2</v>
      </c>
      <c r="Q133" s="25">
        <v>0.18279999999999999</v>
      </c>
      <c r="R133" s="26">
        <v>117289000</v>
      </c>
      <c r="S133" s="26">
        <v>9350230000</v>
      </c>
      <c r="T133">
        <v>0.64</v>
      </c>
      <c r="U133" s="25">
        <v>0.18590000000000001</v>
      </c>
    </row>
    <row r="134" spans="1:21" hidden="1" x14ac:dyDescent="0.25">
      <c r="A134" t="s">
        <v>255</v>
      </c>
      <c r="B134">
        <v>1.22</v>
      </c>
      <c r="C134">
        <v>-1.35</v>
      </c>
      <c r="D134">
        <v>0.2</v>
      </c>
      <c r="E134">
        <v>9.9000000000000005E-2</v>
      </c>
      <c r="F134" s="25">
        <v>0</v>
      </c>
      <c r="G134">
        <v>5.3999999999999999E-2</v>
      </c>
      <c r="H134">
        <v>0.31</v>
      </c>
      <c r="I134">
        <v>1.42</v>
      </c>
      <c r="J134">
        <v>-0.15</v>
      </c>
      <c r="K134">
        <v>9.83</v>
      </c>
      <c r="L134">
        <v>4.33</v>
      </c>
      <c r="M134" s="25">
        <v>6.9699999999999998E-2</v>
      </c>
      <c r="N134" s="25">
        <v>-7.3400000000000007E-2</v>
      </c>
      <c r="O134">
        <v>1.92</v>
      </c>
      <c r="P134" s="25">
        <v>4.6100000000000002E-2</v>
      </c>
      <c r="Q134" s="25">
        <v>-0.14549999999999999</v>
      </c>
      <c r="R134" s="26">
        <v>1402640</v>
      </c>
      <c r="S134" s="26">
        <v>7813960000</v>
      </c>
      <c r="T134">
        <v>1.61</v>
      </c>
      <c r="U134" s="25">
        <v>0.1711</v>
      </c>
    </row>
    <row r="135" spans="1:21" hidden="1" x14ac:dyDescent="0.25">
      <c r="A135" t="s">
        <v>107</v>
      </c>
      <c r="B135">
        <v>8.26</v>
      </c>
      <c r="C135">
        <v>10.6</v>
      </c>
      <c r="D135">
        <v>0.7</v>
      </c>
      <c r="E135">
        <v>0.82899999999999996</v>
      </c>
      <c r="F135" s="25">
        <v>4.4999999999999997E-3</v>
      </c>
      <c r="G135">
        <v>0.26700000000000002</v>
      </c>
      <c r="H135">
        <v>5.74</v>
      </c>
      <c r="I135">
        <v>2.82</v>
      </c>
      <c r="J135">
        <v>-0.61</v>
      </c>
      <c r="K135">
        <v>5.93</v>
      </c>
      <c r="L135">
        <v>3.56</v>
      </c>
      <c r="M135" s="25">
        <v>0.29360000000000003</v>
      </c>
      <c r="N135" s="25">
        <v>8.7300000000000003E-2</v>
      </c>
      <c r="O135">
        <v>1.37</v>
      </c>
      <c r="P135" s="25">
        <v>0.108</v>
      </c>
      <c r="Q135" s="25">
        <v>6.59E-2</v>
      </c>
      <c r="R135" s="26">
        <v>1546730</v>
      </c>
      <c r="S135" s="26">
        <v>1369920000</v>
      </c>
      <c r="T135">
        <v>1.02</v>
      </c>
      <c r="U135" s="25">
        <v>0.36709999999999998</v>
      </c>
    </row>
    <row r="136" spans="1:21" hidden="1" x14ac:dyDescent="0.25">
      <c r="A136" t="s">
        <v>58</v>
      </c>
      <c r="B136">
        <v>8.83</v>
      </c>
      <c r="C136">
        <v>6.17</v>
      </c>
      <c r="D136">
        <v>0.97</v>
      </c>
      <c r="E136">
        <v>0.47699999999999998</v>
      </c>
      <c r="F136" s="25">
        <v>5.96E-2</v>
      </c>
      <c r="G136">
        <v>0.59399999999999997</v>
      </c>
      <c r="H136">
        <v>1.35</v>
      </c>
      <c r="I136">
        <v>6.2</v>
      </c>
      <c r="J136">
        <v>2.19</v>
      </c>
      <c r="K136">
        <v>5.97</v>
      </c>
      <c r="L136">
        <v>4.9400000000000004</v>
      </c>
      <c r="M136" s="25">
        <v>7.6899999999999996E-2</v>
      </c>
      <c r="N136" s="25">
        <v>7.9000000000000001E-2</v>
      </c>
      <c r="O136">
        <v>3.06</v>
      </c>
      <c r="P136" s="25">
        <v>0.13239999999999999</v>
      </c>
      <c r="Q136" s="25">
        <v>0.15640000000000001</v>
      </c>
      <c r="R136" s="26">
        <v>788774</v>
      </c>
      <c r="S136" s="26">
        <v>999766000</v>
      </c>
      <c r="T136">
        <v>0.24</v>
      </c>
      <c r="U136" s="25">
        <v>0.1051</v>
      </c>
    </row>
    <row r="137" spans="1:21" hidden="1" x14ac:dyDescent="0.25">
      <c r="A137" t="s">
        <v>374</v>
      </c>
      <c r="B137">
        <v>8.59</v>
      </c>
      <c r="C137">
        <v>6</v>
      </c>
      <c r="D137">
        <v>0.94</v>
      </c>
      <c r="E137">
        <v>0.46400000000000002</v>
      </c>
      <c r="F137" s="25">
        <v>6.2600000000000003E-2</v>
      </c>
      <c r="G137">
        <v>0.57799999999999996</v>
      </c>
      <c r="H137">
        <v>1.31</v>
      </c>
      <c r="I137">
        <v>6.03</v>
      </c>
      <c r="J137">
        <v>2.13</v>
      </c>
      <c r="K137">
        <v>5.8</v>
      </c>
      <c r="L137">
        <v>4.8</v>
      </c>
      <c r="M137" s="25">
        <v>7.6899999999999996E-2</v>
      </c>
      <c r="N137" s="25">
        <v>7.9000000000000001E-2</v>
      </c>
      <c r="O137">
        <v>3.06</v>
      </c>
      <c r="P137" s="25">
        <v>0.13239999999999999</v>
      </c>
      <c r="Q137" s="25">
        <v>0.15640000000000001</v>
      </c>
      <c r="R137" s="26">
        <v>52577.1</v>
      </c>
      <c r="S137" s="26">
        <v>999766000</v>
      </c>
      <c r="T137">
        <v>0.24</v>
      </c>
      <c r="U137" s="25">
        <v>0.1051</v>
      </c>
    </row>
    <row r="138" spans="1:21" hidden="1" x14ac:dyDescent="0.25">
      <c r="A138" t="s">
        <v>120</v>
      </c>
      <c r="B138">
        <v>39.5</v>
      </c>
      <c r="C138">
        <v>10.5</v>
      </c>
      <c r="D138">
        <v>3.15</v>
      </c>
      <c r="E138">
        <v>1.9179999999999999</v>
      </c>
      <c r="F138" s="25">
        <v>9.4399999999999998E-2</v>
      </c>
      <c r="G138">
        <v>0.64600000000000002</v>
      </c>
      <c r="H138">
        <v>1.98</v>
      </c>
      <c r="I138">
        <v>8.66</v>
      </c>
      <c r="J138">
        <v>-1.93</v>
      </c>
      <c r="K138">
        <v>9.11</v>
      </c>
      <c r="L138">
        <v>8.35</v>
      </c>
      <c r="M138" s="25">
        <v>0.22140000000000001</v>
      </c>
      <c r="N138" s="25">
        <v>0.2099</v>
      </c>
      <c r="O138">
        <v>3.82</v>
      </c>
      <c r="P138" s="25">
        <v>8.9499999999999996E-2</v>
      </c>
      <c r="Q138" s="25">
        <v>0.29959999999999998</v>
      </c>
      <c r="R138" s="26">
        <v>65122800</v>
      </c>
      <c r="S138" s="26">
        <v>2178390000</v>
      </c>
      <c r="T138">
        <v>0.91</v>
      </c>
      <c r="U138" s="25">
        <v>0.2064</v>
      </c>
    </row>
    <row r="139" spans="1:21" hidden="1" x14ac:dyDescent="0.25">
      <c r="A139" t="s">
        <v>9</v>
      </c>
      <c r="B139">
        <v>4.71</v>
      </c>
      <c r="C139">
        <v>9.5500000000000007</v>
      </c>
      <c r="D139">
        <v>0.27</v>
      </c>
      <c r="E139">
        <v>0.106</v>
      </c>
      <c r="F139" s="25">
        <v>0</v>
      </c>
      <c r="G139">
        <v>0.13</v>
      </c>
      <c r="H139">
        <v>5.65</v>
      </c>
      <c r="I139">
        <v>3.77</v>
      </c>
      <c r="J139">
        <v>-0.66</v>
      </c>
      <c r="K139">
        <v>3.83</v>
      </c>
      <c r="L139">
        <v>1.31</v>
      </c>
      <c r="M139" s="25">
        <v>2.8199999999999999E-2</v>
      </c>
      <c r="N139" s="25">
        <v>1.11E-2</v>
      </c>
      <c r="O139">
        <v>1.08</v>
      </c>
      <c r="P139" s="25">
        <v>4.3799999999999999E-2</v>
      </c>
      <c r="Q139" s="25">
        <v>2.7799999999999998E-2</v>
      </c>
      <c r="R139" s="26">
        <v>319613</v>
      </c>
      <c r="S139" s="26">
        <v>896843000</v>
      </c>
      <c r="T139">
        <v>0.04</v>
      </c>
      <c r="U139" s="25">
        <v>0.23039999999999999</v>
      </c>
    </row>
    <row r="140" spans="1:21" hidden="1" x14ac:dyDescent="0.25">
      <c r="A140" t="s">
        <v>375</v>
      </c>
      <c r="B140">
        <v>6.51</v>
      </c>
      <c r="C140">
        <v>-117.73</v>
      </c>
      <c r="D140">
        <v>0.71</v>
      </c>
      <c r="E140">
        <v>0.77</v>
      </c>
      <c r="F140" s="25">
        <v>1.5E-3</v>
      </c>
      <c r="G140">
        <v>0.495</v>
      </c>
      <c r="H140">
        <v>1.03</v>
      </c>
      <c r="I140">
        <v>-15.12</v>
      </c>
      <c r="J140">
        <v>1.83</v>
      </c>
      <c r="K140">
        <v>-17.440000000000001</v>
      </c>
      <c r="L140">
        <v>-51.74</v>
      </c>
      <c r="M140" s="25">
        <v>-5.0900000000000001E-2</v>
      </c>
      <c r="N140" s="25">
        <v>-6.4999999999999997E-3</v>
      </c>
      <c r="O140">
        <v>6</v>
      </c>
      <c r="P140" s="25">
        <v>-3.6600000000000001E-2</v>
      </c>
      <c r="Q140" s="25">
        <v>-6.0000000000000001E-3</v>
      </c>
      <c r="R140" s="26">
        <v>60.88</v>
      </c>
      <c r="S140" s="26">
        <v>693418000</v>
      </c>
      <c r="T140">
        <v>0.22</v>
      </c>
      <c r="U140" s="25">
        <v>7.3000000000000001E-3</v>
      </c>
    </row>
    <row r="141" spans="1:21" hidden="1" x14ac:dyDescent="0.25">
      <c r="A141" t="s">
        <v>134</v>
      </c>
      <c r="B141">
        <v>4.29</v>
      </c>
      <c r="C141">
        <v>-77.58</v>
      </c>
      <c r="D141">
        <v>0.47</v>
      </c>
      <c r="E141">
        <v>0.50700000000000001</v>
      </c>
      <c r="F141" s="25">
        <v>2.5999999999999999E-3</v>
      </c>
      <c r="G141">
        <v>0.32600000000000001</v>
      </c>
      <c r="H141">
        <v>0.68</v>
      </c>
      <c r="I141">
        <v>-9.9600000000000009</v>
      </c>
      <c r="J141">
        <v>1.2</v>
      </c>
      <c r="K141">
        <v>-12.29</v>
      </c>
      <c r="L141">
        <v>-36.450000000000003</v>
      </c>
      <c r="M141" s="25">
        <v>-5.0900000000000001E-2</v>
      </c>
      <c r="N141" s="25">
        <v>-6.4999999999999997E-3</v>
      </c>
      <c r="O141">
        <v>6</v>
      </c>
      <c r="P141" s="25">
        <v>-3.6600000000000001E-2</v>
      </c>
      <c r="Q141" s="25">
        <v>-6.0000000000000001E-3</v>
      </c>
      <c r="R141" s="26">
        <v>3539.88</v>
      </c>
      <c r="S141" s="26">
        <v>693418000</v>
      </c>
      <c r="T141">
        <v>0.22</v>
      </c>
      <c r="U141" s="25">
        <v>7.3000000000000001E-3</v>
      </c>
    </row>
    <row r="142" spans="1:21" hidden="1" x14ac:dyDescent="0.25">
      <c r="A142" t="s">
        <v>259</v>
      </c>
      <c r="B142">
        <v>5</v>
      </c>
      <c r="C142">
        <v>-9.15</v>
      </c>
      <c r="D142">
        <v>-0.27</v>
      </c>
      <c r="E142">
        <v>0.41</v>
      </c>
      <c r="F142" s="25">
        <v>0</v>
      </c>
      <c r="G142">
        <v>0.35299999999999998</v>
      </c>
      <c r="H142">
        <v>-0.3</v>
      </c>
      <c r="I142">
        <v>9.65</v>
      </c>
      <c r="J142">
        <v>-0.18</v>
      </c>
      <c r="K142">
        <v>14.34</v>
      </c>
      <c r="L142">
        <v>2.74</v>
      </c>
      <c r="M142" s="25">
        <v>4.2500000000000003E-2</v>
      </c>
      <c r="N142" s="25">
        <v>-4.48E-2</v>
      </c>
      <c r="O142">
        <v>0.23</v>
      </c>
      <c r="P142" s="25">
        <v>5.8299999999999998E-2</v>
      </c>
      <c r="Q142" s="25">
        <v>2.9399999999999999E-2</v>
      </c>
      <c r="R142" s="26">
        <v>119218</v>
      </c>
      <c r="S142" s="26">
        <v>-247366000</v>
      </c>
      <c r="T142">
        <v>-0.23</v>
      </c>
      <c r="U142" s="25">
        <v>7.1099999999999997E-2</v>
      </c>
    </row>
    <row r="143" spans="1:21" hidden="1" x14ac:dyDescent="0.25">
      <c r="A143" t="s">
        <v>376</v>
      </c>
      <c r="B143">
        <v>3.05</v>
      </c>
      <c r="C143">
        <v>-39.29</v>
      </c>
      <c r="D143">
        <v>29.83</v>
      </c>
      <c r="E143">
        <v>5.5419999999999998</v>
      </c>
      <c r="F143" s="25">
        <v>0</v>
      </c>
      <c r="G143">
        <v>4.1269999999999998</v>
      </c>
      <c r="H143">
        <v>9.31</v>
      </c>
      <c r="I143">
        <v>-40.85</v>
      </c>
      <c r="J143">
        <v>84.87</v>
      </c>
      <c r="K143">
        <v>-39.549999999999997</v>
      </c>
      <c r="L143">
        <v>-262.93</v>
      </c>
      <c r="M143" s="25">
        <v>-0.13569999999999999</v>
      </c>
      <c r="N143" s="25">
        <v>-0.14099999999999999</v>
      </c>
      <c r="O143">
        <v>1.95</v>
      </c>
      <c r="P143" s="25">
        <v>-0.1195</v>
      </c>
      <c r="Q143" s="25">
        <v>-0.75919999999999999</v>
      </c>
      <c r="R143" s="26">
        <v>3982.88</v>
      </c>
      <c r="S143" s="26">
        <v>1138000</v>
      </c>
      <c r="T143">
        <v>0</v>
      </c>
      <c r="U143" s="25">
        <v>-0.16789999999999999</v>
      </c>
    </row>
    <row r="144" spans="1:21" hidden="1" x14ac:dyDescent="0.25">
      <c r="A144" t="s">
        <v>149</v>
      </c>
      <c r="B144">
        <v>5.4</v>
      </c>
      <c r="C144">
        <v>17.190000000000001</v>
      </c>
      <c r="D144">
        <v>0.64</v>
      </c>
      <c r="E144">
        <v>0.54</v>
      </c>
      <c r="F144" s="25">
        <v>9.9000000000000008E-3</v>
      </c>
      <c r="G144">
        <v>0.246</v>
      </c>
      <c r="H144">
        <v>3.39</v>
      </c>
      <c r="I144">
        <v>5.65</v>
      </c>
      <c r="J144">
        <v>-0.73</v>
      </c>
      <c r="K144">
        <v>12.06</v>
      </c>
      <c r="L144">
        <v>4.75</v>
      </c>
      <c r="M144" s="25">
        <v>9.5699999999999993E-2</v>
      </c>
      <c r="N144" s="25">
        <v>3.27E-2</v>
      </c>
      <c r="O144">
        <v>1.37</v>
      </c>
      <c r="P144" s="25">
        <v>5.11E-2</v>
      </c>
      <c r="Q144" s="25">
        <v>3.7499999999999999E-2</v>
      </c>
      <c r="R144" s="26">
        <v>15218400</v>
      </c>
      <c r="S144" s="26">
        <v>6872730000</v>
      </c>
      <c r="T144">
        <v>0.95</v>
      </c>
      <c r="U144" s="25">
        <v>3.61E-2</v>
      </c>
    </row>
    <row r="145" spans="1:21" hidden="1" x14ac:dyDescent="0.25">
      <c r="A145" t="s">
        <v>377</v>
      </c>
      <c r="B145">
        <v>15.18</v>
      </c>
      <c r="C145">
        <v>3.6</v>
      </c>
      <c r="D145">
        <v>1.01</v>
      </c>
      <c r="E145">
        <v>0.58099999999999996</v>
      </c>
      <c r="F145" s="25">
        <v>3.78E-2</v>
      </c>
      <c r="G145">
        <v>0.53</v>
      </c>
      <c r="H145">
        <v>5.74</v>
      </c>
      <c r="I145">
        <v>3.65</v>
      </c>
      <c r="J145">
        <v>-10.93</v>
      </c>
      <c r="K145">
        <v>4.7</v>
      </c>
      <c r="L145">
        <v>3.74</v>
      </c>
      <c r="M145" s="25">
        <v>0.15939999999999999</v>
      </c>
      <c r="N145" s="25">
        <v>0.1613</v>
      </c>
      <c r="O145">
        <v>1.27</v>
      </c>
      <c r="P145" s="25">
        <v>0.15529999999999999</v>
      </c>
      <c r="Q145" s="25">
        <v>0.28110000000000002</v>
      </c>
      <c r="R145" s="26">
        <v>16456.099999999999</v>
      </c>
      <c r="S145" s="26">
        <v>337052000</v>
      </c>
      <c r="T145">
        <v>0.32</v>
      </c>
      <c r="U145" s="25">
        <v>0.1925</v>
      </c>
    </row>
    <row r="146" spans="1:21" hidden="1" x14ac:dyDescent="0.25">
      <c r="A146" t="s">
        <v>74</v>
      </c>
      <c r="B146">
        <v>13.88</v>
      </c>
      <c r="C146">
        <v>3.3</v>
      </c>
      <c r="D146">
        <v>0.93</v>
      </c>
      <c r="E146">
        <v>0.53200000000000003</v>
      </c>
      <c r="F146" s="25">
        <v>4.5400000000000003E-2</v>
      </c>
      <c r="G146">
        <v>0.48499999999999999</v>
      </c>
      <c r="H146">
        <v>5.25</v>
      </c>
      <c r="I146">
        <v>3.33</v>
      </c>
      <c r="J146">
        <v>-9.99</v>
      </c>
      <c r="K146">
        <v>4.3899999999999997</v>
      </c>
      <c r="L146">
        <v>3.49</v>
      </c>
      <c r="M146" s="25">
        <v>0.15939999999999999</v>
      </c>
      <c r="N146" s="25">
        <v>0.1613</v>
      </c>
      <c r="O146">
        <v>1.27</v>
      </c>
      <c r="P146" s="25">
        <v>0.15529999999999999</v>
      </c>
      <c r="Q146" s="25">
        <v>0.28110000000000002</v>
      </c>
      <c r="R146" s="26">
        <v>142277</v>
      </c>
      <c r="S146" s="26">
        <v>337052000</v>
      </c>
      <c r="T146">
        <v>0.32</v>
      </c>
      <c r="U146" s="25">
        <v>0.1925</v>
      </c>
    </row>
    <row r="147" spans="1:21" hidden="1" x14ac:dyDescent="0.25">
      <c r="A147" t="s">
        <v>192</v>
      </c>
      <c r="B147">
        <v>6.78</v>
      </c>
      <c r="C147">
        <v>5.76</v>
      </c>
      <c r="D147">
        <v>1.32</v>
      </c>
      <c r="E147">
        <v>0.46400000000000002</v>
      </c>
      <c r="F147" s="25">
        <v>0</v>
      </c>
      <c r="G147">
        <v>0.14599999999999999</v>
      </c>
      <c r="H147">
        <v>-9.1300000000000008</v>
      </c>
      <c r="I147">
        <v>1.3</v>
      </c>
      <c r="J147">
        <v>-0.2</v>
      </c>
      <c r="K147">
        <v>6.55</v>
      </c>
      <c r="L147">
        <v>5.0599999999999996</v>
      </c>
      <c r="M147" s="25">
        <v>0.35809999999999997</v>
      </c>
      <c r="N147" s="25">
        <v>7.9899999999999999E-2</v>
      </c>
      <c r="O147">
        <v>0.9</v>
      </c>
      <c r="P147" s="25">
        <v>0.12909999999999999</v>
      </c>
      <c r="Q147" s="25">
        <v>0.2293</v>
      </c>
      <c r="R147" s="26">
        <v>26853800</v>
      </c>
      <c r="S147" s="26">
        <v>3574010000</v>
      </c>
      <c r="T147">
        <v>6.44</v>
      </c>
      <c r="U147" s="25">
        <v>0.28670000000000001</v>
      </c>
    </row>
    <row r="148" spans="1:21" hidden="1" x14ac:dyDescent="0.25">
      <c r="A148" t="s">
        <v>78</v>
      </c>
      <c r="B148">
        <v>42.53</v>
      </c>
      <c r="C148">
        <v>10.32</v>
      </c>
      <c r="D148">
        <v>2.87</v>
      </c>
      <c r="E148">
        <v>2.9860000000000002</v>
      </c>
      <c r="F148" s="25">
        <v>5.4699999999999999E-2</v>
      </c>
      <c r="G148">
        <v>0.65800000000000003</v>
      </c>
      <c r="H148">
        <v>18.29</v>
      </c>
      <c r="I148">
        <v>6.05</v>
      </c>
      <c r="J148">
        <v>-1.1299999999999999</v>
      </c>
      <c r="K148">
        <v>9.59</v>
      </c>
      <c r="L148">
        <v>7.99</v>
      </c>
      <c r="M148" s="25">
        <v>0.49340000000000001</v>
      </c>
      <c r="N148" s="25">
        <v>0.2964</v>
      </c>
      <c r="O148">
        <v>1.27</v>
      </c>
      <c r="P148" s="25">
        <v>0.1239</v>
      </c>
      <c r="Q148" s="25">
        <v>0.27839999999999998</v>
      </c>
      <c r="R148" s="26">
        <v>65895800</v>
      </c>
      <c r="S148" s="26">
        <v>12083000000</v>
      </c>
      <c r="T148">
        <v>2.14</v>
      </c>
      <c r="U148" s="25">
        <v>-3.7199999999999997E-2</v>
      </c>
    </row>
    <row r="149" spans="1:21" hidden="1" x14ac:dyDescent="0.25">
      <c r="A149" t="s">
        <v>378</v>
      </c>
      <c r="B149">
        <v>45</v>
      </c>
      <c r="C149">
        <v>9.0399999999999991</v>
      </c>
      <c r="D149">
        <v>3.74</v>
      </c>
      <c r="E149">
        <v>0.91200000000000003</v>
      </c>
      <c r="F149" s="25">
        <v>0.152</v>
      </c>
      <c r="G149">
        <v>0.70899999999999996</v>
      </c>
      <c r="H149">
        <v>14.06</v>
      </c>
      <c r="I149">
        <v>3.8</v>
      </c>
      <c r="J149">
        <v>-1.29</v>
      </c>
      <c r="K149">
        <v>6.77</v>
      </c>
      <c r="L149">
        <v>5.73</v>
      </c>
      <c r="M149" s="25">
        <v>0.24</v>
      </c>
      <c r="N149" s="25">
        <v>0.1008</v>
      </c>
      <c r="O149">
        <v>1.24</v>
      </c>
      <c r="P149" s="25">
        <v>0.2097</v>
      </c>
      <c r="Q149" s="25">
        <v>0.41320000000000001</v>
      </c>
      <c r="R149" s="26">
        <v>2031</v>
      </c>
      <c r="S149" s="26">
        <v>2333000000</v>
      </c>
      <c r="T149">
        <v>3.18</v>
      </c>
      <c r="U149" s="25">
        <v>4.8800000000000003E-2</v>
      </c>
    </row>
    <row r="150" spans="1:21" hidden="1" x14ac:dyDescent="0.25">
      <c r="A150" t="s">
        <v>379</v>
      </c>
      <c r="B150">
        <v>53.04</v>
      </c>
      <c r="C150">
        <v>10.66</v>
      </c>
      <c r="D150">
        <v>4.41</v>
      </c>
      <c r="E150">
        <v>1.0740000000000001</v>
      </c>
      <c r="F150" s="25">
        <v>0.14180000000000001</v>
      </c>
      <c r="G150">
        <v>0.83599999999999997</v>
      </c>
      <c r="H150">
        <v>16.579999999999998</v>
      </c>
      <c r="I150">
        <v>4.4800000000000004</v>
      </c>
      <c r="J150">
        <v>-1.52</v>
      </c>
      <c r="K150">
        <v>7.45</v>
      </c>
      <c r="L150">
        <v>6.3</v>
      </c>
      <c r="M150" s="25">
        <v>0.24</v>
      </c>
      <c r="N150" s="25">
        <v>0.1008</v>
      </c>
      <c r="O150">
        <v>1.24</v>
      </c>
      <c r="P150" s="25">
        <v>0.2097</v>
      </c>
      <c r="Q150" s="25">
        <v>0.41320000000000001</v>
      </c>
      <c r="R150" s="26">
        <v>44251.6</v>
      </c>
      <c r="S150" s="26">
        <v>2333000000</v>
      </c>
      <c r="T150">
        <v>3.18</v>
      </c>
      <c r="U150" s="25">
        <v>4.8800000000000003E-2</v>
      </c>
    </row>
    <row r="151" spans="1:21" hidden="1" x14ac:dyDescent="0.25">
      <c r="A151" t="s">
        <v>118</v>
      </c>
      <c r="B151">
        <v>38.78</v>
      </c>
      <c r="C151">
        <v>9.23</v>
      </c>
      <c r="D151">
        <v>0.74</v>
      </c>
      <c r="E151">
        <v>2.1379999999999999</v>
      </c>
      <c r="F151" s="25">
        <v>4.53E-2</v>
      </c>
      <c r="G151">
        <v>0.317</v>
      </c>
      <c r="H151">
        <v>2.77</v>
      </c>
      <c r="I151">
        <v>6.35</v>
      </c>
      <c r="J151">
        <v>-0.87</v>
      </c>
      <c r="K151">
        <v>9.2100000000000009</v>
      </c>
      <c r="L151">
        <v>7.13</v>
      </c>
      <c r="M151" s="25">
        <v>0.33650000000000002</v>
      </c>
      <c r="N151" s="25">
        <v>0.23150000000000001</v>
      </c>
      <c r="O151">
        <v>2.29</v>
      </c>
      <c r="P151" s="25">
        <v>5.6599999999999998E-2</v>
      </c>
      <c r="Q151" s="25">
        <v>7.9799999999999996E-2</v>
      </c>
      <c r="R151" s="26">
        <v>246569000</v>
      </c>
      <c r="S151" s="26">
        <v>121494000000</v>
      </c>
      <c r="T151">
        <v>0.57999999999999996</v>
      </c>
      <c r="U151" s="25">
        <v>6.1199999999999997E-2</v>
      </c>
    </row>
    <row r="152" spans="1:21" hidden="1" x14ac:dyDescent="0.25">
      <c r="A152" t="s">
        <v>500</v>
      </c>
      <c r="B152">
        <v>82.5</v>
      </c>
      <c r="C152">
        <v>19.64</v>
      </c>
      <c r="D152">
        <v>1.57</v>
      </c>
      <c r="E152">
        <v>4.548</v>
      </c>
      <c r="F152" s="25">
        <v>0</v>
      </c>
      <c r="G152">
        <v>0.67500000000000004</v>
      </c>
      <c r="H152">
        <v>5.89</v>
      </c>
      <c r="I152">
        <v>13.52</v>
      </c>
      <c r="J152">
        <v>-1.85</v>
      </c>
      <c r="K152">
        <v>16.37</v>
      </c>
      <c r="L152">
        <v>12.68</v>
      </c>
      <c r="M152" s="25">
        <v>0.33650000000000002</v>
      </c>
      <c r="N152" s="25">
        <v>0.23150000000000001</v>
      </c>
      <c r="O152">
        <v>2.29</v>
      </c>
      <c r="P152" s="25">
        <v>5.6599999999999998E-2</v>
      </c>
      <c r="Q152" s="25">
        <v>7.9799999999999996E-2</v>
      </c>
      <c r="R152" s="26">
        <v>196.43</v>
      </c>
      <c r="S152" s="26">
        <v>121494000000</v>
      </c>
      <c r="T152">
        <v>0.57999999999999996</v>
      </c>
      <c r="U152" s="25">
        <v>6.1199999999999997E-2</v>
      </c>
    </row>
    <row r="153" spans="1:21" hidden="1" x14ac:dyDescent="0.25">
      <c r="A153" t="s">
        <v>380</v>
      </c>
      <c r="B153">
        <v>42.44</v>
      </c>
      <c r="C153">
        <v>10.1</v>
      </c>
      <c r="D153">
        <v>0.81</v>
      </c>
      <c r="E153">
        <v>2.34</v>
      </c>
      <c r="F153" s="25">
        <v>4.5499999999999999E-2</v>
      </c>
      <c r="G153">
        <v>0.34699999999999998</v>
      </c>
      <c r="H153">
        <v>3.03</v>
      </c>
      <c r="I153">
        <v>6.95</v>
      </c>
      <c r="J153">
        <v>-0.95</v>
      </c>
      <c r="K153">
        <v>9.81</v>
      </c>
      <c r="L153">
        <v>7.59</v>
      </c>
      <c r="M153" s="25">
        <v>0.33650000000000002</v>
      </c>
      <c r="N153" s="25">
        <v>0.23150000000000001</v>
      </c>
      <c r="O153">
        <v>2.29</v>
      </c>
      <c r="P153" s="25">
        <v>5.6599999999999998E-2</v>
      </c>
      <c r="Q153" s="25">
        <v>7.9799999999999996E-2</v>
      </c>
      <c r="R153" s="26">
        <v>47108600</v>
      </c>
      <c r="S153" s="26">
        <v>121494000000</v>
      </c>
      <c r="T153">
        <v>0.57999999999999996</v>
      </c>
      <c r="U153" s="25">
        <v>6.1199999999999997E-2</v>
      </c>
    </row>
    <row r="154" spans="1:21" hidden="1" x14ac:dyDescent="0.25">
      <c r="A154" t="s">
        <v>381</v>
      </c>
      <c r="B154">
        <v>31</v>
      </c>
      <c r="C154">
        <v>39.74</v>
      </c>
      <c r="D154">
        <v>4.53</v>
      </c>
      <c r="E154">
        <v>3.5550000000000002</v>
      </c>
      <c r="F154" s="25">
        <v>6.3E-3</v>
      </c>
      <c r="G154">
        <v>1.3939999999999999</v>
      </c>
      <c r="H154">
        <v>10.24</v>
      </c>
      <c r="I154">
        <v>13.53</v>
      </c>
      <c r="J154">
        <v>-4.49</v>
      </c>
      <c r="K154">
        <v>15.97</v>
      </c>
      <c r="L154">
        <v>11.64</v>
      </c>
      <c r="M154" s="25">
        <v>0.2626</v>
      </c>
      <c r="N154" s="25">
        <v>0.1144</v>
      </c>
      <c r="O154">
        <v>1.76</v>
      </c>
      <c r="P154" s="25">
        <v>0.13800000000000001</v>
      </c>
      <c r="Q154" s="25">
        <v>0.114</v>
      </c>
      <c r="R154" s="26">
        <v>330988</v>
      </c>
      <c r="S154" s="26">
        <v>983781000</v>
      </c>
      <c r="T154">
        <v>1.45</v>
      </c>
      <c r="U154" s="25">
        <v>0.52680000000000005</v>
      </c>
    </row>
    <row r="155" spans="1:21" hidden="1" x14ac:dyDescent="0.25">
      <c r="A155" t="s">
        <v>382</v>
      </c>
      <c r="B155">
        <v>29.35</v>
      </c>
      <c r="C155">
        <v>16.28</v>
      </c>
      <c r="D155">
        <v>0.88</v>
      </c>
      <c r="E155">
        <v>1.758</v>
      </c>
      <c r="F155" s="25">
        <v>2.86E-2</v>
      </c>
      <c r="G155">
        <v>0.504</v>
      </c>
      <c r="H155">
        <v>2.31</v>
      </c>
      <c r="I155">
        <v>13.74</v>
      </c>
      <c r="J155">
        <v>-3.73</v>
      </c>
      <c r="K155">
        <v>10.37</v>
      </c>
      <c r="L155">
        <v>9.15</v>
      </c>
      <c r="M155" s="25">
        <v>0.128</v>
      </c>
      <c r="N155" s="25">
        <v>0.108</v>
      </c>
      <c r="O155">
        <v>3.91</v>
      </c>
      <c r="P155" s="25">
        <v>4.2000000000000003E-2</v>
      </c>
      <c r="Q155" s="25">
        <v>5.4100000000000002E-2</v>
      </c>
      <c r="R155" s="26">
        <v>114567</v>
      </c>
      <c r="S155" s="26">
        <v>1231320000</v>
      </c>
      <c r="T155">
        <v>0</v>
      </c>
      <c r="U155" s="25">
        <v>7.4399999999999994E-2</v>
      </c>
    </row>
    <row r="156" spans="1:21" hidden="1" x14ac:dyDescent="0.25">
      <c r="A156" t="s">
        <v>165</v>
      </c>
      <c r="B156">
        <v>68.459999999999994</v>
      </c>
      <c r="C156">
        <v>22.94</v>
      </c>
      <c r="D156">
        <v>2.77</v>
      </c>
      <c r="E156">
        <v>1.3560000000000001</v>
      </c>
      <c r="F156" s="25">
        <v>1E-3</v>
      </c>
      <c r="G156">
        <v>0.755</v>
      </c>
      <c r="H156">
        <v>5.8</v>
      </c>
      <c r="I156">
        <v>13.24</v>
      </c>
      <c r="J156">
        <v>-4.49</v>
      </c>
      <c r="K156">
        <v>14.27</v>
      </c>
      <c r="L156">
        <v>10.43</v>
      </c>
      <c r="M156" s="25">
        <v>0.1024</v>
      </c>
      <c r="N156" s="25">
        <v>5.9700000000000003E-2</v>
      </c>
      <c r="O156">
        <v>1.32</v>
      </c>
      <c r="P156" s="25">
        <v>7.2900000000000006E-2</v>
      </c>
      <c r="Q156" s="25">
        <v>0.1207</v>
      </c>
      <c r="R156" s="26">
        <v>439071000</v>
      </c>
      <c r="S156" s="26">
        <v>18314200000</v>
      </c>
      <c r="T156">
        <v>0.64</v>
      </c>
      <c r="U156" s="25">
        <v>0.1338</v>
      </c>
    </row>
    <row r="157" spans="1:21" hidden="1" x14ac:dyDescent="0.25">
      <c r="A157" t="s">
        <v>155</v>
      </c>
      <c r="B157">
        <v>13.99</v>
      </c>
      <c r="C157">
        <v>55.61</v>
      </c>
      <c r="D157">
        <v>1.42</v>
      </c>
      <c r="E157">
        <v>1.9630000000000001</v>
      </c>
      <c r="F157" s="25">
        <v>0</v>
      </c>
      <c r="G157">
        <v>0.497</v>
      </c>
      <c r="H157">
        <v>7.26</v>
      </c>
      <c r="I157">
        <v>8.86</v>
      </c>
      <c r="J157">
        <v>-1.17</v>
      </c>
      <c r="K157">
        <v>13.58</v>
      </c>
      <c r="L157">
        <v>8.3800000000000008</v>
      </c>
      <c r="M157" s="25">
        <v>0.2215</v>
      </c>
      <c r="N157" s="25">
        <v>6.8900000000000003E-2</v>
      </c>
      <c r="O157">
        <v>1.53</v>
      </c>
      <c r="P157" s="25">
        <v>6.3299999999999995E-2</v>
      </c>
      <c r="Q157" s="25">
        <v>2.5499999999999998E-2</v>
      </c>
      <c r="R157" s="26">
        <v>129939000</v>
      </c>
      <c r="S157" s="26">
        <v>19137700000</v>
      </c>
      <c r="T157">
        <v>1</v>
      </c>
      <c r="U157" s="25">
        <v>0.42749999999999999</v>
      </c>
    </row>
    <row r="158" spans="1:21" hidden="1" x14ac:dyDescent="0.25">
      <c r="A158" t="s">
        <v>383</v>
      </c>
      <c r="B158">
        <v>46</v>
      </c>
      <c r="C158">
        <v>5.75</v>
      </c>
      <c r="D158">
        <v>1.17</v>
      </c>
      <c r="E158">
        <v>0.61699999999999999</v>
      </c>
      <c r="F158" s="25">
        <v>6.3E-2</v>
      </c>
      <c r="G158">
        <v>0.26900000000000002</v>
      </c>
      <c r="H158">
        <v>4.2</v>
      </c>
      <c r="I158">
        <v>3.35</v>
      </c>
      <c r="J158">
        <v>-0.56000000000000005</v>
      </c>
      <c r="K158">
        <v>7.82</v>
      </c>
      <c r="L158">
        <v>5.98</v>
      </c>
      <c r="M158" s="25">
        <v>0.18410000000000001</v>
      </c>
      <c r="N158" s="25">
        <v>0.1326</v>
      </c>
      <c r="O158">
        <v>1.38</v>
      </c>
      <c r="P158" s="25">
        <v>9.3700000000000006E-2</v>
      </c>
      <c r="Q158" s="25">
        <v>0.2036</v>
      </c>
      <c r="R158" s="26">
        <v>105434000</v>
      </c>
      <c r="S158" s="26">
        <v>17989300000</v>
      </c>
      <c r="T158">
        <v>2.04</v>
      </c>
      <c r="U158" s="25">
        <v>0.1101</v>
      </c>
    </row>
    <row r="159" spans="1:21" hidden="1" x14ac:dyDescent="0.25">
      <c r="A159" t="s">
        <v>384</v>
      </c>
      <c r="B159">
        <v>11.45</v>
      </c>
      <c r="C159">
        <v>7.16</v>
      </c>
      <c r="D159">
        <v>1.46</v>
      </c>
      <c r="E159">
        <v>0.76800000000000002</v>
      </c>
      <c r="F159" s="25">
        <v>5.0700000000000002E-2</v>
      </c>
      <c r="G159">
        <v>0.33500000000000002</v>
      </c>
      <c r="H159">
        <v>5.23</v>
      </c>
      <c r="I159">
        <v>4.17</v>
      </c>
      <c r="J159">
        <v>-0.7</v>
      </c>
      <c r="K159">
        <v>8.64</v>
      </c>
      <c r="L159">
        <v>6.61</v>
      </c>
      <c r="M159" s="25">
        <v>0.18410000000000001</v>
      </c>
      <c r="N159" s="25">
        <v>0.1326</v>
      </c>
      <c r="O159">
        <v>1.38</v>
      </c>
      <c r="P159" s="25">
        <v>9.3700000000000006E-2</v>
      </c>
      <c r="Q159" s="25">
        <v>0.2036</v>
      </c>
      <c r="R159" s="26">
        <v>59379.7</v>
      </c>
      <c r="S159" s="26">
        <v>17989300000</v>
      </c>
      <c r="T159">
        <v>2.04</v>
      </c>
      <c r="U159" s="25">
        <v>0.1101</v>
      </c>
    </row>
    <row r="160" spans="1:21" hidden="1" x14ac:dyDescent="0.25">
      <c r="A160" t="s">
        <v>166</v>
      </c>
      <c r="B160">
        <v>8.68</v>
      </c>
      <c r="C160">
        <v>5.42</v>
      </c>
      <c r="D160">
        <v>1.1000000000000001</v>
      </c>
      <c r="E160">
        <v>0.58199999999999996</v>
      </c>
      <c r="F160" s="25">
        <v>6.6799999999999998E-2</v>
      </c>
      <c r="G160">
        <v>0.254</v>
      </c>
      <c r="H160">
        <v>3.97</v>
      </c>
      <c r="I160">
        <v>3.16</v>
      </c>
      <c r="J160">
        <v>-0.53</v>
      </c>
      <c r="K160">
        <v>7.63</v>
      </c>
      <c r="L160">
        <v>5.83</v>
      </c>
      <c r="M160" s="25">
        <v>0.18410000000000001</v>
      </c>
      <c r="N160" s="25">
        <v>0.1326</v>
      </c>
      <c r="O160">
        <v>1.38</v>
      </c>
      <c r="P160" s="25">
        <v>9.3700000000000006E-2</v>
      </c>
      <c r="Q160" s="25">
        <v>0.2036</v>
      </c>
      <c r="R160" s="26">
        <v>44478.8</v>
      </c>
      <c r="S160" s="26">
        <v>17989300000</v>
      </c>
      <c r="T160">
        <v>2.04</v>
      </c>
      <c r="U160" s="25">
        <v>0.1101</v>
      </c>
    </row>
    <row r="161" spans="1:21" hidden="1" x14ac:dyDescent="0.25">
      <c r="A161" t="s">
        <v>230</v>
      </c>
      <c r="B161">
        <v>1.03</v>
      </c>
      <c r="C161">
        <v>-10.14</v>
      </c>
      <c r="D161">
        <v>0.67</v>
      </c>
      <c r="E161">
        <v>0.79900000000000004</v>
      </c>
      <c r="F161" s="25">
        <v>0</v>
      </c>
      <c r="G161">
        <v>0.501</v>
      </c>
      <c r="H161">
        <v>1.3</v>
      </c>
      <c r="I161">
        <v>-6.62</v>
      </c>
      <c r="J161">
        <v>1.63</v>
      </c>
      <c r="K161">
        <v>-0.45</v>
      </c>
      <c r="L161">
        <v>2.62</v>
      </c>
      <c r="M161" s="25">
        <v>-0.1207</v>
      </c>
      <c r="N161" s="25">
        <v>-7.8799999999999995E-2</v>
      </c>
      <c r="O161">
        <v>3.2</v>
      </c>
      <c r="P161" s="25">
        <v>-0.1643</v>
      </c>
      <c r="Q161" s="25">
        <v>-6.6400000000000001E-2</v>
      </c>
      <c r="R161" s="26">
        <v>1151410</v>
      </c>
      <c r="S161" s="26">
        <v>313950000</v>
      </c>
      <c r="T161">
        <v>0</v>
      </c>
      <c r="U161" s="25">
        <v>0.34839999999999999</v>
      </c>
    </row>
    <row r="162" spans="1:21" hidden="1" x14ac:dyDescent="0.25">
      <c r="A162" t="s">
        <v>385</v>
      </c>
      <c r="B162">
        <v>65.900000000000006</v>
      </c>
      <c r="C162">
        <v>14.35</v>
      </c>
      <c r="D162">
        <v>3.59</v>
      </c>
      <c r="E162">
        <v>1.7430000000000001</v>
      </c>
      <c r="F162" s="25">
        <v>4.2099999999999999E-2</v>
      </c>
      <c r="G162">
        <v>1.008</v>
      </c>
      <c r="H162">
        <v>10.210000000000001</v>
      </c>
      <c r="I162">
        <v>8.39</v>
      </c>
      <c r="J162">
        <v>-2.2799999999999998</v>
      </c>
      <c r="K162">
        <v>11.8</v>
      </c>
      <c r="L162">
        <v>9.84</v>
      </c>
      <c r="M162" s="25">
        <v>0.20780000000000001</v>
      </c>
      <c r="N162" s="25">
        <v>0.1215</v>
      </c>
      <c r="O162">
        <v>1.56</v>
      </c>
      <c r="P162" s="25">
        <v>0.14069999999999999</v>
      </c>
      <c r="Q162" s="25">
        <v>0.25009999999999999</v>
      </c>
      <c r="R162" s="26">
        <v>20287.599999999999</v>
      </c>
      <c r="S162" s="26">
        <v>4019070000</v>
      </c>
      <c r="T162">
        <v>1.83</v>
      </c>
      <c r="U162" s="25">
        <v>9.1300000000000006E-2</v>
      </c>
    </row>
    <row r="163" spans="1:21" hidden="1" x14ac:dyDescent="0.25">
      <c r="A163" t="s">
        <v>386</v>
      </c>
      <c r="B163">
        <v>59</v>
      </c>
      <c r="C163">
        <v>12.85</v>
      </c>
      <c r="D163">
        <v>3.21</v>
      </c>
      <c r="E163">
        <v>1.5609999999999999</v>
      </c>
      <c r="F163" s="25">
        <v>4.7E-2</v>
      </c>
      <c r="G163">
        <v>0.90200000000000002</v>
      </c>
      <c r="H163">
        <v>9.14</v>
      </c>
      <c r="I163">
        <v>7.51</v>
      </c>
      <c r="J163">
        <v>-2.04</v>
      </c>
      <c r="K163">
        <v>10.92</v>
      </c>
      <c r="L163">
        <v>9.11</v>
      </c>
      <c r="M163" s="25">
        <v>0.20780000000000001</v>
      </c>
      <c r="N163" s="25">
        <v>0.1215</v>
      </c>
      <c r="O163">
        <v>1.56</v>
      </c>
      <c r="P163" s="25">
        <v>0.14069999999999999</v>
      </c>
      <c r="Q163" s="25">
        <v>0.25009999999999999</v>
      </c>
      <c r="R163" s="26">
        <v>1560.79</v>
      </c>
      <c r="S163" s="26">
        <v>4019070000</v>
      </c>
      <c r="T163">
        <v>1.83</v>
      </c>
      <c r="U163" s="25">
        <v>9.1300000000000006E-2</v>
      </c>
    </row>
    <row r="164" spans="1:21" hidden="1" x14ac:dyDescent="0.25">
      <c r="A164" t="s">
        <v>233</v>
      </c>
      <c r="B164">
        <v>4.7</v>
      </c>
      <c r="C164">
        <v>12.17</v>
      </c>
      <c r="D164">
        <v>1.28</v>
      </c>
      <c r="E164">
        <v>9.9049999999999994</v>
      </c>
      <c r="F164" s="25">
        <v>0.39090000000000003</v>
      </c>
      <c r="G164">
        <v>1.012</v>
      </c>
      <c r="H164">
        <v>4.3499999999999996</v>
      </c>
      <c r="I164">
        <v>-10.84</v>
      </c>
      <c r="J164">
        <v>24</v>
      </c>
      <c r="K164">
        <v>-8.61</v>
      </c>
      <c r="L164">
        <v>-10.91</v>
      </c>
      <c r="M164" s="25">
        <v>-0.91390000000000005</v>
      </c>
      <c r="N164" s="25">
        <v>0.81379999999999997</v>
      </c>
      <c r="O164">
        <v>13.71</v>
      </c>
      <c r="P164" s="25">
        <v>-0.11840000000000001</v>
      </c>
      <c r="Q164" s="25">
        <v>0.105</v>
      </c>
      <c r="R164" s="26">
        <v>25679</v>
      </c>
      <c r="S164" s="26">
        <v>54645000</v>
      </c>
      <c r="T164">
        <v>0</v>
      </c>
      <c r="U164" s="25">
        <v>-0.63080000000000003</v>
      </c>
    </row>
    <row r="165" spans="1:21" hidden="1" x14ac:dyDescent="0.25">
      <c r="A165" t="s">
        <v>387</v>
      </c>
      <c r="B165">
        <v>28.6</v>
      </c>
      <c r="C165">
        <v>6.45</v>
      </c>
      <c r="D165">
        <v>1.1100000000000001</v>
      </c>
      <c r="E165">
        <v>0.73399999999999999</v>
      </c>
      <c r="F165" s="25">
        <v>9.5799999999999996E-2</v>
      </c>
      <c r="G165">
        <v>0.42699999999999999</v>
      </c>
      <c r="H165">
        <v>5.8</v>
      </c>
      <c r="I165">
        <v>3.57</v>
      </c>
      <c r="J165">
        <v>-1.19</v>
      </c>
      <c r="K165">
        <v>5.95</v>
      </c>
      <c r="L165">
        <v>4.75</v>
      </c>
      <c r="M165" s="25">
        <v>0.20580000000000001</v>
      </c>
      <c r="N165" s="25">
        <v>0.1139</v>
      </c>
      <c r="O165">
        <v>1.4</v>
      </c>
      <c r="P165" s="25">
        <v>0.14169999999999999</v>
      </c>
      <c r="Q165" s="25">
        <v>0.1721</v>
      </c>
      <c r="R165" s="26">
        <v>6999.07</v>
      </c>
      <c r="S165" s="26">
        <v>4231080000</v>
      </c>
      <c r="T165">
        <v>1.02</v>
      </c>
      <c r="U165" s="25">
        <v>9.1200000000000003E-2</v>
      </c>
    </row>
    <row r="166" spans="1:21" hidden="1" x14ac:dyDescent="0.25">
      <c r="A166" t="s">
        <v>388</v>
      </c>
      <c r="B166">
        <v>5.51</v>
      </c>
      <c r="C166">
        <v>6.28</v>
      </c>
      <c r="D166">
        <v>2.2599999999999998</v>
      </c>
      <c r="E166">
        <v>1.0900000000000001</v>
      </c>
      <c r="F166" s="25">
        <v>0.1195</v>
      </c>
      <c r="G166">
        <v>0.70399999999999996</v>
      </c>
      <c r="H166">
        <v>8.24</v>
      </c>
      <c r="I166">
        <v>4.13</v>
      </c>
      <c r="J166">
        <v>-1.95</v>
      </c>
      <c r="K166">
        <v>5.58</v>
      </c>
      <c r="L166">
        <v>4.8899999999999997</v>
      </c>
      <c r="M166" s="25">
        <v>0.26429999999999998</v>
      </c>
      <c r="N166" s="25">
        <v>0.17369999999999999</v>
      </c>
      <c r="O166">
        <v>1.35</v>
      </c>
      <c r="P166" s="25">
        <v>0.21609999999999999</v>
      </c>
      <c r="Q166" s="25">
        <v>0.36009999999999998</v>
      </c>
      <c r="R166" s="26">
        <v>75851.600000000006</v>
      </c>
      <c r="S166" s="26">
        <v>5385610000</v>
      </c>
      <c r="T166">
        <v>1.27</v>
      </c>
      <c r="U166" s="25">
        <v>0.1515</v>
      </c>
    </row>
    <row r="167" spans="1:21" hidden="1" x14ac:dyDescent="0.25">
      <c r="A167" t="s">
        <v>389</v>
      </c>
      <c r="B167">
        <v>6.46</v>
      </c>
      <c r="C167">
        <v>7.36</v>
      </c>
      <c r="D167">
        <v>2.65</v>
      </c>
      <c r="E167">
        <v>1.278</v>
      </c>
      <c r="F167" s="25">
        <v>0.10199999999999999</v>
      </c>
      <c r="G167">
        <v>0.82499999999999996</v>
      </c>
      <c r="H167">
        <v>9.66</v>
      </c>
      <c r="I167">
        <v>4.84</v>
      </c>
      <c r="J167">
        <v>-2.29</v>
      </c>
      <c r="K167">
        <v>6.3</v>
      </c>
      <c r="L167">
        <v>5.51</v>
      </c>
      <c r="M167" s="25">
        <v>0.26429999999999998</v>
      </c>
      <c r="N167" s="25">
        <v>0.17369999999999999</v>
      </c>
      <c r="O167">
        <v>1.35</v>
      </c>
      <c r="P167" s="25">
        <v>0.21609999999999999</v>
      </c>
      <c r="Q167" s="25">
        <v>0.36009999999999998</v>
      </c>
      <c r="R167" s="26">
        <v>30.76</v>
      </c>
      <c r="S167" s="26">
        <v>5385610000</v>
      </c>
      <c r="T167">
        <v>1.27</v>
      </c>
      <c r="U167" s="25">
        <v>0.1515</v>
      </c>
    </row>
    <row r="168" spans="1:21" hidden="1" x14ac:dyDescent="0.25">
      <c r="A168" t="s">
        <v>910</v>
      </c>
      <c r="B168">
        <v>7.1</v>
      </c>
      <c r="C168">
        <v>8.09</v>
      </c>
      <c r="D168">
        <v>2.91</v>
      </c>
      <c r="E168">
        <v>1.405</v>
      </c>
      <c r="F168" s="25">
        <v>9.2799999999999994E-2</v>
      </c>
      <c r="G168">
        <v>0.90700000000000003</v>
      </c>
      <c r="H168">
        <v>10.62</v>
      </c>
      <c r="I168">
        <v>5.32</v>
      </c>
      <c r="J168">
        <v>-2.52</v>
      </c>
      <c r="K168">
        <v>6.78</v>
      </c>
      <c r="L168">
        <v>5.93</v>
      </c>
      <c r="M168" s="25">
        <v>0.26429999999999998</v>
      </c>
      <c r="N168" s="25">
        <v>0.17369999999999999</v>
      </c>
      <c r="O168">
        <v>1.35</v>
      </c>
      <c r="P168" s="25">
        <v>0.21609999999999999</v>
      </c>
      <c r="Q168" s="25">
        <v>0.36009999999999998</v>
      </c>
      <c r="R168" s="26">
        <v>169.48</v>
      </c>
      <c r="S168" s="26">
        <v>5385610000</v>
      </c>
      <c r="T168">
        <v>1.27</v>
      </c>
      <c r="U168" s="25">
        <v>0.1515</v>
      </c>
    </row>
    <row r="169" spans="1:21" hidden="1" x14ac:dyDescent="0.25">
      <c r="A169" t="s">
        <v>3</v>
      </c>
      <c r="B169">
        <v>8.0500000000000007</v>
      </c>
      <c r="C169">
        <v>9.17</v>
      </c>
      <c r="D169">
        <v>3.3</v>
      </c>
      <c r="E169">
        <v>1.593</v>
      </c>
      <c r="F169" s="25">
        <v>8.1799999999999998E-2</v>
      </c>
      <c r="G169">
        <v>1.028</v>
      </c>
      <c r="H169">
        <v>12.04</v>
      </c>
      <c r="I169">
        <v>6.03</v>
      </c>
      <c r="J169">
        <v>-2.86</v>
      </c>
      <c r="K169">
        <v>7.49</v>
      </c>
      <c r="L169">
        <v>6.55</v>
      </c>
      <c r="M169" s="25">
        <v>0.26429999999999998</v>
      </c>
      <c r="N169" s="25">
        <v>0.17369999999999999</v>
      </c>
      <c r="O169">
        <v>1.35</v>
      </c>
      <c r="P169" s="25">
        <v>0.21609999999999999</v>
      </c>
      <c r="Q169" s="25">
        <v>0.36009999999999998</v>
      </c>
      <c r="R169" s="26">
        <v>95.83</v>
      </c>
      <c r="S169" s="26">
        <v>5385610000</v>
      </c>
      <c r="T169">
        <v>1.27</v>
      </c>
      <c r="U169" s="25">
        <v>0.1515</v>
      </c>
    </row>
    <row r="170" spans="1:21" hidden="1" x14ac:dyDescent="0.25">
      <c r="A170" t="s">
        <v>81</v>
      </c>
      <c r="B170">
        <v>34.6</v>
      </c>
      <c r="C170">
        <v>14.06</v>
      </c>
      <c r="D170">
        <v>1.62</v>
      </c>
      <c r="E170">
        <v>0.92</v>
      </c>
      <c r="F170" s="25">
        <v>2.2800000000000001E-2</v>
      </c>
      <c r="G170">
        <v>0.375</v>
      </c>
      <c r="H170">
        <v>8.42</v>
      </c>
      <c r="I170">
        <v>4.3899999999999997</v>
      </c>
      <c r="J170">
        <v>-0.74</v>
      </c>
      <c r="K170">
        <v>8.83</v>
      </c>
      <c r="L170">
        <v>7.17</v>
      </c>
      <c r="M170" s="25">
        <v>0.20960000000000001</v>
      </c>
      <c r="N170" s="25">
        <v>8.2600000000000007E-2</v>
      </c>
      <c r="O170">
        <v>1.24</v>
      </c>
      <c r="P170" s="25">
        <v>9.8000000000000004E-2</v>
      </c>
      <c r="Q170" s="25">
        <v>0.1153</v>
      </c>
      <c r="R170" s="26">
        <v>242143000</v>
      </c>
      <c r="S170" s="26">
        <v>26784000000</v>
      </c>
      <c r="T170">
        <v>2.0299999999999998</v>
      </c>
      <c r="U170" s="25">
        <v>0.27089999999999997</v>
      </c>
    </row>
    <row r="171" spans="1:21" hidden="1" x14ac:dyDescent="0.25">
      <c r="A171" t="s">
        <v>180</v>
      </c>
      <c r="B171">
        <v>1.0900000000000001</v>
      </c>
      <c r="C171">
        <v>45.27</v>
      </c>
      <c r="D171">
        <v>0.45</v>
      </c>
      <c r="E171">
        <v>0.38</v>
      </c>
      <c r="F171" s="25">
        <v>1.5E-3</v>
      </c>
      <c r="G171">
        <v>0.17199999999999999</v>
      </c>
      <c r="H171">
        <v>1.1399999999999999</v>
      </c>
      <c r="I171">
        <v>2.65</v>
      </c>
      <c r="J171">
        <v>-1.07</v>
      </c>
      <c r="K171">
        <v>6.94</v>
      </c>
      <c r="L171">
        <v>4.3600000000000003</v>
      </c>
      <c r="M171" s="25">
        <v>0.14380000000000001</v>
      </c>
      <c r="N171" s="25">
        <v>7.9000000000000008E-3</v>
      </c>
      <c r="O171">
        <v>1.48</v>
      </c>
      <c r="P171" s="25">
        <v>7.2300000000000003E-2</v>
      </c>
      <c r="Q171" s="25">
        <v>0.01</v>
      </c>
      <c r="R171" s="26">
        <v>379354</v>
      </c>
      <c r="S171" s="26">
        <v>867856000</v>
      </c>
      <c r="T171">
        <v>0.98</v>
      </c>
      <c r="U171" s="25">
        <v>0.1706</v>
      </c>
    </row>
    <row r="172" spans="1:21" hidden="1" x14ac:dyDescent="0.25">
      <c r="A172" t="s">
        <v>390</v>
      </c>
      <c r="B172">
        <v>3.49</v>
      </c>
      <c r="C172">
        <v>-1.06</v>
      </c>
      <c r="D172">
        <v>-0.05</v>
      </c>
      <c r="E172">
        <v>0.17199999999999999</v>
      </c>
      <c r="F172" s="25">
        <v>0</v>
      </c>
      <c r="G172">
        <v>8.5999999999999993E-2</v>
      </c>
      <c r="H172">
        <v>-0.04</v>
      </c>
      <c r="I172">
        <v>-4.21</v>
      </c>
      <c r="J172">
        <v>-0.04</v>
      </c>
      <c r="K172">
        <v>-19.579999999999998</v>
      </c>
      <c r="L172">
        <v>-26.73</v>
      </c>
      <c r="M172" s="25">
        <v>-4.0899999999999999E-2</v>
      </c>
      <c r="N172" s="25">
        <v>-0.16170000000000001</v>
      </c>
      <c r="O172">
        <v>0.14000000000000001</v>
      </c>
      <c r="P172" s="25">
        <v>-2.18E-2</v>
      </c>
      <c r="Q172" s="25">
        <v>4.6300000000000001E-2</v>
      </c>
      <c r="R172" s="26">
        <v>516.95000000000005</v>
      </c>
      <c r="S172" s="26">
        <v>-573005000</v>
      </c>
      <c r="T172">
        <v>-0.18</v>
      </c>
      <c r="U172" s="25">
        <v>9.4000000000000004E-3</v>
      </c>
    </row>
    <row r="173" spans="1:21" hidden="1" x14ac:dyDescent="0.25">
      <c r="A173" t="s">
        <v>186</v>
      </c>
      <c r="B173">
        <v>3.7</v>
      </c>
      <c r="C173">
        <v>8.23</v>
      </c>
      <c r="D173">
        <v>0.28999999999999998</v>
      </c>
      <c r="E173">
        <v>0.19400000000000001</v>
      </c>
      <c r="F173" s="25">
        <v>3.39E-2</v>
      </c>
      <c r="G173">
        <v>0.17499999999999999</v>
      </c>
      <c r="H173">
        <v>1.05</v>
      </c>
      <c r="I173">
        <v>10.83</v>
      </c>
      <c r="J173">
        <v>18.66</v>
      </c>
      <c r="K173">
        <v>16.12</v>
      </c>
      <c r="L173">
        <v>4.6100000000000003</v>
      </c>
      <c r="M173" s="25">
        <v>1.7899999999999999E-2</v>
      </c>
      <c r="N173" s="25">
        <v>2.3599999999999999E-2</v>
      </c>
      <c r="O173">
        <v>1.72</v>
      </c>
      <c r="P173" s="25">
        <v>1.78E-2</v>
      </c>
      <c r="Q173" s="25">
        <v>3.49E-2</v>
      </c>
      <c r="R173" s="26">
        <v>310850</v>
      </c>
      <c r="S173" s="26">
        <v>795309000</v>
      </c>
      <c r="T173">
        <v>0.17</v>
      </c>
      <c r="U173" s="25">
        <v>6.88E-2</v>
      </c>
    </row>
    <row r="174" spans="1:21" hidden="1" x14ac:dyDescent="0.25">
      <c r="A174" t="s">
        <v>391</v>
      </c>
      <c r="B174">
        <v>19</v>
      </c>
      <c r="C174">
        <v>7.31</v>
      </c>
      <c r="D174">
        <v>0.66</v>
      </c>
      <c r="E174">
        <v>0.59399999999999997</v>
      </c>
      <c r="F174" s="25">
        <v>3.5200000000000002E-2</v>
      </c>
      <c r="G174">
        <v>0.36199999999999999</v>
      </c>
      <c r="H174">
        <v>1.78</v>
      </c>
      <c r="I174">
        <v>4.05</v>
      </c>
      <c r="J174">
        <v>-6.16</v>
      </c>
      <c r="K174">
        <v>5.4</v>
      </c>
      <c r="L174">
        <v>3.56</v>
      </c>
      <c r="M174" s="25">
        <v>0.1467</v>
      </c>
      <c r="N174" s="25">
        <v>8.1299999999999997E-2</v>
      </c>
      <c r="O174">
        <v>2.06</v>
      </c>
      <c r="P174" s="25">
        <v>0.10580000000000001</v>
      </c>
      <c r="Q174" s="25">
        <v>9.0700000000000003E-2</v>
      </c>
      <c r="R174" s="26">
        <v>29129.8</v>
      </c>
      <c r="S174" s="26">
        <v>2652920000</v>
      </c>
      <c r="T174">
        <v>0.4</v>
      </c>
      <c r="U174" s="25">
        <v>9.1399999999999995E-2</v>
      </c>
    </row>
    <row r="175" spans="1:21" hidden="1" x14ac:dyDescent="0.25">
      <c r="A175" t="s">
        <v>11</v>
      </c>
      <c r="B175">
        <v>17.11</v>
      </c>
      <c r="C175">
        <v>6.58</v>
      </c>
      <c r="D175">
        <v>0.6</v>
      </c>
      <c r="E175">
        <v>0.53500000000000003</v>
      </c>
      <c r="F175" s="25">
        <v>4.2999999999999997E-2</v>
      </c>
      <c r="G175">
        <v>0.32600000000000001</v>
      </c>
      <c r="H175">
        <v>1.61</v>
      </c>
      <c r="I175">
        <v>3.65</v>
      </c>
      <c r="J175">
        <v>-5.55</v>
      </c>
      <c r="K175">
        <v>4.99</v>
      </c>
      <c r="L175">
        <v>3.3</v>
      </c>
      <c r="M175" s="25">
        <v>0.1467</v>
      </c>
      <c r="N175" s="25">
        <v>8.1299999999999997E-2</v>
      </c>
      <c r="O175">
        <v>2.06</v>
      </c>
      <c r="P175" s="25">
        <v>0.10580000000000001</v>
      </c>
      <c r="Q175" s="25">
        <v>9.0700000000000003E-2</v>
      </c>
      <c r="R175" s="26">
        <v>1049360</v>
      </c>
      <c r="S175" s="26">
        <v>2652920000</v>
      </c>
      <c r="T175">
        <v>0.4</v>
      </c>
      <c r="U175" s="25">
        <v>9.1399999999999995E-2</v>
      </c>
    </row>
    <row r="176" spans="1:21" hidden="1" x14ac:dyDescent="0.25">
      <c r="A176" t="s">
        <v>122</v>
      </c>
      <c r="B176">
        <v>7.08</v>
      </c>
      <c r="C176">
        <v>45.57</v>
      </c>
      <c r="D176">
        <v>0.75</v>
      </c>
      <c r="E176">
        <v>0.76700000000000002</v>
      </c>
      <c r="F176" s="25">
        <v>5.6500000000000002E-2</v>
      </c>
      <c r="G176">
        <v>0.27500000000000002</v>
      </c>
      <c r="H176">
        <v>0.44</v>
      </c>
      <c r="I176">
        <v>4.8499999999999996</v>
      </c>
      <c r="J176">
        <v>1.17</v>
      </c>
      <c r="K176">
        <v>5.69</v>
      </c>
      <c r="L176">
        <v>5.63</v>
      </c>
      <c r="M176" s="25">
        <v>0.15820000000000001</v>
      </c>
      <c r="N176" s="25">
        <v>5.6500000000000002E-2</v>
      </c>
      <c r="O176">
        <v>4.38</v>
      </c>
      <c r="P176" s="25">
        <v>6.93E-2</v>
      </c>
      <c r="Q176" s="25">
        <v>1.6500000000000001E-2</v>
      </c>
      <c r="R176" s="26">
        <v>4194310</v>
      </c>
      <c r="S176" s="26">
        <v>1885180000</v>
      </c>
      <c r="T176">
        <v>0.59</v>
      </c>
      <c r="U176" s="25">
        <v>2.75E-2</v>
      </c>
    </row>
    <row r="177" spans="1:21" hidden="1" x14ac:dyDescent="0.25">
      <c r="A177" t="s">
        <v>90</v>
      </c>
      <c r="B177">
        <v>13.27</v>
      </c>
      <c r="C177">
        <v>6.63</v>
      </c>
      <c r="D177">
        <v>0.6</v>
      </c>
      <c r="E177">
        <v>1.796</v>
      </c>
      <c r="F177" s="25">
        <v>8.8099999999999998E-2</v>
      </c>
      <c r="G177">
        <v>0.42099999999999999</v>
      </c>
      <c r="H177">
        <v>1.1100000000000001</v>
      </c>
      <c r="I177">
        <v>9.56</v>
      </c>
      <c r="J177">
        <v>2.75</v>
      </c>
      <c r="K177">
        <v>10.86</v>
      </c>
      <c r="L177">
        <v>10</v>
      </c>
      <c r="M177" s="25">
        <v>0.18779999999999999</v>
      </c>
      <c r="N177" s="25">
        <v>0.28749999999999998</v>
      </c>
      <c r="O177">
        <v>7.71</v>
      </c>
      <c r="P177" s="25">
        <v>5.3499999999999999E-2</v>
      </c>
      <c r="Q177" s="25">
        <v>9.0200000000000002E-2</v>
      </c>
      <c r="R177" s="26">
        <v>13337400</v>
      </c>
      <c r="S177" s="26">
        <v>4898440000</v>
      </c>
      <c r="T177">
        <v>0.32</v>
      </c>
      <c r="U177" s="25">
        <v>0.1333</v>
      </c>
    </row>
    <row r="178" spans="1:21" hidden="1" x14ac:dyDescent="0.25">
      <c r="A178" t="s">
        <v>392</v>
      </c>
      <c r="B178">
        <v>12.06</v>
      </c>
      <c r="C178">
        <v>13.72</v>
      </c>
      <c r="D178">
        <v>1.27</v>
      </c>
      <c r="E178">
        <v>1.871</v>
      </c>
      <c r="F178" s="25">
        <v>3.7699999999999997E-2</v>
      </c>
      <c r="G178">
        <v>0.98299999999999998</v>
      </c>
      <c r="H178">
        <v>3.77</v>
      </c>
      <c r="I178">
        <v>20.56</v>
      </c>
      <c r="J178">
        <v>6.06</v>
      </c>
      <c r="K178">
        <v>18.21</v>
      </c>
      <c r="L178">
        <v>7.93</v>
      </c>
      <c r="M178" s="25">
        <v>9.0999999999999998E-2</v>
      </c>
      <c r="N178" s="25">
        <v>0.13650000000000001</v>
      </c>
      <c r="O178">
        <v>3.09</v>
      </c>
      <c r="P178" s="25">
        <v>6.1600000000000002E-2</v>
      </c>
      <c r="Q178" s="25">
        <v>9.2299999999999993E-2</v>
      </c>
      <c r="R178" s="26">
        <v>1635.48</v>
      </c>
      <c r="S178" s="26">
        <v>3363440000</v>
      </c>
      <c r="T178">
        <v>0.1</v>
      </c>
      <c r="U178" s="25">
        <v>3.2500000000000001E-2</v>
      </c>
    </row>
    <row r="179" spans="1:21" hidden="1" x14ac:dyDescent="0.25">
      <c r="A179" t="s">
        <v>252</v>
      </c>
      <c r="B179">
        <v>6.79</v>
      </c>
      <c r="C179">
        <v>7.72</v>
      </c>
      <c r="D179">
        <v>0.71</v>
      </c>
      <c r="E179">
        <v>1.0529999999999999</v>
      </c>
      <c r="F179" s="25">
        <v>7.3700000000000002E-2</v>
      </c>
      <c r="G179">
        <v>0.55300000000000005</v>
      </c>
      <c r="H179">
        <v>2.12</v>
      </c>
      <c r="I179">
        <v>11.58</v>
      </c>
      <c r="J179">
        <v>3.41</v>
      </c>
      <c r="K179">
        <v>9.23</v>
      </c>
      <c r="L179">
        <v>4.0199999999999996</v>
      </c>
      <c r="M179" s="25">
        <v>9.0999999999999998E-2</v>
      </c>
      <c r="N179" s="25">
        <v>0.13650000000000001</v>
      </c>
      <c r="O179">
        <v>3.09</v>
      </c>
      <c r="P179" s="25">
        <v>6.1600000000000002E-2</v>
      </c>
      <c r="Q179" s="25">
        <v>9.2299999999999993E-2</v>
      </c>
      <c r="R179" s="26">
        <v>3384780</v>
      </c>
      <c r="S179" s="26">
        <v>3363440000</v>
      </c>
      <c r="T179">
        <v>0.1</v>
      </c>
      <c r="U179" s="25">
        <v>3.2500000000000001E-2</v>
      </c>
    </row>
    <row r="180" spans="1:21" hidden="1" x14ac:dyDescent="0.25">
      <c r="A180" t="s">
        <v>227</v>
      </c>
      <c r="B180">
        <v>4.05</v>
      </c>
      <c r="C180">
        <v>-0.23</v>
      </c>
      <c r="D180">
        <v>-0.2</v>
      </c>
      <c r="E180">
        <v>4.8000000000000001E-2</v>
      </c>
      <c r="F180" s="25">
        <v>0</v>
      </c>
      <c r="G180">
        <v>7.4999999999999997E-2</v>
      </c>
      <c r="H180">
        <v>-0.53</v>
      </c>
      <c r="I180">
        <v>-1.04</v>
      </c>
      <c r="J180">
        <v>-0.11</v>
      </c>
      <c r="K180">
        <v>-0.1</v>
      </c>
      <c r="L180">
        <v>-0.14000000000000001</v>
      </c>
      <c r="M180" s="25">
        <v>-4.6100000000000002E-2</v>
      </c>
      <c r="N180" s="25">
        <v>-0.20930000000000001</v>
      </c>
      <c r="O180">
        <v>0.83</v>
      </c>
      <c r="P180" s="25">
        <v>-0.39689999999999998</v>
      </c>
      <c r="Q180" s="25">
        <v>0.87439999999999996</v>
      </c>
      <c r="R180" s="26">
        <v>245472</v>
      </c>
      <c r="S180" s="26">
        <v>-1087650000</v>
      </c>
      <c r="T180">
        <v>-0.02</v>
      </c>
      <c r="U180" s="25">
        <v>0.1242</v>
      </c>
    </row>
    <row r="181" spans="1:21" hidden="1" x14ac:dyDescent="0.25">
      <c r="A181" t="s">
        <v>393</v>
      </c>
      <c r="B181">
        <v>3.2</v>
      </c>
      <c r="C181">
        <v>-3.12</v>
      </c>
      <c r="D181">
        <v>-8.3699999999999992</v>
      </c>
      <c r="E181">
        <v>-6.3150000000000004</v>
      </c>
      <c r="F181" s="25">
        <v>0</v>
      </c>
      <c r="G181">
        <v>17.138000000000002</v>
      </c>
      <c r="H181">
        <v>-58.64</v>
      </c>
      <c r="I181">
        <v>-15.26</v>
      </c>
      <c r="J181">
        <v>-5.64</v>
      </c>
      <c r="K181">
        <v>-16.13</v>
      </c>
      <c r="L181">
        <v>-15.39</v>
      </c>
      <c r="M181" s="25">
        <v>0.41389999999999999</v>
      </c>
      <c r="N181" s="25">
        <v>2.0249999999999999</v>
      </c>
      <c r="O181">
        <v>0.03</v>
      </c>
      <c r="P181" s="25">
        <v>-1.1304000000000001</v>
      </c>
      <c r="Q181" s="25">
        <v>2.6833999999999998</v>
      </c>
      <c r="R181" s="26">
        <v>66598.2</v>
      </c>
      <c r="S181" s="26">
        <v>-9103000</v>
      </c>
      <c r="T181">
        <v>-0.48</v>
      </c>
      <c r="U181" s="25">
        <v>-0.1394</v>
      </c>
    </row>
    <row r="182" spans="1:21" hidden="1" x14ac:dyDescent="0.25">
      <c r="A182" t="s">
        <v>394</v>
      </c>
      <c r="B182">
        <v>13</v>
      </c>
      <c r="C182">
        <v>-49.51</v>
      </c>
      <c r="D182">
        <v>0.4</v>
      </c>
      <c r="E182">
        <v>12.558999999999999</v>
      </c>
      <c r="F182" s="25">
        <v>0</v>
      </c>
      <c r="G182">
        <v>0.29899999999999999</v>
      </c>
      <c r="H182">
        <v>2.93</v>
      </c>
      <c r="I182">
        <v>-5.31</v>
      </c>
      <c r="J182">
        <v>-6.41</v>
      </c>
      <c r="K182">
        <v>-7.19</v>
      </c>
      <c r="L182">
        <v>-7.65</v>
      </c>
      <c r="M182" s="25">
        <v>-2.3645999999999998</v>
      </c>
      <c r="N182" s="25">
        <v>-0.25490000000000002</v>
      </c>
      <c r="O182">
        <v>2.0499999999999998</v>
      </c>
      <c r="P182" s="25">
        <v>-5.9299999999999999E-2</v>
      </c>
      <c r="Q182" s="25">
        <v>-8.0000000000000002E-3</v>
      </c>
      <c r="R182" s="26">
        <v>27097.1</v>
      </c>
      <c r="S182" s="26">
        <v>79440000</v>
      </c>
      <c r="T182">
        <v>0.15</v>
      </c>
      <c r="U182" s="25">
        <v>-2.1299999999999999E-2</v>
      </c>
    </row>
    <row r="183" spans="1:21" hidden="1" x14ac:dyDescent="0.25">
      <c r="A183" t="s">
        <v>395</v>
      </c>
      <c r="B183">
        <v>3.64</v>
      </c>
      <c r="C183">
        <v>7.57</v>
      </c>
      <c r="D183">
        <v>1.08</v>
      </c>
      <c r="E183">
        <v>1.26</v>
      </c>
      <c r="F183" s="25">
        <v>2.7199999999999998E-2</v>
      </c>
      <c r="G183">
        <v>0.56799999999999995</v>
      </c>
      <c r="H183">
        <v>5.73</v>
      </c>
      <c r="I183">
        <v>5.26</v>
      </c>
      <c r="J183">
        <v>-2.93</v>
      </c>
      <c r="K183">
        <v>5.88</v>
      </c>
      <c r="L183">
        <v>2.99</v>
      </c>
      <c r="M183" s="25">
        <v>0.23960000000000001</v>
      </c>
      <c r="N183" s="25">
        <v>0.16639999999999999</v>
      </c>
      <c r="O183">
        <v>1.55</v>
      </c>
      <c r="P183" s="25">
        <v>0.1351</v>
      </c>
      <c r="Q183" s="25">
        <v>0.14269999999999999</v>
      </c>
      <c r="R183" s="26">
        <v>938392</v>
      </c>
      <c r="S183" s="26">
        <v>1220080000</v>
      </c>
      <c r="T183">
        <v>0.47</v>
      </c>
      <c r="U183" s="25">
        <v>0.2616</v>
      </c>
    </row>
    <row r="184" spans="1:21" hidden="1" x14ac:dyDescent="0.25">
      <c r="A184" t="s">
        <v>51</v>
      </c>
      <c r="B184">
        <v>14.51</v>
      </c>
      <c r="C184">
        <v>12.65</v>
      </c>
      <c r="D184">
        <v>1.52</v>
      </c>
      <c r="E184">
        <v>1.0189999999999999</v>
      </c>
      <c r="F184" s="25">
        <v>7.0099999999999996E-2</v>
      </c>
      <c r="G184">
        <v>0.59799999999999998</v>
      </c>
      <c r="H184">
        <v>3.02</v>
      </c>
      <c r="I184">
        <v>6.61</v>
      </c>
      <c r="J184">
        <v>-2.42</v>
      </c>
      <c r="K184">
        <v>9.14</v>
      </c>
      <c r="L184">
        <v>5.48</v>
      </c>
      <c r="M184" s="25">
        <v>0.154</v>
      </c>
      <c r="N184" s="25">
        <v>7.8399999999999997E-2</v>
      </c>
      <c r="O184">
        <v>2.29</v>
      </c>
      <c r="P184" s="25">
        <v>0.11849999999999999</v>
      </c>
      <c r="Q184" s="25">
        <v>0.1201</v>
      </c>
      <c r="R184" s="26">
        <v>42824100</v>
      </c>
      <c r="S184" s="26">
        <v>5226800000</v>
      </c>
      <c r="T184">
        <v>1.05</v>
      </c>
      <c r="U184" s="25">
        <v>0.26790000000000003</v>
      </c>
    </row>
    <row r="185" spans="1:21" hidden="1" x14ac:dyDescent="0.25">
      <c r="A185" t="s">
        <v>65</v>
      </c>
      <c r="B185">
        <v>23.45</v>
      </c>
      <c r="C185">
        <v>20.05</v>
      </c>
      <c r="D185">
        <v>3.08</v>
      </c>
      <c r="E185">
        <v>1.4750000000000001</v>
      </c>
      <c r="F185" s="25">
        <v>2.5000000000000001E-2</v>
      </c>
      <c r="G185">
        <v>0.97599999999999998</v>
      </c>
      <c r="H185">
        <v>3.69</v>
      </c>
      <c r="I185">
        <v>9.93</v>
      </c>
      <c r="J185">
        <v>-5.1100000000000003</v>
      </c>
      <c r="K185">
        <v>12.98</v>
      </c>
      <c r="L185">
        <v>10.09</v>
      </c>
      <c r="M185" s="25">
        <v>0.14849999999999999</v>
      </c>
      <c r="N185" s="25">
        <v>7.5300000000000006E-2</v>
      </c>
      <c r="O185">
        <v>2.19</v>
      </c>
      <c r="P185" s="25">
        <v>0.123</v>
      </c>
      <c r="Q185" s="25">
        <v>0.15379999999999999</v>
      </c>
      <c r="R185" s="26">
        <v>13277900</v>
      </c>
      <c r="S185" s="26">
        <v>2131360000</v>
      </c>
      <c r="T185">
        <v>1.28</v>
      </c>
      <c r="U185" s="25">
        <v>0.2069</v>
      </c>
    </row>
    <row r="186" spans="1:21" hidden="1" x14ac:dyDescent="0.25">
      <c r="A186" t="s">
        <v>396</v>
      </c>
      <c r="B186">
        <v>203</v>
      </c>
      <c r="C186">
        <v>-56.87</v>
      </c>
      <c r="D186">
        <v>3.89</v>
      </c>
      <c r="E186">
        <v>0.55500000000000005</v>
      </c>
      <c r="F186" s="25">
        <v>0</v>
      </c>
      <c r="G186">
        <v>0.66200000000000003</v>
      </c>
      <c r="H186">
        <v>5.15</v>
      </c>
      <c r="I186">
        <v>14.12</v>
      </c>
      <c r="J186">
        <v>-6.37</v>
      </c>
      <c r="K186">
        <v>21.99</v>
      </c>
      <c r="L186">
        <v>12.13</v>
      </c>
      <c r="M186" s="25">
        <v>3.9300000000000002E-2</v>
      </c>
      <c r="N186" s="25">
        <v>-1.43E-2</v>
      </c>
      <c r="O186">
        <v>1.23</v>
      </c>
      <c r="P186" s="25">
        <v>6.7299999999999999E-2</v>
      </c>
      <c r="Q186" s="25">
        <v>-6.8400000000000002E-2</v>
      </c>
      <c r="R186" s="26">
        <v>36680.800000000003</v>
      </c>
      <c r="S186" s="26">
        <v>327983000</v>
      </c>
      <c r="T186">
        <v>2.5</v>
      </c>
      <c r="U186" s="25">
        <v>7.6799999999999993E-2</v>
      </c>
    </row>
    <row r="187" spans="1:21" hidden="1" x14ac:dyDescent="0.25">
      <c r="A187" t="s">
        <v>397</v>
      </c>
      <c r="B187">
        <v>33.340000000000003</v>
      </c>
      <c r="C187">
        <v>32.409999999999997</v>
      </c>
      <c r="D187">
        <v>1.86</v>
      </c>
      <c r="E187">
        <v>9.0120000000000005</v>
      </c>
      <c r="F187" s="25">
        <v>0.2104</v>
      </c>
      <c r="G187">
        <v>0.89500000000000002</v>
      </c>
      <c r="H187">
        <v>-8.4499999999999993</v>
      </c>
      <c r="I187">
        <v>19.05</v>
      </c>
      <c r="J187">
        <v>-2.67</v>
      </c>
      <c r="K187">
        <v>20.2</v>
      </c>
      <c r="L187">
        <v>14.35</v>
      </c>
      <c r="M187" s="25">
        <v>0.47299999999999998</v>
      </c>
      <c r="N187" s="25">
        <v>0.27810000000000001</v>
      </c>
      <c r="O187">
        <v>0.63</v>
      </c>
      <c r="P187" s="25">
        <v>6.2899999999999998E-2</v>
      </c>
      <c r="Q187" s="25">
        <v>5.74E-2</v>
      </c>
      <c r="R187" s="26">
        <v>2471.9299999999998</v>
      </c>
      <c r="S187" s="26">
        <v>1691660000</v>
      </c>
      <c r="T187">
        <v>0.37</v>
      </c>
      <c r="U187" s="25">
        <v>-0.25559999999999999</v>
      </c>
    </row>
    <row r="188" spans="1:21" hidden="1" x14ac:dyDescent="0.25">
      <c r="A188" t="s">
        <v>398</v>
      </c>
      <c r="B188">
        <v>36.01</v>
      </c>
      <c r="C188">
        <v>35.01</v>
      </c>
      <c r="D188">
        <v>2.0099999999999998</v>
      </c>
      <c r="E188">
        <v>9.734</v>
      </c>
      <c r="F188" s="25">
        <v>0.1948</v>
      </c>
      <c r="G188">
        <v>0.96699999999999997</v>
      </c>
      <c r="H188">
        <v>-9.1300000000000008</v>
      </c>
      <c r="I188">
        <v>20.58</v>
      </c>
      <c r="J188">
        <v>-2.88</v>
      </c>
      <c r="K188">
        <v>21.73</v>
      </c>
      <c r="L188">
        <v>15.43</v>
      </c>
      <c r="M188" s="25">
        <v>0.47299999999999998</v>
      </c>
      <c r="N188" s="25">
        <v>0.27810000000000001</v>
      </c>
      <c r="O188">
        <v>0.63</v>
      </c>
      <c r="P188" s="25">
        <v>6.2899999999999998E-2</v>
      </c>
      <c r="Q188" s="25">
        <v>5.74E-2</v>
      </c>
      <c r="R188" s="26">
        <v>17356.3</v>
      </c>
      <c r="S188" s="26">
        <v>1691660000</v>
      </c>
      <c r="T188">
        <v>0.37</v>
      </c>
      <c r="U188" s="25">
        <v>-0.25559999999999999</v>
      </c>
    </row>
    <row r="189" spans="1:21" hidden="1" x14ac:dyDescent="0.25">
      <c r="A189" t="s">
        <v>228</v>
      </c>
      <c r="B189">
        <v>16.88</v>
      </c>
      <c r="C189">
        <v>-2.89</v>
      </c>
      <c r="D189">
        <v>0.06</v>
      </c>
      <c r="E189">
        <v>0.115</v>
      </c>
      <c r="F189" s="25">
        <v>0</v>
      </c>
      <c r="G189">
        <v>2.3E-2</v>
      </c>
      <c r="H189">
        <v>0.1</v>
      </c>
      <c r="I189">
        <v>-0.59</v>
      </c>
      <c r="J189">
        <v>-2.4700000000000002</v>
      </c>
      <c r="K189">
        <v>-7.54</v>
      </c>
      <c r="L189">
        <v>-8.15</v>
      </c>
      <c r="M189" s="25">
        <v>-0.1966</v>
      </c>
      <c r="N189" s="25">
        <v>-0.04</v>
      </c>
      <c r="O189">
        <v>1.67</v>
      </c>
      <c r="P189" s="25">
        <v>-4.1599999999999998E-2</v>
      </c>
      <c r="Q189" s="25">
        <v>-1.9699999999999999E-2</v>
      </c>
      <c r="R189" s="26">
        <v>7017840</v>
      </c>
      <c r="S189" s="26">
        <v>1995250000</v>
      </c>
      <c r="T189">
        <v>0.75</v>
      </c>
      <c r="U189" s="25">
        <v>2.4199999999999999E-2</v>
      </c>
    </row>
    <row r="190" spans="1:21" hidden="1" x14ac:dyDescent="0.25">
      <c r="A190" t="s">
        <v>33</v>
      </c>
      <c r="B190">
        <v>15.3</v>
      </c>
      <c r="C190">
        <v>9.48</v>
      </c>
      <c r="D190">
        <v>0.55000000000000004</v>
      </c>
      <c r="E190">
        <v>0.45500000000000002</v>
      </c>
      <c r="F190" s="25">
        <v>4.3200000000000002E-2</v>
      </c>
      <c r="G190">
        <v>0.36299999999999999</v>
      </c>
      <c r="H190">
        <v>1.55</v>
      </c>
      <c r="I190">
        <v>4.76</v>
      </c>
      <c r="J190">
        <v>10.94</v>
      </c>
      <c r="K190">
        <v>5.93</v>
      </c>
      <c r="L190">
        <v>3.95</v>
      </c>
      <c r="M190" s="25">
        <v>9.5600000000000004E-2</v>
      </c>
      <c r="N190" s="25">
        <v>4.8500000000000001E-2</v>
      </c>
      <c r="O190">
        <v>2.64</v>
      </c>
      <c r="P190" s="25">
        <v>9.0200000000000002E-2</v>
      </c>
      <c r="Q190" s="25">
        <v>5.8400000000000001E-2</v>
      </c>
      <c r="R190" s="26">
        <v>592098</v>
      </c>
      <c r="S190" s="26">
        <v>56017100000</v>
      </c>
      <c r="T190">
        <v>0.26</v>
      </c>
      <c r="U190" s="25">
        <v>3.73E-2</v>
      </c>
    </row>
    <row r="191" spans="1:21" hidden="1" x14ac:dyDescent="0.25">
      <c r="A191" t="s">
        <v>48</v>
      </c>
      <c r="B191">
        <v>17.22</v>
      </c>
      <c r="C191">
        <v>10.67</v>
      </c>
      <c r="D191">
        <v>0.62</v>
      </c>
      <c r="E191">
        <v>0.51200000000000001</v>
      </c>
      <c r="F191" s="25">
        <v>3.8399999999999997E-2</v>
      </c>
      <c r="G191">
        <v>0.40799999999999997</v>
      </c>
      <c r="H191">
        <v>1.75</v>
      </c>
      <c r="I191">
        <v>5.36</v>
      </c>
      <c r="J191">
        <v>12.31</v>
      </c>
      <c r="K191">
        <v>6.53</v>
      </c>
      <c r="L191">
        <v>4.34</v>
      </c>
      <c r="M191" s="25">
        <v>9.5600000000000004E-2</v>
      </c>
      <c r="N191" s="25">
        <v>4.8500000000000001E-2</v>
      </c>
      <c r="O191">
        <v>2.64</v>
      </c>
      <c r="P191" s="25">
        <v>9.0200000000000002E-2</v>
      </c>
      <c r="Q191" s="25">
        <v>5.8400000000000001E-2</v>
      </c>
      <c r="R191" s="26">
        <v>180617000</v>
      </c>
      <c r="S191" s="26">
        <v>56017100000</v>
      </c>
      <c r="T191">
        <v>0.26</v>
      </c>
      <c r="U191" s="25">
        <v>3.73E-2</v>
      </c>
    </row>
    <row r="192" spans="1:21" hidden="1" x14ac:dyDescent="0.25">
      <c r="A192" t="s">
        <v>99</v>
      </c>
      <c r="B192">
        <v>14.8</v>
      </c>
      <c r="C192">
        <v>15.05</v>
      </c>
      <c r="D192">
        <v>2.73</v>
      </c>
      <c r="E192">
        <v>0.63400000000000001</v>
      </c>
      <c r="F192" s="25">
        <v>2.18E-2</v>
      </c>
      <c r="G192">
        <v>0.69199999999999995</v>
      </c>
      <c r="H192">
        <v>2.2799999999999998</v>
      </c>
      <c r="I192">
        <v>8.33</v>
      </c>
      <c r="J192">
        <v>-3.2</v>
      </c>
      <c r="K192">
        <v>9.9700000000000006</v>
      </c>
      <c r="L192">
        <v>7.4</v>
      </c>
      <c r="M192" s="25">
        <v>7.6200000000000004E-2</v>
      </c>
      <c r="N192" s="25">
        <v>4.2700000000000002E-2</v>
      </c>
      <c r="O192">
        <v>2.34</v>
      </c>
      <c r="P192" s="25">
        <v>0.1101</v>
      </c>
      <c r="Q192" s="25">
        <v>0.18149999999999999</v>
      </c>
      <c r="R192" s="26">
        <v>44043100</v>
      </c>
      <c r="S192" s="26">
        <v>3670500000</v>
      </c>
      <c r="T192">
        <v>1.38</v>
      </c>
      <c r="U192" s="25">
        <v>0.28439999999999999</v>
      </c>
    </row>
    <row r="193" spans="1:21" hidden="1" x14ac:dyDescent="0.25">
      <c r="A193" t="s">
        <v>139</v>
      </c>
      <c r="B193">
        <v>7.61</v>
      </c>
      <c r="C193">
        <v>12.27</v>
      </c>
      <c r="D193">
        <v>1.71</v>
      </c>
      <c r="E193">
        <v>0.51800000000000002</v>
      </c>
      <c r="F193" s="25">
        <v>2.8199999999999999E-2</v>
      </c>
      <c r="G193">
        <v>0.85099999999999998</v>
      </c>
      <c r="H193">
        <v>2.33</v>
      </c>
      <c r="I193">
        <v>7.65</v>
      </c>
      <c r="J193">
        <v>6.59</v>
      </c>
      <c r="K193">
        <v>7.92</v>
      </c>
      <c r="L193">
        <v>6.78</v>
      </c>
      <c r="M193" s="25">
        <v>6.7699999999999996E-2</v>
      </c>
      <c r="N193" s="25">
        <v>4.2799999999999998E-2</v>
      </c>
      <c r="O193">
        <v>2.4</v>
      </c>
      <c r="P193" s="25">
        <v>0.1507</v>
      </c>
      <c r="Q193" s="25">
        <v>0.13930000000000001</v>
      </c>
      <c r="R193" s="26">
        <v>26451300</v>
      </c>
      <c r="S193" s="26">
        <v>10013600000</v>
      </c>
      <c r="T193">
        <v>0.21</v>
      </c>
      <c r="U193" s="25">
        <v>0.26050000000000001</v>
      </c>
    </row>
    <row r="194" spans="1:21" hidden="1" x14ac:dyDescent="0.25">
      <c r="A194" t="s">
        <v>43</v>
      </c>
      <c r="B194">
        <v>9.67</v>
      </c>
      <c r="C194">
        <v>8.6</v>
      </c>
      <c r="D194">
        <v>0.49</v>
      </c>
      <c r="E194">
        <v>0.14099999999999999</v>
      </c>
      <c r="F194" s="25">
        <v>3.6200000000000003E-2</v>
      </c>
      <c r="G194">
        <v>0.112</v>
      </c>
      <c r="H194">
        <v>0.48</v>
      </c>
      <c r="I194">
        <v>1.48</v>
      </c>
      <c r="J194">
        <v>3.33</v>
      </c>
      <c r="K194">
        <v>2.65</v>
      </c>
      <c r="L194">
        <v>1.76</v>
      </c>
      <c r="M194" s="25">
        <v>9.5399999999999999E-2</v>
      </c>
      <c r="N194" s="25">
        <v>4.8599999999999997E-2</v>
      </c>
      <c r="O194">
        <v>2.64</v>
      </c>
      <c r="P194" s="25">
        <v>0.09</v>
      </c>
      <c r="Q194" s="25">
        <v>5.74E-2</v>
      </c>
      <c r="R194" s="26">
        <v>278903</v>
      </c>
      <c r="S194" s="26">
        <v>19459900000</v>
      </c>
      <c r="T194">
        <v>0.75</v>
      </c>
      <c r="U194" s="25">
        <v>3.73E-2</v>
      </c>
    </row>
    <row r="195" spans="1:21" hidden="1" x14ac:dyDescent="0.25">
      <c r="A195" t="s">
        <v>133</v>
      </c>
      <c r="B195">
        <v>9.6300000000000008</v>
      </c>
      <c r="C195">
        <v>8.57</v>
      </c>
      <c r="D195">
        <v>0.49</v>
      </c>
      <c r="E195">
        <v>0.14000000000000001</v>
      </c>
      <c r="F195" s="25">
        <v>3.6299999999999999E-2</v>
      </c>
      <c r="G195">
        <v>0.112</v>
      </c>
      <c r="H195">
        <v>0.48</v>
      </c>
      <c r="I195">
        <v>1.47</v>
      </c>
      <c r="J195">
        <v>3.31</v>
      </c>
      <c r="K195">
        <v>2.64</v>
      </c>
      <c r="L195">
        <v>1.76</v>
      </c>
      <c r="M195" s="25">
        <v>9.5399999999999999E-2</v>
      </c>
      <c r="N195" s="25">
        <v>4.8599999999999997E-2</v>
      </c>
      <c r="O195">
        <v>2.64</v>
      </c>
      <c r="P195" s="25">
        <v>0.09</v>
      </c>
      <c r="Q195" s="25">
        <v>5.74E-2</v>
      </c>
      <c r="R195" s="26">
        <v>67518800</v>
      </c>
      <c r="S195" s="26">
        <v>19459900000</v>
      </c>
      <c r="T195">
        <v>0.75</v>
      </c>
      <c r="U195" s="25">
        <v>3.73E-2</v>
      </c>
    </row>
    <row r="196" spans="1:21" hidden="1" x14ac:dyDescent="0.25">
      <c r="A196" t="s">
        <v>250</v>
      </c>
      <c r="B196">
        <v>0.79</v>
      </c>
      <c r="C196">
        <v>-112.13</v>
      </c>
      <c r="D196">
        <v>-34.340000000000003</v>
      </c>
      <c r="E196">
        <v>47.427</v>
      </c>
      <c r="F196" s="25">
        <v>0</v>
      </c>
      <c r="G196">
        <v>40.497999999999998</v>
      </c>
      <c r="H196">
        <v>-49.36</v>
      </c>
      <c r="I196" s="26">
        <v>-1785.15</v>
      </c>
      <c r="J196">
        <v>-21.29</v>
      </c>
      <c r="K196" s="26">
        <v>-1822.83</v>
      </c>
      <c r="L196">
        <v>595.66</v>
      </c>
      <c r="M196" s="25">
        <v>-2.6599999999999999E-2</v>
      </c>
      <c r="N196" s="25">
        <v>-0.42299999999999999</v>
      </c>
      <c r="O196">
        <v>0.25</v>
      </c>
      <c r="P196" s="25">
        <v>-2.7799999999999998E-2</v>
      </c>
      <c r="Q196" s="25">
        <v>0.30630000000000002</v>
      </c>
      <c r="R196" s="26">
        <v>9486840</v>
      </c>
      <c r="S196" s="26">
        <v>-27683900000</v>
      </c>
      <c r="T196">
        <v>-0.79</v>
      </c>
      <c r="U196" s="25">
        <v>0.43</v>
      </c>
    </row>
    <row r="197" spans="1:21" hidden="1" x14ac:dyDescent="0.25">
      <c r="A197" t="s">
        <v>399</v>
      </c>
      <c r="B197">
        <v>22.9</v>
      </c>
      <c r="C197">
        <v>55.5</v>
      </c>
      <c r="D197">
        <v>2.31</v>
      </c>
      <c r="E197">
        <v>56.457999999999998</v>
      </c>
      <c r="F197" s="25">
        <v>0</v>
      </c>
      <c r="G197">
        <v>2.1150000000000002</v>
      </c>
      <c r="H197">
        <v>6.26</v>
      </c>
      <c r="I197">
        <v>-100.73</v>
      </c>
      <c r="J197">
        <v>7.97</v>
      </c>
      <c r="K197">
        <v>-87.92</v>
      </c>
      <c r="L197">
        <v>-97.9</v>
      </c>
      <c r="M197" s="25">
        <v>-0.5605</v>
      </c>
      <c r="N197" s="25">
        <v>1.0183</v>
      </c>
      <c r="O197">
        <v>29.82</v>
      </c>
      <c r="P197" s="25">
        <v>-2.93E-2</v>
      </c>
      <c r="Q197" s="25">
        <v>4.1599999999999998E-2</v>
      </c>
      <c r="R197" s="26">
        <v>54.52</v>
      </c>
      <c r="S197" s="26">
        <v>789920000</v>
      </c>
      <c r="T197">
        <v>0.02</v>
      </c>
      <c r="U197" s="25">
        <v>-0.54990000000000006</v>
      </c>
    </row>
    <row r="198" spans="1:21" hidden="1" x14ac:dyDescent="0.25">
      <c r="A198" t="s">
        <v>400</v>
      </c>
      <c r="B198">
        <v>4.16</v>
      </c>
      <c r="C198">
        <v>-1.51</v>
      </c>
      <c r="D198">
        <v>0.21</v>
      </c>
      <c r="E198">
        <v>-4.274</v>
      </c>
      <c r="F198" s="25">
        <v>0</v>
      </c>
      <c r="G198">
        <v>0.105</v>
      </c>
      <c r="H198">
        <v>1.1100000000000001</v>
      </c>
      <c r="I198">
        <v>-1.96</v>
      </c>
      <c r="J198">
        <v>-4</v>
      </c>
      <c r="K198">
        <v>0.31</v>
      </c>
      <c r="L198">
        <v>0.31</v>
      </c>
      <c r="M198" s="25">
        <v>2.1772999999999998</v>
      </c>
      <c r="N198" s="25">
        <v>5.7458999999999998</v>
      </c>
      <c r="O198">
        <v>2.74</v>
      </c>
      <c r="P198" s="25">
        <v>-6.2399999999999997E-2</v>
      </c>
      <c r="Q198" s="25">
        <v>-0.1384</v>
      </c>
      <c r="R198" s="26">
        <v>38509.4</v>
      </c>
      <c r="S198" s="26">
        <v>1347650000</v>
      </c>
      <c r="T198">
        <v>0.03</v>
      </c>
      <c r="U198" s="25">
        <v>-9.7500000000000003E-2</v>
      </c>
    </row>
    <row r="199" spans="1:21" hidden="1" x14ac:dyDescent="0.25">
      <c r="A199" t="s">
        <v>75</v>
      </c>
      <c r="B199">
        <v>5.15</v>
      </c>
      <c r="C199">
        <v>6.55</v>
      </c>
      <c r="D199">
        <v>1.18</v>
      </c>
      <c r="E199">
        <v>1.7509999999999999</v>
      </c>
      <c r="F199" s="25">
        <v>9.3799999999999994E-2</v>
      </c>
      <c r="G199">
        <v>0.99299999999999999</v>
      </c>
      <c r="H199">
        <v>1.85</v>
      </c>
      <c r="I199">
        <v>9.3800000000000008</v>
      </c>
      <c r="J199">
        <v>1.87</v>
      </c>
      <c r="K199">
        <v>6.52</v>
      </c>
      <c r="L199">
        <v>5.7</v>
      </c>
      <c r="M199" s="25">
        <v>0.1867</v>
      </c>
      <c r="N199" s="25">
        <v>0.26719999999999999</v>
      </c>
      <c r="O199">
        <v>4.47</v>
      </c>
      <c r="P199" s="25">
        <v>0.16539999999999999</v>
      </c>
      <c r="Q199" s="25">
        <v>0.1802</v>
      </c>
      <c r="R199" s="26">
        <v>13928500</v>
      </c>
      <c r="S199" s="26">
        <v>3934740000</v>
      </c>
      <c r="T199">
        <v>0.05</v>
      </c>
      <c r="U199" s="25">
        <v>5.8200000000000002E-2</v>
      </c>
    </row>
    <row r="200" spans="1:21" hidden="1" x14ac:dyDescent="0.25">
      <c r="A200" t="s">
        <v>401</v>
      </c>
      <c r="B200">
        <v>4.3</v>
      </c>
      <c r="C200">
        <v>-0.01</v>
      </c>
      <c r="D200">
        <v>-0.01</v>
      </c>
      <c r="E200">
        <v>4.4999999999999998E-2</v>
      </c>
      <c r="F200" s="25">
        <v>0</v>
      </c>
      <c r="G200">
        <v>7.0000000000000001E-3</v>
      </c>
      <c r="H200">
        <v>-0.51</v>
      </c>
      <c r="I200">
        <v>0.15</v>
      </c>
      <c r="J200">
        <v>0</v>
      </c>
      <c r="K200">
        <v>39.6</v>
      </c>
      <c r="L200">
        <v>38.049999999999997</v>
      </c>
      <c r="M200" s="25">
        <v>0.2949</v>
      </c>
      <c r="N200" s="25">
        <v>-3.1928000000000001</v>
      </c>
      <c r="O200">
        <v>0.92</v>
      </c>
      <c r="P200" s="25">
        <v>5.0999999999999997E-2</v>
      </c>
      <c r="Q200" s="25">
        <v>0.4163</v>
      </c>
      <c r="R200" s="26">
        <v>4730.05</v>
      </c>
      <c r="S200" s="26">
        <v>-1409770000</v>
      </c>
      <c r="T200">
        <v>-1.6</v>
      </c>
      <c r="U200" s="25">
        <v>0.1696</v>
      </c>
    </row>
    <row r="201" spans="1:21" hidden="1" x14ac:dyDescent="0.25">
      <c r="A201" t="s">
        <v>216</v>
      </c>
      <c r="B201">
        <v>8.0299999999999994</v>
      </c>
      <c r="C201">
        <v>12.32</v>
      </c>
      <c r="D201">
        <v>0.74</v>
      </c>
      <c r="E201">
        <v>0.40699999999999997</v>
      </c>
      <c r="F201" s="25">
        <v>0</v>
      </c>
      <c r="G201">
        <v>0.30299999999999999</v>
      </c>
      <c r="H201">
        <v>1.48</v>
      </c>
      <c r="I201">
        <v>4.7</v>
      </c>
      <c r="J201">
        <v>10.65</v>
      </c>
      <c r="K201">
        <v>5.71</v>
      </c>
      <c r="L201">
        <v>3.15</v>
      </c>
      <c r="M201" s="25">
        <v>8.6699999999999999E-2</v>
      </c>
      <c r="N201" s="25">
        <v>3.3099999999999997E-2</v>
      </c>
      <c r="O201">
        <v>1.49</v>
      </c>
      <c r="P201" s="25">
        <v>7.8799999999999995E-2</v>
      </c>
      <c r="Q201" s="25">
        <v>6.0499999999999998E-2</v>
      </c>
      <c r="R201" s="26">
        <v>6396790</v>
      </c>
      <c r="S201" s="26">
        <v>5382710000</v>
      </c>
      <c r="T201">
        <v>0.37</v>
      </c>
      <c r="U201" s="25">
        <v>0.126</v>
      </c>
    </row>
    <row r="202" spans="1:21" hidden="1" x14ac:dyDescent="0.25">
      <c r="A202" t="s">
        <v>60</v>
      </c>
      <c r="B202">
        <v>1.93</v>
      </c>
      <c r="C202">
        <v>11.59</v>
      </c>
      <c r="D202">
        <v>-0.45</v>
      </c>
      <c r="E202">
        <v>0.75700000000000001</v>
      </c>
      <c r="F202" s="25">
        <v>0</v>
      </c>
      <c r="G202">
        <v>0.34200000000000003</v>
      </c>
      <c r="H202">
        <v>0.65</v>
      </c>
      <c r="I202">
        <v>-14.67</v>
      </c>
      <c r="J202">
        <v>-0.4</v>
      </c>
      <c r="K202">
        <v>3.21</v>
      </c>
      <c r="L202">
        <v>9.18</v>
      </c>
      <c r="M202" s="25">
        <v>-5.16E-2</v>
      </c>
      <c r="N202" s="25">
        <v>6.5299999999999997E-2</v>
      </c>
      <c r="O202">
        <v>2.4300000000000002</v>
      </c>
      <c r="P202" s="25">
        <v>-9.11E-2</v>
      </c>
      <c r="Q202" s="25">
        <v>-3.9E-2</v>
      </c>
      <c r="R202" s="26">
        <v>1703.05</v>
      </c>
      <c r="S202" s="26">
        <v>-50773000</v>
      </c>
      <c r="T202">
        <v>-0.41</v>
      </c>
      <c r="U202" s="25">
        <v>-6.59E-2</v>
      </c>
    </row>
    <row r="203" spans="1:21" hidden="1" x14ac:dyDescent="0.25">
      <c r="A203" t="s">
        <v>29</v>
      </c>
      <c r="B203">
        <v>1.1599999999999999</v>
      </c>
      <c r="C203">
        <v>6.97</v>
      </c>
      <c r="D203">
        <v>-0.27</v>
      </c>
      <c r="E203">
        <v>0.45500000000000002</v>
      </c>
      <c r="F203" s="25">
        <v>0</v>
      </c>
      <c r="G203">
        <v>0.20599999999999999</v>
      </c>
      <c r="H203">
        <v>0.39</v>
      </c>
      <c r="I203">
        <v>-8.82</v>
      </c>
      <c r="J203">
        <v>-0.24</v>
      </c>
      <c r="K203">
        <v>9.06</v>
      </c>
      <c r="L203">
        <v>25.94</v>
      </c>
      <c r="M203" s="25">
        <v>-5.16E-2</v>
      </c>
      <c r="N203" s="25">
        <v>6.5299999999999997E-2</v>
      </c>
      <c r="O203">
        <v>2.4300000000000002</v>
      </c>
      <c r="P203" s="25">
        <v>-9.11E-2</v>
      </c>
      <c r="Q203" s="25">
        <v>-3.9E-2</v>
      </c>
      <c r="R203" s="26">
        <v>9753.43</v>
      </c>
      <c r="S203" s="26">
        <v>-50773000</v>
      </c>
      <c r="T203">
        <v>-0.41</v>
      </c>
      <c r="U203" s="25">
        <v>-6.59E-2</v>
      </c>
    </row>
    <row r="204" spans="1:21" hidden="1" x14ac:dyDescent="0.25">
      <c r="A204" t="s">
        <v>241</v>
      </c>
      <c r="B204">
        <v>31.82</v>
      </c>
      <c r="C204">
        <v>-30.27</v>
      </c>
      <c r="D204">
        <v>0.33</v>
      </c>
      <c r="E204">
        <v>0.55000000000000004</v>
      </c>
      <c r="F204" s="25">
        <v>0</v>
      </c>
      <c r="G204">
        <v>0.215</v>
      </c>
      <c r="H204">
        <v>2.5099999999999998</v>
      </c>
      <c r="I204">
        <v>18.68</v>
      </c>
      <c r="J204">
        <v>-1.21</v>
      </c>
      <c r="K204">
        <v>22.97</v>
      </c>
      <c r="L204">
        <v>11.18</v>
      </c>
      <c r="M204" s="25">
        <v>2.9499999999999998E-2</v>
      </c>
      <c r="N204" s="25">
        <v>-1.8200000000000001E-2</v>
      </c>
      <c r="O204">
        <v>2.1</v>
      </c>
      <c r="P204" s="25">
        <v>1.3299999999999999E-2</v>
      </c>
      <c r="Q204" s="25">
        <v>-1.0800000000000001E-2</v>
      </c>
      <c r="R204" s="26">
        <v>187544000</v>
      </c>
      <c r="S204" s="26">
        <v>48864200000</v>
      </c>
      <c r="T204">
        <v>0.27</v>
      </c>
      <c r="U204" s="25">
        <v>0.3775</v>
      </c>
    </row>
    <row r="205" spans="1:21" hidden="1" x14ac:dyDescent="0.25">
      <c r="A205" t="s">
        <v>210</v>
      </c>
      <c r="B205">
        <v>2.4900000000000002</v>
      </c>
      <c r="C205">
        <v>5.84</v>
      </c>
      <c r="D205">
        <v>0.23</v>
      </c>
      <c r="E205">
        <v>0.26200000000000001</v>
      </c>
      <c r="F205" s="25">
        <v>4.0599999999999997E-2</v>
      </c>
      <c r="G205">
        <v>5.1999999999999998E-2</v>
      </c>
      <c r="H205">
        <v>0.36</v>
      </c>
      <c r="I205">
        <v>1.58</v>
      </c>
      <c r="J205">
        <v>-0.28999999999999998</v>
      </c>
      <c r="K205">
        <v>8.66</v>
      </c>
      <c r="L205">
        <v>7.57</v>
      </c>
      <c r="M205" s="25">
        <v>0.16569999999999999</v>
      </c>
      <c r="N205" s="25">
        <v>0.12989999999999999</v>
      </c>
      <c r="O205">
        <v>1.61</v>
      </c>
      <c r="P205" s="25">
        <v>3.4700000000000002E-2</v>
      </c>
      <c r="Q205" s="25">
        <v>3.9100000000000003E-2</v>
      </c>
      <c r="R205" s="26">
        <v>4057310</v>
      </c>
      <c r="S205" s="26">
        <v>1459720000</v>
      </c>
      <c r="T205">
        <v>1.18</v>
      </c>
      <c r="U205" s="25">
        <v>9.6799999999999997E-2</v>
      </c>
    </row>
    <row r="206" spans="1:21" hidden="1" x14ac:dyDescent="0.25">
      <c r="A206" t="s">
        <v>223</v>
      </c>
      <c r="B206">
        <v>3.05</v>
      </c>
      <c r="C206">
        <v>8.8699999999999992</v>
      </c>
      <c r="D206">
        <v>0.15</v>
      </c>
      <c r="E206">
        <v>1.8420000000000001</v>
      </c>
      <c r="F206" s="25">
        <v>0</v>
      </c>
      <c r="G206">
        <v>6.0999999999999999E-2</v>
      </c>
      <c r="H206">
        <v>1.72</v>
      </c>
      <c r="I206">
        <v>1.1000000000000001</v>
      </c>
      <c r="J206">
        <v>-0.19</v>
      </c>
      <c r="K206">
        <v>6.09</v>
      </c>
      <c r="L206">
        <v>5.98</v>
      </c>
      <c r="M206" s="25">
        <v>1.6667000000000001</v>
      </c>
      <c r="N206" s="25">
        <v>0.70950000000000002</v>
      </c>
      <c r="O206">
        <v>1.57</v>
      </c>
      <c r="P206" s="25">
        <v>5.74E-2</v>
      </c>
      <c r="Q206" s="25">
        <v>1.7399999999999999E-2</v>
      </c>
      <c r="R206" s="26">
        <v>1195830</v>
      </c>
      <c r="S206" s="26">
        <v>2040590000</v>
      </c>
      <c r="T206">
        <v>0.77</v>
      </c>
      <c r="U206" s="25">
        <v>0.2213</v>
      </c>
    </row>
    <row r="207" spans="1:21" hidden="1" x14ac:dyDescent="0.25">
      <c r="A207" t="s">
        <v>100</v>
      </c>
      <c r="B207">
        <v>3.77</v>
      </c>
      <c r="C207">
        <v>-9.7200000000000006</v>
      </c>
      <c r="D207">
        <v>5.4</v>
      </c>
      <c r="E207">
        <v>3.5790000000000002</v>
      </c>
      <c r="F207" s="25">
        <v>0</v>
      </c>
      <c r="G207">
        <v>0.81899999999999995</v>
      </c>
      <c r="H207">
        <v>7.99</v>
      </c>
      <c r="I207">
        <v>-26.45</v>
      </c>
      <c r="J207">
        <v>-1.38</v>
      </c>
      <c r="K207">
        <v>-44.26</v>
      </c>
      <c r="L207">
        <v>37.81</v>
      </c>
      <c r="M207" s="25">
        <v>-0.1353</v>
      </c>
      <c r="N207" s="25">
        <v>-0.36820000000000003</v>
      </c>
      <c r="O207">
        <v>1.67</v>
      </c>
      <c r="P207" s="25">
        <v>-3.3599999999999998E-2</v>
      </c>
      <c r="Q207" s="25">
        <v>-0.55549999999999999</v>
      </c>
      <c r="R207" s="26">
        <v>10497300</v>
      </c>
      <c r="S207" s="26">
        <v>949871000</v>
      </c>
      <c r="T207">
        <v>4.05</v>
      </c>
      <c r="U207" s="25">
        <v>2.8000000000000001E-2</v>
      </c>
    </row>
    <row r="208" spans="1:21" hidden="1" x14ac:dyDescent="0.25">
      <c r="A208" t="s">
        <v>402</v>
      </c>
      <c r="B208">
        <v>28.06</v>
      </c>
      <c r="C208">
        <v>12.47</v>
      </c>
      <c r="D208">
        <v>0.4</v>
      </c>
      <c r="E208">
        <v>3.6989999999999998</v>
      </c>
      <c r="F208" s="25">
        <v>0.2102</v>
      </c>
      <c r="G208">
        <v>0.159</v>
      </c>
      <c r="H208">
        <v>4.8600000000000003</v>
      </c>
      <c r="I208">
        <v>-4.32</v>
      </c>
      <c r="J208">
        <v>-0.33</v>
      </c>
      <c r="K208">
        <v>-8.2100000000000009</v>
      </c>
      <c r="L208">
        <v>-8.4600000000000009</v>
      </c>
      <c r="M208" s="25">
        <v>-0.85560000000000003</v>
      </c>
      <c r="N208" s="25">
        <v>0.29649999999999999</v>
      </c>
      <c r="O208">
        <v>1.37</v>
      </c>
      <c r="P208" s="25">
        <v>-3.7999999999999999E-2</v>
      </c>
      <c r="Q208" s="25">
        <v>3.1699999999999999E-2</v>
      </c>
      <c r="R208" s="26">
        <v>4124.4799999999996</v>
      </c>
      <c r="S208" s="26">
        <v>647667000</v>
      </c>
      <c r="T208">
        <v>0.43</v>
      </c>
      <c r="U208" s="25">
        <v>-8.4599999999999995E-2</v>
      </c>
    </row>
    <row r="209" spans="1:21" hidden="1" x14ac:dyDescent="0.25">
      <c r="A209" t="s">
        <v>403</v>
      </c>
      <c r="B209">
        <v>5.5</v>
      </c>
      <c r="C209">
        <v>3.18</v>
      </c>
      <c r="D209">
        <v>-0.01</v>
      </c>
      <c r="E209">
        <v>0.66900000000000004</v>
      </c>
      <c r="F209" s="25">
        <v>0</v>
      </c>
      <c r="G209">
        <v>0.22700000000000001</v>
      </c>
      <c r="H209">
        <v>-0.8</v>
      </c>
      <c r="I209">
        <v>0.72</v>
      </c>
      <c r="J209">
        <v>-0.01</v>
      </c>
      <c r="K209">
        <v>83.92</v>
      </c>
      <c r="L209">
        <v>83.92</v>
      </c>
      <c r="M209" s="25">
        <v>0.93100000000000005</v>
      </c>
      <c r="N209" s="25">
        <v>0.21049999999999999</v>
      </c>
      <c r="O209">
        <v>0.32</v>
      </c>
      <c r="P209" s="25">
        <v>0.31859999999999999</v>
      </c>
      <c r="Q209" s="25">
        <v>-2.5000000000000001E-3</v>
      </c>
      <c r="R209" s="26">
        <v>78.67</v>
      </c>
      <c r="S209" s="26">
        <v>-350747000</v>
      </c>
      <c r="T209">
        <v>-0.93</v>
      </c>
      <c r="U209" s="25">
        <v>0.25180000000000002</v>
      </c>
    </row>
    <row r="210" spans="1:21" hidden="1" x14ac:dyDescent="0.25">
      <c r="A210" t="s">
        <v>404</v>
      </c>
      <c r="B210">
        <v>3.9</v>
      </c>
      <c r="C210">
        <v>0.88</v>
      </c>
      <c r="D210">
        <v>-1.5</v>
      </c>
      <c r="E210">
        <v>0.40200000000000002</v>
      </c>
      <c r="F210" s="25">
        <v>0</v>
      </c>
      <c r="G210">
        <v>0.13700000000000001</v>
      </c>
      <c r="H210">
        <v>-1.24</v>
      </c>
      <c r="I210">
        <v>1.1399999999999999</v>
      </c>
      <c r="J210">
        <v>-0.14000000000000001</v>
      </c>
      <c r="K210">
        <v>0.63</v>
      </c>
      <c r="L210">
        <v>0.54</v>
      </c>
      <c r="M210" s="25">
        <v>0.35339999999999999</v>
      </c>
      <c r="N210" s="25">
        <v>0.45440000000000003</v>
      </c>
      <c r="O210">
        <v>0.64</v>
      </c>
      <c r="P210" s="25">
        <v>0.13039999999999999</v>
      </c>
      <c r="Q210" s="25">
        <v>-1.6920999999999999</v>
      </c>
      <c r="R210" s="26">
        <v>29425.9</v>
      </c>
      <c r="S210" s="26">
        <v>-47880000</v>
      </c>
      <c r="T210">
        <v>-0.02</v>
      </c>
      <c r="U210" s="25">
        <v>0.67969999999999997</v>
      </c>
    </row>
    <row r="211" spans="1:21" hidden="1" x14ac:dyDescent="0.25">
      <c r="A211" t="s">
        <v>229</v>
      </c>
      <c r="B211">
        <v>26.48</v>
      </c>
      <c r="C211">
        <v>20.74</v>
      </c>
      <c r="D211">
        <v>1.43</v>
      </c>
      <c r="E211">
        <v>2.5049999999999999</v>
      </c>
      <c r="F211" s="25">
        <v>4.41E-2</v>
      </c>
      <c r="G211">
        <v>0.68899999999999995</v>
      </c>
      <c r="H211">
        <v>13.7</v>
      </c>
      <c r="I211">
        <v>17.559999999999999</v>
      </c>
      <c r="J211">
        <v>-2.5</v>
      </c>
      <c r="K211">
        <v>25.47</v>
      </c>
      <c r="L211">
        <v>19.54</v>
      </c>
      <c r="M211" s="25">
        <v>0.1426</v>
      </c>
      <c r="N211" s="25">
        <v>0.1196</v>
      </c>
      <c r="O211">
        <v>1.26</v>
      </c>
      <c r="P211" s="25">
        <v>4.2999999999999997E-2</v>
      </c>
      <c r="Q211" s="25">
        <v>6.8900000000000003E-2</v>
      </c>
      <c r="R211" s="26">
        <v>82931500</v>
      </c>
      <c r="S211" s="26">
        <v>11738300000</v>
      </c>
      <c r="T211">
        <v>0.79</v>
      </c>
      <c r="U211" s="25">
        <v>0.113</v>
      </c>
    </row>
    <row r="212" spans="1:21" hidden="1" x14ac:dyDescent="0.25">
      <c r="A212" t="s">
        <v>240</v>
      </c>
      <c r="B212">
        <v>0.04</v>
      </c>
      <c r="C212">
        <v>-0.04</v>
      </c>
      <c r="D212">
        <v>-0.49</v>
      </c>
      <c r="E212">
        <v>7.0000000000000007E-2</v>
      </c>
      <c r="F212" s="25">
        <v>0</v>
      </c>
      <c r="G212">
        <v>4.9000000000000002E-2</v>
      </c>
      <c r="H212">
        <v>-0.27</v>
      </c>
      <c r="I212">
        <v>-0.05</v>
      </c>
      <c r="J212">
        <v>-0.08</v>
      </c>
      <c r="K212">
        <v>-0.53</v>
      </c>
      <c r="L212">
        <v>-0.56999999999999995</v>
      </c>
      <c r="M212" s="25">
        <v>-1.4795</v>
      </c>
      <c r="N212" s="25">
        <v>-1.6592</v>
      </c>
      <c r="O212">
        <v>0.73</v>
      </c>
      <c r="P212" s="25">
        <v>-1.4582999999999999</v>
      </c>
      <c r="Q212" s="25">
        <v>11.5709</v>
      </c>
      <c r="R212" s="26">
        <v>671641</v>
      </c>
      <c r="S212" s="26">
        <v>-147834000</v>
      </c>
      <c r="T212">
        <v>-5.62</v>
      </c>
      <c r="U212" s="25">
        <v>0.23169999999999999</v>
      </c>
    </row>
    <row r="213" spans="1:21" hidden="1" x14ac:dyDescent="0.25">
      <c r="A213" t="s">
        <v>405</v>
      </c>
      <c r="B213">
        <v>175.99</v>
      </c>
      <c r="C213">
        <v>0.56000000000000005</v>
      </c>
      <c r="D213">
        <v>-0.34</v>
      </c>
      <c r="E213">
        <v>30.247</v>
      </c>
      <c r="F213" s="25">
        <v>0</v>
      </c>
      <c r="G213">
        <v>1.0349999999999999</v>
      </c>
      <c r="H213">
        <v>-0.99</v>
      </c>
      <c r="I213">
        <v>-3.7</v>
      </c>
      <c r="J213">
        <v>-0.28999999999999998</v>
      </c>
      <c r="K213">
        <v>-7.85</v>
      </c>
      <c r="L213">
        <v>-8.2100000000000009</v>
      </c>
      <c r="M213" s="25">
        <v>-8.1712000000000007</v>
      </c>
      <c r="N213" s="25">
        <v>53.793199999999999</v>
      </c>
      <c r="O213">
        <v>0.33</v>
      </c>
      <c r="P213" s="25">
        <v>-0.57989999999999997</v>
      </c>
      <c r="Q213" s="25">
        <v>-0.60099999999999998</v>
      </c>
      <c r="R213" s="26">
        <v>10393.299999999999</v>
      </c>
      <c r="S213" s="26">
        <v>-650957000</v>
      </c>
      <c r="T213">
        <v>-0.54</v>
      </c>
      <c r="U213" s="25">
        <v>0.13969999999999999</v>
      </c>
    </row>
    <row r="214" spans="1:21" hidden="1" x14ac:dyDescent="0.25">
      <c r="A214" t="s">
        <v>406</v>
      </c>
      <c r="B214">
        <v>21.34</v>
      </c>
      <c r="C214">
        <v>14.86</v>
      </c>
      <c r="D214">
        <v>1.44</v>
      </c>
      <c r="E214">
        <v>4.992</v>
      </c>
      <c r="F214" s="25">
        <v>1.84E-2</v>
      </c>
      <c r="G214">
        <v>0.70699999999999996</v>
      </c>
      <c r="H214">
        <v>2.96</v>
      </c>
      <c r="I214">
        <v>8.9600000000000009</v>
      </c>
      <c r="J214">
        <v>-3.42</v>
      </c>
      <c r="K214">
        <v>11.56</v>
      </c>
      <c r="L214">
        <v>9.2899999999999991</v>
      </c>
      <c r="M214" s="25">
        <v>0.55730000000000002</v>
      </c>
      <c r="N214" s="25">
        <v>0.33600000000000002</v>
      </c>
      <c r="O214">
        <v>4.9000000000000004</v>
      </c>
      <c r="P214" s="25">
        <v>0.1065</v>
      </c>
      <c r="Q214" s="25">
        <v>9.6600000000000005E-2</v>
      </c>
      <c r="R214" s="26">
        <v>60146800</v>
      </c>
      <c r="S214" s="26">
        <v>4409240000</v>
      </c>
      <c r="T214">
        <v>0.94</v>
      </c>
      <c r="U214" s="25">
        <v>0.15790000000000001</v>
      </c>
    </row>
    <row r="215" spans="1:21" hidden="1" x14ac:dyDescent="0.25">
      <c r="A215" t="s">
        <v>108</v>
      </c>
      <c r="B215">
        <v>2.46</v>
      </c>
      <c r="C215">
        <v>11.99</v>
      </c>
      <c r="D215">
        <v>1.1599999999999999</v>
      </c>
      <c r="E215">
        <v>4.0279999999999996</v>
      </c>
      <c r="F215" s="25">
        <v>2.2800000000000001E-2</v>
      </c>
      <c r="G215">
        <v>0.57099999999999995</v>
      </c>
      <c r="H215">
        <v>2.39</v>
      </c>
      <c r="I215">
        <v>7.23</v>
      </c>
      <c r="J215">
        <v>-2.76</v>
      </c>
      <c r="K215">
        <v>9.83</v>
      </c>
      <c r="L215">
        <v>7.9</v>
      </c>
      <c r="M215" s="25">
        <v>0.55730000000000002</v>
      </c>
      <c r="N215" s="25">
        <v>0.33600000000000002</v>
      </c>
      <c r="O215">
        <v>4.9000000000000004</v>
      </c>
      <c r="P215" s="25">
        <v>0.1065</v>
      </c>
      <c r="Q215" s="25">
        <v>9.6600000000000005E-2</v>
      </c>
      <c r="R215" s="26">
        <v>170617</v>
      </c>
      <c r="S215" s="26">
        <v>4409240000</v>
      </c>
      <c r="T215">
        <v>0.94</v>
      </c>
      <c r="U215" s="25">
        <v>0.15790000000000001</v>
      </c>
    </row>
    <row r="216" spans="1:21" hidden="1" x14ac:dyDescent="0.25">
      <c r="A216" t="s">
        <v>407</v>
      </c>
      <c r="B216">
        <v>1.87</v>
      </c>
      <c r="C216">
        <v>-0.36</v>
      </c>
      <c r="D216">
        <v>-0.06</v>
      </c>
      <c r="E216">
        <v>18.949000000000002</v>
      </c>
      <c r="F216" s="25">
        <v>0</v>
      </c>
      <c r="G216">
        <v>8.8999999999999996E-2</v>
      </c>
      <c r="H216">
        <v>-7.0000000000000007E-2</v>
      </c>
      <c r="I216">
        <v>-1.1499999999999999</v>
      </c>
      <c r="J216">
        <v>-0.04</v>
      </c>
      <c r="K216">
        <v>-13.94</v>
      </c>
      <c r="L216">
        <v>-15.33</v>
      </c>
      <c r="M216" s="25">
        <v>-16.470199999999998</v>
      </c>
      <c r="N216" s="25">
        <v>-53.787599999999998</v>
      </c>
      <c r="O216">
        <v>0.08</v>
      </c>
      <c r="P216" s="25">
        <v>-8.3099999999999993E-2</v>
      </c>
      <c r="Q216" s="25">
        <v>0.16059999999999999</v>
      </c>
      <c r="R216" s="26">
        <v>47751.5</v>
      </c>
      <c r="S216" s="26">
        <v>-1448530000</v>
      </c>
      <c r="T216">
        <v>-0.64</v>
      </c>
      <c r="U216" s="25">
        <v>-0.21640000000000001</v>
      </c>
    </row>
    <row r="217" spans="1:21" hidden="1" x14ac:dyDescent="0.25">
      <c r="A217" t="s">
        <v>244</v>
      </c>
      <c r="B217">
        <v>1.5</v>
      </c>
      <c r="C217">
        <v>-0.28999999999999998</v>
      </c>
      <c r="D217">
        <v>-0.05</v>
      </c>
      <c r="E217">
        <v>15.2</v>
      </c>
      <c r="F217" s="25">
        <v>0</v>
      </c>
      <c r="G217">
        <v>7.1999999999999995E-2</v>
      </c>
      <c r="H217">
        <v>-0.06</v>
      </c>
      <c r="I217">
        <v>-0.92</v>
      </c>
      <c r="J217">
        <v>-0.03</v>
      </c>
      <c r="K217">
        <v>-13.71</v>
      </c>
      <c r="L217">
        <v>-15.08</v>
      </c>
      <c r="M217" s="25">
        <v>-16.470199999999998</v>
      </c>
      <c r="N217" s="25">
        <v>-53.787599999999998</v>
      </c>
      <c r="O217">
        <v>0.08</v>
      </c>
      <c r="P217" s="25">
        <v>-8.3099999999999993E-2</v>
      </c>
      <c r="Q217" s="25">
        <v>0.16059999999999999</v>
      </c>
      <c r="R217" s="26">
        <v>49477.8</v>
      </c>
      <c r="S217" s="26">
        <v>-1448530000</v>
      </c>
      <c r="T217">
        <v>-0.64</v>
      </c>
      <c r="U217" s="25">
        <v>-0.21640000000000001</v>
      </c>
    </row>
    <row r="218" spans="1:21" hidden="1" x14ac:dyDescent="0.25">
      <c r="A218" t="s">
        <v>136</v>
      </c>
      <c r="B218">
        <v>14.96</v>
      </c>
      <c r="C218">
        <v>11.23</v>
      </c>
      <c r="D218">
        <v>1.67</v>
      </c>
      <c r="E218">
        <v>1.0569999999999999</v>
      </c>
      <c r="F218" s="25">
        <v>3.0800000000000001E-2</v>
      </c>
      <c r="G218">
        <v>0.95799999999999996</v>
      </c>
      <c r="H218">
        <v>2.12</v>
      </c>
      <c r="I218">
        <v>10.029999999999999</v>
      </c>
      <c r="J218">
        <v>3.32</v>
      </c>
      <c r="K218">
        <v>10.7</v>
      </c>
      <c r="L218">
        <v>8.82</v>
      </c>
      <c r="M218" s="25">
        <v>0.10539999999999999</v>
      </c>
      <c r="N218" s="25">
        <v>9.4E-2</v>
      </c>
      <c r="O218">
        <v>2.77</v>
      </c>
      <c r="P218" s="25">
        <v>0.1321</v>
      </c>
      <c r="Q218" s="25">
        <v>0.1484</v>
      </c>
      <c r="R218" s="26">
        <v>34208400</v>
      </c>
      <c r="S218" s="26">
        <v>2941250000</v>
      </c>
      <c r="T218">
        <v>0.33</v>
      </c>
      <c r="U218" s="25">
        <v>0.1691</v>
      </c>
    </row>
    <row r="219" spans="1:21" hidden="1" x14ac:dyDescent="0.25">
      <c r="A219" t="s">
        <v>73</v>
      </c>
      <c r="B219">
        <v>44.66</v>
      </c>
      <c r="C219">
        <v>-35.58</v>
      </c>
      <c r="D219">
        <v>0.72</v>
      </c>
      <c r="E219">
        <v>0.61</v>
      </c>
      <c r="F219" s="25">
        <v>0</v>
      </c>
      <c r="G219">
        <v>0.22800000000000001</v>
      </c>
      <c r="H219">
        <v>0</v>
      </c>
      <c r="I219">
        <v>4.72</v>
      </c>
      <c r="J219">
        <v>0</v>
      </c>
      <c r="K219">
        <v>0</v>
      </c>
      <c r="L219">
        <v>0</v>
      </c>
      <c r="M219" s="25">
        <v>0.129</v>
      </c>
      <c r="N219" s="25">
        <v>-1.7100000000000001E-2</v>
      </c>
      <c r="O219">
        <v>0</v>
      </c>
      <c r="P219" s="25">
        <v>0</v>
      </c>
      <c r="Q219" s="25">
        <v>-2.0199999999999999E-2</v>
      </c>
      <c r="R219" s="26">
        <v>37080600</v>
      </c>
      <c r="S219" s="26">
        <v>5087450000</v>
      </c>
      <c r="T219">
        <v>0</v>
      </c>
      <c r="U219" s="25">
        <v>0</v>
      </c>
    </row>
    <row r="220" spans="1:21" hidden="1" x14ac:dyDescent="0.25">
      <c r="A220" t="s">
        <v>408</v>
      </c>
      <c r="B220">
        <v>30.9</v>
      </c>
      <c r="C220">
        <v>5.71</v>
      </c>
      <c r="D220">
        <v>1</v>
      </c>
      <c r="E220">
        <v>2.4239999999999999</v>
      </c>
      <c r="F220" s="25">
        <v>7.6399999999999996E-2</v>
      </c>
      <c r="G220">
        <v>0.45600000000000002</v>
      </c>
      <c r="H220">
        <v>3.44</v>
      </c>
      <c r="I220">
        <v>4.34</v>
      </c>
      <c r="J220">
        <v>-1.29</v>
      </c>
      <c r="K220">
        <v>6.83</v>
      </c>
      <c r="L220">
        <v>6.78</v>
      </c>
      <c r="M220" s="25">
        <v>0.55840000000000001</v>
      </c>
      <c r="N220" s="25">
        <v>0.43109999999999998</v>
      </c>
      <c r="O220">
        <v>3.77</v>
      </c>
      <c r="P220" s="25">
        <v>0.114</v>
      </c>
      <c r="Q220" s="25">
        <v>0.17480000000000001</v>
      </c>
      <c r="R220" s="26">
        <v>77678.5</v>
      </c>
      <c r="S220" s="26">
        <v>20414900000</v>
      </c>
      <c r="T220">
        <v>0.73</v>
      </c>
      <c r="U220" s="25">
        <v>0.17660000000000001</v>
      </c>
    </row>
    <row r="221" spans="1:21" hidden="1" x14ac:dyDescent="0.25">
      <c r="A221" t="s">
        <v>5</v>
      </c>
      <c r="B221">
        <v>22.44</v>
      </c>
      <c r="C221">
        <v>4.1399999999999997</v>
      </c>
      <c r="D221">
        <v>0.72</v>
      </c>
      <c r="E221">
        <v>1.76</v>
      </c>
      <c r="F221" s="25">
        <v>0.1052</v>
      </c>
      <c r="G221">
        <v>0.33100000000000002</v>
      </c>
      <c r="H221">
        <v>2.5</v>
      </c>
      <c r="I221">
        <v>3.15</v>
      </c>
      <c r="J221">
        <v>-0.94</v>
      </c>
      <c r="K221">
        <v>5.64</v>
      </c>
      <c r="L221">
        <v>5.6</v>
      </c>
      <c r="M221" s="25">
        <v>0.55840000000000001</v>
      </c>
      <c r="N221" s="25">
        <v>0.43109999999999998</v>
      </c>
      <c r="O221">
        <v>3.77</v>
      </c>
      <c r="P221" s="25">
        <v>0.114</v>
      </c>
      <c r="Q221" s="25">
        <v>0.17480000000000001</v>
      </c>
      <c r="R221" s="26">
        <v>34640800</v>
      </c>
      <c r="S221" s="26">
        <v>20414900000</v>
      </c>
      <c r="T221">
        <v>0.73</v>
      </c>
      <c r="U221" s="25">
        <v>0.17660000000000001</v>
      </c>
    </row>
    <row r="222" spans="1:21" hidden="1" x14ac:dyDescent="0.25">
      <c r="A222" t="s">
        <v>40</v>
      </c>
      <c r="B222">
        <v>10.53</v>
      </c>
      <c r="C222">
        <v>7.61</v>
      </c>
      <c r="D222">
        <v>1.35</v>
      </c>
      <c r="E222">
        <v>14.114000000000001</v>
      </c>
      <c r="F222" s="25">
        <v>8.0299999999999996E-2</v>
      </c>
      <c r="G222">
        <v>1.046</v>
      </c>
      <c r="H222">
        <v>19.25</v>
      </c>
      <c r="I222">
        <v>203.45</v>
      </c>
      <c r="J222">
        <v>-14.47</v>
      </c>
      <c r="K222">
        <v>210.18</v>
      </c>
      <c r="L222">
        <v>66.959999999999994</v>
      </c>
      <c r="M222" s="25">
        <v>6.9400000000000003E-2</v>
      </c>
      <c r="N222" s="25">
        <v>1.8759999999999999</v>
      </c>
      <c r="O222">
        <v>1.97</v>
      </c>
      <c r="P222" s="25">
        <v>5.5999999999999999E-3</v>
      </c>
      <c r="Q222" s="25">
        <v>0.17710000000000001</v>
      </c>
      <c r="R222" s="26">
        <v>1087820</v>
      </c>
      <c r="S222" s="26">
        <v>85938000000</v>
      </c>
      <c r="T222">
        <v>0.13</v>
      </c>
      <c r="U222" s="25">
        <v>3.61E-2</v>
      </c>
    </row>
    <row r="223" spans="1:21" hidden="1" x14ac:dyDescent="0.25">
      <c r="A223" t="s">
        <v>49</v>
      </c>
      <c r="B223">
        <v>10.54</v>
      </c>
      <c r="C223">
        <v>7.61</v>
      </c>
      <c r="D223">
        <v>1.35</v>
      </c>
      <c r="E223">
        <v>14.128</v>
      </c>
      <c r="F223" s="25">
        <v>8.0199999999999994E-2</v>
      </c>
      <c r="G223">
        <v>1.0469999999999999</v>
      </c>
      <c r="H223">
        <v>19.27</v>
      </c>
      <c r="I223">
        <v>203.65</v>
      </c>
      <c r="J223">
        <v>-14.48</v>
      </c>
      <c r="K223">
        <v>210.37</v>
      </c>
      <c r="L223">
        <v>67.02</v>
      </c>
      <c r="M223" s="25">
        <v>6.9400000000000003E-2</v>
      </c>
      <c r="N223" s="25">
        <v>1.8759999999999999</v>
      </c>
      <c r="O223">
        <v>1.97</v>
      </c>
      <c r="P223" s="25">
        <v>5.5999999999999999E-3</v>
      </c>
      <c r="Q223" s="25">
        <v>0.17710000000000001</v>
      </c>
      <c r="R223" s="26">
        <v>261915000</v>
      </c>
      <c r="S223" s="26">
        <v>85938000000</v>
      </c>
      <c r="T223">
        <v>0.13</v>
      </c>
      <c r="U223" s="25">
        <v>3.61E-2</v>
      </c>
    </row>
    <row r="224" spans="1:21" hidden="1" x14ac:dyDescent="0.25">
      <c r="A224" t="s">
        <v>62</v>
      </c>
      <c r="B224">
        <v>31.77</v>
      </c>
      <c r="C224">
        <v>8.6999999999999993</v>
      </c>
      <c r="D224">
        <v>1.77</v>
      </c>
      <c r="E224">
        <v>0</v>
      </c>
      <c r="F224" s="25">
        <v>7.8700000000000006E-2</v>
      </c>
      <c r="G224">
        <v>0</v>
      </c>
      <c r="H224">
        <v>0</v>
      </c>
      <c r="I224">
        <v>0</v>
      </c>
      <c r="J224">
        <v>0</v>
      </c>
      <c r="K224">
        <v>0</v>
      </c>
      <c r="L224">
        <v>0</v>
      </c>
      <c r="M224" s="25">
        <v>0</v>
      </c>
      <c r="N224" s="25">
        <v>0</v>
      </c>
      <c r="O224">
        <v>0</v>
      </c>
      <c r="P224" s="25">
        <v>0</v>
      </c>
      <c r="Q224" s="25">
        <v>0.20330000000000001</v>
      </c>
      <c r="R224" s="26">
        <v>16443600</v>
      </c>
      <c r="S224" s="26">
        <v>193682000000</v>
      </c>
      <c r="T224">
        <v>0</v>
      </c>
      <c r="U224" s="25">
        <v>0.79800000000000004</v>
      </c>
    </row>
    <row r="225" spans="1:21" hidden="1" x14ac:dyDescent="0.25">
      <c r="A225" t="s">
        <v>44</v>
      </c>
      <c r="B225">
        <v>35.39</v>
      </c>
      <c r="C225">
        <v>9.69</v>
      </c>
      <c r="D225">
        <v>1.97</v>
      </c>
      <c r="E225">
        <v>0</v>
      </c>
      <c r="F225" s="25">
        <v>7.0599999999999996E-2</v>
      </c>
      <c r="G225">
        <v>0</v>
      </c>
      <c r="H225">
        <v>0</v>
      </c>
      <c r="I225">
        <v>0</v>
      </c>
      <c r="J225">
        <v>0</v>
      </c>
      <c r="K225">
        <v>0</v>
      </c>
      <c r="L225">
        <v>0</v>
      </c>
      <c r="M225" s="25">
        <v>0</v>
      </c>
      <c r="N225" s="25">
        <v>0</v>
      </c>
      <c r="O225">
        <v>0</v>
      </c>
      <c r="P225" s="25">
        <v>0</v>
      </c>
      <c r="Q225" s="25">
        <v>0.20330000000000001</v>
      </c>
      <c r="R225" s="26">
        <v>743309000</v>
      </c>
      <c r="S225" s="26">
        <v>193682000000</v>
      </c>
      <c r="T225">
        <v>0</v>
      </c>
      <c r="U225" s="25">
        <v>0.79800000000000004</v>
      </c>
    </row>
    <row r="226" spans="1:21" hidden="1" x14ac:dyDescent="0.25">
      <c r="A226" t="s">
        <v>126</v>
      </c>
      <c r="B226">
        <v>3.51</v>
      </c>
      <c r="C226">
        <v>-19.04</v>
      </c>
      <c r="D226">
        <v>0.53</v>
      </c>
      <c r="E226">
        <v>0.45600000000000002</v>
      </c>
      <c r="F226" s="25">
        <v>1.9300000000000001E-2</v>
      </c>
      <c r="G226">
        <v>0.14899999999999999</v>
      </c>
      <c r="H226">
        <v>0.85</v>
      </c>
      <c r="I226">
        <v>3.58</v>
      </c>
      <c r="J226">
        <v>-0.38</v>
      </c>
      <c r="K226">
        <v>14.67</v>
      </c>
      <c r="L226">
        <v>3.21</v>
      </c>
      <c r="M226" s="25">
        <v>0.1275</v>
      </c>
      <c r="N226" s="25">
        <v>-2.3900000000000001E-2</v>
      </c>
      <c r="O226">
        <v>2.19</v>
      </c>
      <c r="P226" s="25">
        <v>5.1700000000000003E-2</v>
      </c>
      <c r="Q226" s="25">
        <v>-2.7900000000000001E-2</v>
      </c>
      <c r="R226" s="26">
        <v>2273380</v>
      </c>
      <c r="S226" s="26">
        <v>2003170000</v>
      </c>
      <c r="T226">
        <v>2.27</v>
      </c>
      <c r="U226" s="25">
        <v>0.19850000000000001</v>
      </c>
    </row>
    <row r="227" spans="1:21" hidden="1" x14ac:dyDescent="0.25">
      <c r="A227" t="s">
        <v>79</v>
      </c>
      <c r="B227">
        <v>39.03</v>
      </c>
      <c r="C227">
        <v>3.11</v>
      </c>
      <c r="D227">
        <v>0.78</v>
      </c>
      <c r="E227">
        <v>7.6999999999999999E-2</v>
      </c>
      <c r="F227" s="25">
        <v>0.39269999999999999</v>
      </c>
      <c r="G227">
        <v>0.14099999999999999</v>
      </c>
      <c r="H227">
        <v>0.88</v>
      </c>
      <c r="I227">
        <v>1.31</v>
      </c>
      <c r="J227">
        <v>-0.37</v>
      </c>
      <c r="K227">
        <v>4.58</v>
      </c>
      <c r="L227">
        <v>3.11</v>
      </c>
      <c r="M227" s="25">
        <v>5.8599999999999999E-2</v>
      </c>
      <c r="N227" s="25">
        <v>2.75E-2</v>
      </c>
      <c r="O227">
        <v>1.62</v>
      </c>
      <c r="P227" s="25">
        <v>0.14699999999999999</v>
      </c>
      <c r="Q227" s="25">
        <v>0.2515</v>
      </c>
      <c r="R227" s="26">
        <v>219747000</v>
      </c>
      <c r="S227" s="26">
        <v>43308500000</v>
      </c>
      <c r="T227">
        <v>2.64</v>
      </c>
      <c r="U227" s="25">
        <v>8.8700000000000001E-2</v>
      </c>
    </row>
    <row r="228" spans="1:21" hidden="1" x14ac:dyDescent="0.25">
      <c r="A228" t="s">
        <v>112</v>
      </c>
      <c r="B228">
        <v>1.52</v>
      </c>
      <c r="C228">
        <v>-0.08</v>
      </c>
      <c r="D228">
        <v>-0.48</v>
      </c>
      <c r="E228">
        <v>8.2000000000000003E-2</v>
      </c>
      <c r="F228" s="25">
        <v>0</v>
      </c>
      <c r="G228">
        <v>2.3E-2</v>
      </c>
      <c r="H228">
        <v>0.06</v>
      </c>
      <c r="I228">
        <v>-0.16</v>
      </c>
      <c r="J228">
        <v>-0.09</v>
      </c>
      <c r="K228">
        <v>-2.42</v>
      </c>
      <c r="L228">
        <v>-2.83</v>
      </c>
      <c r="M228" s="25">
        <v>-0.52080000000000004</v>
      </c>
      <c r="N228" s="25">
        <v>-1.0672999999999999</v>
      </c>
      <c r="O228">
        <v>1.76</v>
      </c>
      <c r="P228" s="25">
        <v>-0.15640000000000001</v>
      </c>
      <c r="Q228" s="25">
        <v>6.1649000000000003</v>
      </c>
      <c r="R228" s="26">
        <v>13272.6</v>
      </c>
      <c r="S228" s="26">
        <v>-39186000</v>
      </c>
      <c r="T228">
        <v>-6.97</v>
      </c>
      <c r="U228" s="25">
        <v>0.99990000000000001</v>
      </c>
    </row>
    <row r="229" spans="1:21" hidden="1" x14ac:dyDescent="0.25">
      <c r="A229" t="s">
        <v>214</v>
      </c>
      <c r="B229">
        <v>5.2</v>
      </c>
      <c r="C229">
        <v>3.32</v>
      </c>
      <c r="D229">
        <v>0.62</v>
      </c>
      <c r="E229">
        <v>2.0630000000000002</v>
      </c>
      <c r="F229" s="25">
        <v>7.7399999999999997E-2</v>
      </c>
      <c r="G229">
        <v>0.24299999999999999</v>
      </c>
      <c r="H229">
        <v>1.41</v>
      </c>
      <c r="I229">
        <v>5.82</v>
      </c>
      <c r="J229">
        <v>-0.99</v>
      </c>
      <c r="K229">
        <v>11.17</v>
      </c>
      <c r="L229">
        <v>9.9499999999999993</v>
      </c>
      <c r="M229" s="25">
        <v>0.35460000000000003</v>
      </c>
      <c r="N229" s="25">
        <v>0.61619999999999997</v>
      </c>
      <c r="O229">
        <v>2.1</v>
      </c>
      <c r="P229" s="25">
        <v>4.8099999999999997E-2</v>
      </c>
      <c r="Q229" s="25">
        <v>0.1855</v>
      </c>
      <c r="R229" s="26">
        <v>14425500</v>
      </c>
      <c r="S229" s="26">
        <v>5753280000</v>
      </c>
      <c r="T229">
        <v>0.9</v>
      </c>
      <c r="U229" s="25">
        <v>1.18E-2</v>
      </c>
    </row>
    <row r="230" spans="1:21" hidden="1" x14ac:dyDescent="0.25">
      <c r="A230" t="s">
        <v>409</v>
      </c>
      <c r="B230">
        <v>22</v>
      </c>
      <c r="C230">
        <v>11.62</v>
      </c>
      <c r="D230">
        <v>0.39</v>
      </c>
      <c r="E230">
        <v>0.106</v>
      </c>
      <c r="F230" s="25">
        <v>2.8799999999999999E-2</v>
      </c>
      <c r="G230">
        <v>0.10199999999999999</v>
      </c>
      <c r="H230">
        <v>0.32</v>
      </c>
      <c r="I230">
        <v>2.38</v>
      </c>
      <c r="J230">
        <v>1.75</v>
      </c>
      <c r="K230">
        <v>7.91</v>
      </c>
      <c r="L230">
        <v>6.95</v>
      </c>
      <c r="M230" s="25">
        <v>4.48E-2</v>
      </c>
      <c r="N230" s="25">
        <v>1.1599999999999999E-2</v>
      </c>
      <c r="O230">
        <v>1.82</v>
      </c>
      <c r="P230" s="25">
        <v>6.4000000000000001E-2</v>
      </c>
      <c r="Q230" s="25">
        <v>3.3300000000000003E-2</v>
      </c>
      <c r="R230" s="26">
        <v>2114.7600000000002</v>
      </c>
      <c r="S230" s="26">
        <v>602064000</v>
      </c>
      <c r="T230">
        <v>1.99</v>
      </c>
      <c r="U230" s="25">
        <v>6.0199999999999997E-2</v>
      </c>
    </row>
    <row r="231" spans="1:21" hidden="1" x14ac:dyDescent="0.25">
      <c r="A231" t="s">
        <v>410</v>
      </c>
      <c r="B231">
        <v>29.02</v>
      </c>
      <c r="C231">
        <v>20.27</v>
      </c>
      <c r="D231">
        <v>1.93</v>
      </c>
      <c r="E231">
        <v>4.6669999999999998</v>
      </c>
      <c r="F231" s="25">
        <v>2.8999999999999998E-3</v>
      </c>
      <c r="G231">
        <v>0.46800000000000003</v>
      </c>
      <c r="H231">
        <v>2.34</v>
      </c>
      <c r="I231">
        <v>12.96</v>
      </c>
      <c r="J231">
        <v>-1.68</v>
      </c>
      <c r="K231">
        <v>20.350000000000001</v>
      </c>
      <c r="L231">
        <v>12.83</v>
      </c>
      <c r="M231" s="25">
        <v>0.36020000000000002</v>
      </c>
      <c r="N231" s="25">
        <v>0.46310000000000001</v>
      </c>
      <c r="O231">
        <v>5.31</v>
      </c>
      <c r="P231" s="25">
        <v>4.5600000000000002E-2</v>
      </c>
      <c r="Q231" s="25">
        <v>9.5100000000000004E-2</v>
      </c>
      <c r="R231" s="26">
        <v>7666510</v>
      </c>
      <c r="S231" s="26">
        <v>1762140000</v>
      </c>
      <c r="T231">
        <v>1.94</v>
      </c>
      <c r="U231" s="25">
        <v>1.01E-2</v>
      </c>
    </row>
    <row r="232" spans="1:21" hidden="1" x14ac:dyDescent="0.25">
      <c r="A232" t="s">
        <v>207</v>
      </c>
      <c r="B232">
        <v>5.38</v>
      </c>
      <c r="C232">
        <v>7.49</v>
      </c>
      <c r="D232">
        <v>0.86</v>
      </c>
      <c r="E232">
        <v>0.16600000000000001</v>
      </c>
      <c r="F232" s="25">
        <v>7.8200000000000006E-2</v>
      </c>
      <c r="G232">
        <v>0.122</v>
      </c>
      <c r="H232">
        <v>0.86</v>
      </c>
      <c r="I232">
        <v>1.48</v>
      </c>
      <c r="J232">
        <v>-0.25</v>
      </c>
      <c r="K232">
        <v>7.63</v>
      </c>
      <c r="L232">
        <v>4.71</v>
      </c>
      <c r="M232" s="25">
        <v>0.11219999999999999</v>
      </c>
      <c r="N232" s="25">
        <v>2.2100000000000002E-2</v>
      </c>
      <c r="O232">
        <v>1.62</v>
      </c>
      <c r="P232" s="25">
        <v>0.1004</v>
      </c>
      <c r="Q232" s="25">
        <v>0.1148</v>
      </c>
      <c r="R232" s="26">
        <v>3179510</v>
      </c>
      <c r="S232" s="26">
        <v>1791170000</v>
      </c>
      <c r="T232">
        <v>4.6399999999999997</v>
      </c>
      <c r="U232" s="25">
        <v>0.55510000000000004</v>
      </c>
    </row>
    <row r="233" spans="1:21" hidden="1" x14ac:dyDescent="0.25">
      <c r="A233" t="s">
        <v>109</v>
      </c>
      <c r="B233">
        <v>7.27</v>
      </c>
      <c r="C233">
        <v>7.57</v>
      </c>
      <c r="D233">
        <v>1.83</v>
      </c>
      <c r="E233">
        <v>0.82499999999999996</v>
      </c>
      <c r="F233" s="25">
        <v>9.01E-2</v>
      </c>
      <c r="G233">
        <v>0.86199999999999999</v>
      </c>
      <c r="H233">
        <v>2.6</v>
      </c>
      <c r="I233">
        <v>5.39</v>
      </c>
      <c r="J233">
        <v>6.53</v>
      </c>
      <c r="K233">
        <v>5.26</v>
      </c>
      <c r="L233">
        <v>4.5199999999999996</v>
      </c>
      <c r="M233" s="25">
        <v>0.15290000000000001</v>
      </c>
      <c r="N233" s="25">
        <v>0.1089</v>
      </c>
      <c r="O233">
        <v>2.0099999999999998</v>
      </c>
      <c r="P233" s="25">
        <v>0.23169999999999999</v>
      </c>
      <c r="Q233" s="25">
        <v>0.2417</v>
      </c>
      <c r="R233" s="26">
        <v>9547520</v>
      </c>
      <c r="S233" s="26">
        <v>714159000</v>
      </c>
      <c r="T233">
        <v>0.45</v>
      </c>
      <c r="U233" s="25">
        <v>0.16320000000000001</v>
      </c>
    </row>
    <row r="234" spans="1:21" hidden="1" x14ac:dyDescent="0.25">
      <c r="A234" t="s">
        <v>411</v>
      </c>
      <c r="B234">
        <v>18.690000000000001</v>
      </c>
      <c r="C234">
        <v>12.79</v>
      </c>
      <c r="D234">
        <v>2.68</v>
      </c>
      <c r="E234">
        <v>1.151</v>
      </c>
      <c r="F234" s="25">
        <v>6.2700000000000006E-2</v>
      </c>
      <c r="G234">
        <v>0.40200000000000002</v>
      </c>
      <c r="H234">
        <v>3.63</v>
      </c>
      <c r="I234">
        <v>5.04</v>
      </c>
      <c r="J234">
        <v>-0.7</v>
      </c>
      <c r="K234">
        <v>11.53</v>
      </c>
      <c r="L234">
        <v>5.88</v>
      </c>
      <c r="M234" s="25">
        <v>0.22819999999999999</v>
      </c>
      <c r="N234" s="25">
        <v>0.1013</v>
      </c>
      <c r="O234">
        <v>1.96</v>
      </c>
      <c r="P234" s="25">
        <v>9.5799999999999996E-2</v>
      </c>
      <c r="Q234" s="25">
        <v>0.2094</v>
      </c>
      <c r="R234" s="26">
        <v>91900600</v>
      </c>
      <c r="S234" s="26">
        <v>8626520000</v>
      </c>
      <c r="T234">
        <v>4.1900000000000004</v>
      </c>
      <c r="U234" s="25">
        <v>9.4899999999999998E-2</v>
      </c>
    </row>
    <row r="235" spans="1:21" hidden="1" x14ac:dyDescent="0.25">
      <c r="A235" t="s">
        <v>138</v>
      </c>
      <c r="B235">
        <v>3.82</v>
      </c>
      <c r="C235">
        <v>13.07</v>
      </c>
      <c r="D235">
        <v>2.74</v>
      </c>
      <c r="E235">
        <v>1.1759999999999999</v>
      </c>
      <c r="F235" s="25">
        <v>6.1400000000000003E-2</v>
      </c>
      <c r="G235">
        <v>0.41099999999999998</v>
      </c>
      <c r="H235">
        <v>3.71</v>
      </c>
      <c r="I235">
        <v>5.15</v>
      </c>
      <c r="J235">
        <v>-0.71</v>
      </c>
      <c r="K235">
        <v>11.64</v>
      </c>
      <c r="L235">
        <v>5.93</v>
      </c>
      <c r="M235" s="25">
        <v>0.22819999999999999</v>
      </c>
      <c r="N235" s="25">
        <v>0.1013</v>
      </c>
      <c r="O235">
        <v>1.96</v>
      </c>
      <c r="P235" s="25">
        <v>9.5799999999999996E-2</v>
      </c>
      <c r="Q235" s="25">
        <v>0.2094</v>
      </c>
      <c r="R235" s="26">
        <v>1475960</v>
      </c>
      <c r="S235" s="26">
        <v>8626520000</v>
      </c>
      <c r="T235">
        <v>4.1900000000000004</v>
      </c>
      <c r="U235" s="25">
        <v>9.4899999999999998E-2</v>
      </c>
    </row>
    <row r="236" spans="1:21" hidden="1" x14ac:dyDescent="0.25">
      <c r="A236" t="s">
        <v>147</v>
      </c>
      <c r="B236">
        <v>3.7</v>
      </c>
      <c r="C236">
        <v>12.66</v>
      </c>
      <c r="D236">
        <v>2.65</v>
      </c>
      <c r="E236">
        <v>1.139</v>
      </c>
      <c r="F236" s="25">
        <v>6.3399999999999998E-2</v>
      </c>
      <c r="G236">
        <v>0.39800000000000002</v>
      </c>
      <c r="H236">
        <v>3.59</v>
      </c>
      <c r="I236">
        <v>4.99</v>
      </c>
      <c r="J236">
        <v>-0.69</v>
      </c>
      <c r="K236">
        <v>11.47</v>
      </c>
      <c r="L236">
        <v>5.85</v>
      </c>
      <c r="M236" s="25">
        <v>0.22819999999999999</v>
      </c>
      <c r="N236" s="25">
        <v>0.1013</v>
      </c>
      <c r="O236">
        <v>1.96</v>
      </c>
      <c r="P236" s="25">
        <v>9.5799999999999996E-2</v>
      </c>
      <c r="Q236" s="25">
        <v>0.2094</v>
      </c>
      <c r="R236" s="26">
        <v>6801430</v>
      </c>
      <c r="S236" s="26">
        <v>8626520000</v>
      </c>
      <c r="T236">
        <v>4.1900000000000004</v>
      </c>
      <c r="U236" s="25">
        <v>9.4899999999999998E-2</v>
      </c>
    </row>
    <row r="237" spans="1:21" hidden="1" x14ac:dyDescent="0.25">
      <c r="A237" t="s">
        <v>47</v>
      </c>
      <c r="B237">
        <v>10.38</v>
      </c>
      <c r="C237">
        <v>94.09</v>
      </c>
      <c r="D237">
        <v>1.37</v>
      </c>
      <c r="E237">
        <v>13.502000000000001</v>
      </c>
      <c r="F237" s="25">
        <v>7.0000000000000001E-3</v>
      </c>
      <c r="G237">
        <v>1.0449999999999999</v>
      </c>
      <c r="H237">
        <v>-67.3</v>
      </c>
      <c r="I237">
        <v>26.47</v>
      </c>
      <c r="J237">
        <v>-6.04</v>
      </c>
      <c r="K237">
        <v>29.06</v>
      </c>
      <c r="L237">
        <v>26.74</v>
      </c>
      <c r="M237" s="25">
        <v>0.51</v>
      </c>
      <c r="N237" s="25">
        <v>0.14349999999999999</v>
      </c>
      <c r="O237">
        <v>0.8</v>
      </c>
      <c r="P237" s="25">
        <v>3.9699999999999999E-2</v>
      </c>
      <c r="Q237" s="25">
        <v>1.46E-2</v>
      </c>
      <c r="R237" s="26">
        <v>401438</v>
      </c>
      <c r="S237" s="26">
        <v>729614000</v>
      </c>
      <c r="T237">
        <v>0.14000000000000001</v>
      </c>
      <c r="U237" s="25">
        <v>-7.0300000000000001E-2</v>
      </c>
    </row>
    <row r="238" spans="1:21" x14ac:dyDescent="0.25">
      <c r="A238" t="s">
        <v>89</v>
      </c>
      <c r="B238">
        <v>11.92</v>
      </c>
      <c r="C238">
        <v>6.48</v>
      </c>
      <c r="D238">
        <v>1.56</v>
      </c>
      <c r="E238">
        <v>1.4570000000000001</v>
      </c>
      <c r="F238" s="25">
        <v>8.6099999999999996E-2</v>
      </c>
      <c r="G238">
        <v>0.66</v>
      </c>
      <c r="H238">
        <v>1.0900000000000001</v>
      </c>
      <c r="I238">
        <v>6.72</v>
      </c>
      <c r="J238">
        <v>2.48</v>
      </c>
      <c r="K238">
        <v>6.74</v>
      </c>
      <c r="L238">
        <v>6.72</v>
      </c>
      <c r="M238" s="25">
        <v>0.21690000000000001</v>
      </c>
      <c r="N238" s="25">
        <v>0.2606</v>
      </c>
      <c r="O238">
        <v>4.8499999999999996</v>
      </c>
      <c r="P238" s="25">
        <v>0.12559999999999999</v>
      </c>
      <c r="Q238" s="25">
        <v>0.2407</v>
      </c>
      <c r="R238" s="26">
        <v>5872680</v>
      </c>
      <c r="S238" s="26">
        <v>1493340000</v>
      </c>
      <c r="T238">
        <v>0.48</v>
      </c>
      <c r="U238" s="25">
        <v>0.3831</v>
      </c>
    </row>
    <row r="239" spans="1:21" hidden="1" x14ac:dyDescent="0.25">
      <c r="A239" t="s">
        <v>18</v>
      </c>
      <c r="B239">
        <v>28.61</v>
      </c>
      <c r="C239">
        <v>7.76</v>
      </c>
      <c r="D239">
        <v>4.37</v>
      </c>
      <c r="E239">
        <v>0.80700000000000005</v>
      </c>
      <c r="F239" s="25">
        <v>9.2200000000000004E-2</v>
      </c>
      <c r="G239">
        <v>1.0449999999999999</v>
      </c>
      <c r="H239">
        <v>6.76</v>
      </c>
      <c r="I239">
        <v>4.72</v>
      </c>
      <c r="J239">
        <v>-7.13</v>
      </c>
      <c r="K239">
        <v>5.58</v>
      </c>
      <c r="L239">
        <v>4.9000000000000004</v>
      </c>
      <c r="M239" s="25">
        <v>0.17100000000000001</v>
      </c>
      <c r="N239" s="25">
        <v>0.104</v>
      </c>
      <c r="O239">
        <v>1.34</v>
      </c>
      <c r="P239" s="25">
        <v>0.34749999999999998</v>
      </c>
      <c r="Q239" s="25">
        <v>0.56359999999999999</v>
      </c>
      <c r="R239" s="26">
        <v>7525650</v>
      </c>
      <c r="S239" s="26">
        <v>886641000</v>
      </c>
      <c r="T239">
        <v>1.1599999999999999</v>
      </c>
      <c r="U239" s="25">
        <v>0.14410000000000001</v>
      </c>
    </row>
    <row r="240" spans="1:21" hidden="1" x14ac:dyDescent="0.25">
      <c r="A240" t="s">
        <v>156</v>
      </c>
      <c r="B240">
        <v>6.2</v>
      </c>
      <c r="C240">
        <v>0.95</v>
      </c>
      <c r="D240">
        <v>0.41</v>
      </c>
      <c r="E240">
        <v>0.151</v>
      </c>
      <c r="F240" s="25">
        <v>0</v>
      </c>
      <c r="G240">
        <v>8.5999999999999993E-2</v>
      </c>
      <c r="H240">
        <v>0.89</v>
      </c>
      <c r="I240">
        <v>1.2</v>
      </c>
      <c r="J240">
        <v>-0.18</v>
      </c>
      <c r="K240">
        <v>4.5</v>
      </c>
      <c r="L240">
        <v>3.07</v>
      </c>
      <c r="M240" s="25">
        <v>0.1263</v>
      </c>
      <c r="N240" s="25">
        <v>0.15820000000000001</v>
      </c>
      <c r="O240">
        <v>1.44</v>
      </c>
      <c r="P240" s="25">
        <v>9.2100000000000001E-2</v>
      </c>
      <c r="Q240" s="25">
        <v>0.42920000000000003</v>
      </c>
      <c r="R240" s="26">
        <v>8695410</v>
      </c>
      <c r="S240" s="26">
        <v>5639690000</v>
      </c>
      <c r="T240">
        <v>1.77</v>
      </c>
      <c r="U240" s="25">
        <v>1.54E-2</v>
      </c>
    </row>
    <row r="241" spans="1:21" hidden="1" x14ac:dyDescent="0.25">
      <c r="A241" t="s">
        <v>412</v>
      </c>
      <c r="B241">
        <v>36.01</v>
      </c>
      <c r="C241">
        <v>16.64</v>
      </c>
      <c r="D241">
        <v>1.82</v>
      </c>
      <c r="E241">
        <v>0</v>
      </c>
      <c r="F241" s="25">
        <v>3.95E-2</v>
      </c>
      <c r="G241">
        <v>1.706</v>
      </c>
      <c r="H241">
        <v>6.65</v>
      </c>
      <c r="I241">
        <v>-54.89</v>
      </c>
      <c r="J241">
        <v>7.07</v>
      </c>
      <c r="K241">
        <v>-45.91</v>
      </c>
      <c r="L241">
        <v>-45.91</v>
      </c>
      <c r="M241" s="25">
        <v>0</v>
      </c>
      <c r="N241" s="25">
        <v>0</v>
      </c>
      <c r="O241">
        <v>6.18</v>
      </c>
      <c r="P241" s="25">
        <v>-4.3099999999999999E-2</v>
      </c>
      <c r="Q241" s="25">
        <v>0.1096</v>
      </c>
      <c r="R241" s="26">
        <v>171.48</v>
      </c>
      <c r="S241" s="26">
        <v>232276000</v>
      </c>
      <c r="T241">
        <v>0</v>
      </c>
      <c r="U241" s="25">
        <v>0</v>
      </c>
    </row>
    <row r="242" spans="1:21" hidden="1" x14ac:dyDescent="0.25">
      <c r="A242" t="s">
        <v>253</v>
      </c>
      <c r="B242">
        <v>2.5299999999999998</v>
      </c>
      <c r="C242">
        <v>-5.81</v>
      </c>
      <c r="D242">
        <v>0.92</v>
      </c>
      <c r="E242">
        <v>0.17899999999999999</v>
      </c>
      <c r="F242" s="25">
        <v>4.82E-2</v>
      </c>
      <c r="G242">
        <v>0.14399999999999999</v>
      </c>
      <c r="H242">
        <v>0.59</v>
      </c>
      <c r="I242">
        <v>6.75</v>
      </c>
      <c r="J242">
        <v>-0.96</v>
      </c>
      <c r="K242">
        <v>9.07</v>
      </c>
      <c r="L242">
        <v>3.19</v>
      </c>
      <c r="M242" s="25">
        <v>2.6599999999999999E-2</v>
      </c>
      <c r="N242" s="25">
        <v>-3.09E-2</v>
      </c>
      <c r="O242">
        <v>1.54</v>
      </c>
      <c r="P242" s="25">
        <v>2.64E-2</v>
      </c>
      <c r="Q242" s="25">
        <v>-0.15840000000000001</v>
      </c>
      <c r="R242" s="26">
        <v>5515910</v>
      </c>
      <c r="S242" s="26">
        <v>536003000</v>
      </c>
      <c r="T242">
        <v>0.93</v>
      </c>
      <c r="U242" s="25">
        <v>0.1094</v>
      </c>
    </row>
    <row r="243" spans="1:21" hidden="1" x14ac:dyDescent="0.25">
      <c r="A243" t="s">
        <v>143</v>
      </c>
      <c r="B243">
        <v>19.78</v>
      </c>
      <c r="C243">
        <v>4.6399999999999997</v>
      </c>
      <c r="D243">
        <v>0.47</v>
      </c>
      <c r="E243">
        <v>7.8550000000000004</v>
      </c>
      <c r="F243" s="25">
        <v>9.8799999999999999E-2</v>
      </c>
      <c r="G243">
        <v>0.25800000000000001</v>
      </c>
      <c r="H243">
        <v>12.45</v>
      </c>
      <c r="I243">
        <v>10.9</v>
      </c>
      <c r="J243">
        <v>-0.81</v>
      </c>
      <c r="K243">
        <v>22.93</v>
      </c>
      <c r="L243">
        <v>22.06</v>
      </c>
      <c r="M243" s="25">
        <v>0.72060000000000002</v>
      </c>
      <c r="N243" s="25">
        <v>1.6971000000000001</v>
      </c>
      <c r="O243">
        <v>1.18</v>
      </c>
      <c r="P243" s="25">
        <v>2.4199999999999999E-2</v>
      </c>
      <c r="Q243" s="25">
        <v>0.10199999999999999</v>
      </c>
      <c r="R243" s="26">
        <v>4463590</v>
      </c>
      <c r="S243" s="26">
        <v>3672920000</v>
      </c>
      <c r="T243">
        <v>0.55000000000000004</v>
      </c>
      <c r="U243" s="25">
        <v>0.12239999999999999</v>
      </c>
    </row>
    <row r="244" spans="1:21" hidden="1" x14ac:dyDescent="0.25">
      <c r="A244" t="s">
        <v>212</v>
      </c>
      <c r="B244">
        <v>25.03</v>
      </c>
      <c r="C244">
        <v>37.39</v>
      </c>
      <c r="D244">
        <v>2.65</v>
      </c>
      <c r="E244">
        <v>0.93899999999999995</v>
      </c>
      <c r="F244" s="25">
        <v>0</v>
      </c>
      <c r="G244">
        <v>0.68100000000000005</v>
      </c>
      <c r="H244">
        <v>25.44</v>
      </c>
      <c r="I244">
        <v>10.07</v>
      </c>
      <c r="J244">
        <v>-1.42</v>
      </c>
      <c r="K244">
        <v>15.11</v>
      </c>
      <c r="L244">
        <v>7.28</v>
      </c>
      <c r="M244" s="25">
        <v>9.3200000000000005E-2</v>
      </c>
      <c r="N244" s="25">
        <v>2.5100000000000001E-2</v>
      </c>
      <c r="O244">
        <v>1.1100000000000001</v>
      </c>
      <c r="P244" s="25">
        <v>7.6499999999999999E-2</v>
      </c>
      <c r="Q244" s="25">
        <v>7.0999999999999994E-2</v>
      </c>
      <c r="R244" s="26">
        <v>388619</v>
      </c>
      <c r="S244" s="26">
        <v>1011710000</v>
      </c>
      <c r="T244">
        <v>1.66</v>
      </c>
      <c r="U244" s="25">
        <v>0.2581</v>
      </c>
    </row>
    <row r="245" spans="1:21" hidden="1" x14ac:dyDescent="0.25">
      <c r="A245" t="s">
        <v>163</v>
      </c>
      <c r="B245">
        <v>1.46</v>
      </c>
      <c r="C245">
        <v>10.41</v>
      </c>
      <c r="D245">
        <v>0.93</v>
      </c>
      <c r="E245">
        <v>1.0629999999999999</v>
      </c>
      <c r="F245" s="25">
        <v>4.99E-2</v>
      </c>
      <c r="G245">
        <v>0.52200000000000002</v>
      </c>
      <c r="H245">
        <v>4.7699999999999996</v>
      </c>
      <c r="I245">
        <v>5.59</v>
      </c>
      <c r="J245">
        <v>-3.68</v>
      </c>
      <c r="K245">
        <v>3.6</v>
      </c>
      <c r="L245">
        <v>2.38</v>
      </c>
      <c r="M245" s="25">
        <v>0.19009999999999999</v>
      </c>
      <c r="N245" s="25">
        <v>0.16400000000000001</v>
      </c>
      <c r="O245">
        <v>1.56</v>
      </c>
      <c r="P245" s="25">
        <v>0.1168</v>
      </c>
      <c r="Q245" s="25">
        <v>8.8999999999999996E-2</v>
      </c>
      <c r="R245" s="26">
        <v>150529</v>
      </c>
      <c r="S245" s="26">
        <v>232403000</v>
      </c>
      <c r="T245">
        <v>0</v>
      </c>
      <c r="U245" s="25">
        <v>-3.5000000000000001E-3</v>
      </c>
    </row>
    <row r="246" spans="1:21" hidden="1" x14ac:dyDescent="0.25">
      <c r="A246" t="s">
        <v>205</v>
      </c>
      <c r="B246">
        <v>17.63</v>
      </c>
      <c r="C246">
        <v>14.61</v>
      </c>
      <c r="D246">
        <v>1.82</v>
      </c>
      <c r="E246">
        <v>1.264</v>
      </c>
      <c r="F246" s="25">
        <v>4.0500000000000001E-2</v>
      </c>
      <c r="G246">
        <v>1.012</v>
      </c>
      <c r="H246">
        <v>4.41</v>
      </c>
      <c r="I246">
        <v>5.9</v>
      </c>
      <c r="J246">
        <v>7.9</v>
      </c>
      <c r="K246">
        <v>5.52</v>
      </c>
      <c r="L246">
        <v>3.95</v>
      </c>
      <c r="M246" s="25">
        <v>0.21429999999999999</v>
      </c>
      <c r="N246" s="25">
        <v>8.6499999999999994E-2</v>
      </c>
      <c r="O246">
        <v>1.67</v>
      </c>
      <c r="P246" s="25">
        <v>0.2056</v>
      </c>
      <c r="Q246" s="25">
        <v>0.1245</v>
      </c>
      <c r="R246" s="26">
        <v>230570000</v>
      </c>
      <c r="S246" s="26">
        <v>10265800000</v>
      </c>
      <c r="T246">
        <v>0.04</v>
      </c>
      <c r="U246" s="25">
        <v>0.1731</v>
      </c>
    </row>
    <row r="247" spans="1:21" hidden="1" x14ac:dyDescent="0.25">
      <c r="A247" t="s">
        <v>191</v>
      </c>
      <c r="B247">
        <v>1.17</v>
      </c>
      <c r="C247">
        <v>-1.43</v>
      </c>
      <c r="D247">
        <v>0.42</v>
      </c>
      <c r="E247">
        <v>0.48</v>
      </c>
      <c r="F247" s="25">
        <v>0</v>
      </c>
      <c r="G247">
        <v>0.10100000000000001</v>
      </c>
      <c r="H247">
        <v>3.17</v>
      </c>
      <c r="I247">
        <v>-2.95</v>
      </c>
      <c r="J247">
        <v>-0.21</v>
      </c>
      <c r="K247">
        <v>-13.25</v>
      </c>
      <c r="L247">
        <v>-13.25</v>
      </c>
      <c r="M247" s="25">
        <v>-0.16259999999999999</v>
      </c>
      <c r="N247" s="25">
        <v>-0.33560000000000001</v>
      </c>
      <c r="O247">
        <v>1.1299999999999999</v>
      </c>
      <c r="P247" s="25">
        <v>-3.5999999999999997E-2</v>
      </c>
      <c r="Q247" s="25">
        <v>-0.2949</v>
      </c>
      <c r="R247" s="26">
        <v>57600.3</v>
      </c>
      <c r="S247" s="26">
        <v>121242000</v>
      </c>
      <c r="T247">
        <v>1.49</v>
      </c>
      <c r="U247" s="25">
        <v>0.11890000000000001</v>
      </c>
    </row>
    <row r="248" spans="1:21" hidden="1" x14ac:dyDescent="0.25">
      <c r="A248" t="s">
        <v>413</v>
      </c>
      <c r="B248">
        <v>4.0999999999999996</v>
      </c>
      <c r="C248">
        <v>4.67</v>
      </c>
      <c r="D248">
        <v>1.08</v>
      </c>
      <c r="E248">
        <v>1.26</v>
      </c>
      <c r="F248" s="25">
        <v>2.8299999999999999E-2</v>
      </c>
      <c r="G248">
        <v>0.76900000000000002</v>
      </c>
      <c r="H248">
        <v>17.96</v>
      </c>
      <c r="I248">
        <v>9.0500000000000007</v>
      </c>
      <c r="J248">
        <v>-5.3</v>
      </c>
      <c r="K248">
        <v>9.08</v>
      </c>
      <c r="L248">
        <v>4.83</v>
      </c>
      <c r="M248" s="25">
        <v>0.13930000000000001</v>
      </c>
      <c r="N248" s="25">
        <v>0.26989999999999997</v>
      </c>
      <c r="O248">
        <v>1.41</v>
      </c>
      <c r="P248" s="25">
        <v>9.5500000000000002E-2</v>
      </c>
      <c r="Q248" s="25">
        <v>0.2324</v>
      </c>
      <c r="R248" s="26">
        <v>8469.43</v>
      </c>
      <c r="S248" s="26">
        <v>157085000</v>
      </c>
      <c r="T248">
        <v>0.12</v>
      </c>
      <c r="U248" s="25">
        <v>5.0099999999999999E-2</v>
      </c>
    </row>
    <row r="249" spans="1:21" hidden="1" x14ac:dyDescent="0.25">
      <c r="A249" t="s">
        <v>178</v>
      </c>
      <c r="B249">
        <v>3.65</v>
      </c>
      <c r="C249">
        <v>7.22</v>
      </c>
      <c r="D249">
        <v>0.35</v>
      </c>
      <c r="E249">
        <v>0.27500000000000002</v>
      </c>
      <c r="F249" s="25">
        <v>5.21E-2</v>
      </c>
      <c r="G249">
        <v>0.154</v>
      </c>
      <c r="H249">
        <v>0.73</v>
      </c>
      <c r="I249">
        <v>1.19</v>
      </c>
      <c r="J249">
        <v>-2.09</v>
      </c>
      <c r="K249">
        <v>0.45</v>
      </c>
      <c r="L249">
        <v>0.22</v>
      </c>
      <c r="M249" s="25">
        <v>0.23200000000000001</v>
      </c>
      <c r="N249" s="25">
        <v>3.8100000000000002E-2</v>
      </c>
      <c r="O249">
        <v>1.76</v>
      </c>
      <c r="P249" s="25">
        <v>0.15579999999999999</v>
      </c>
      <c r="Q249" s="25">
        <v>4.8399999999999999E-2</v>
      </c>
      <c r="R249" s="26">
        <v>318194</v>
      </c>
      <c r="S249" s="26">
        <v>662855000</v>
      </c>
      <c r="T249">
        <v>0</v>
      </c>
      <c r="U249" s="25">
        <v>-9.2299999999999993E-2</v>
      </c>
    </row>
    <row r="250" spans="1:21" hidden="1" x14ac:dyDescent="0.25">
      <c r="A250" t="s">
        <v>162</v>
      </c>
      <c r="B250">
        <v>3.9</v>
      </c>
      <c r="C250">
        <v>67.849999999999994</v>
      </c>
      <c r="D250">
        <v>0.81</v>
      </c>
      <c r="E250">
        <v>1.579</v>
      </c>
      <c r="F250" s="25">
        <v>1.83E-2</v>
      </c>
      <c r="G250">
        <v>0.55200000000000005</v>
      </c>
      <c r="H250">
        <v>11.37</v>
      </c>
      <c r="I250">
        <v>17.96</v>
      </c>
      <c r="J250">
        <v>31.39</v>
      </c>
      <c r="K250">
        <v>14.74</v>
      </c>
      <c r="L250">
        <v>7.07</v>
      </c>
      <c r="M250" s="25">
        <v>8.7900000000000006E-2</v>
      </c>
      <c r="N250" s="25">
        <v>2.3300000000000001E-2</v>
      </c>
      <c r="O250">
        <v>1.17</v>
      </c>
      <c r="P250" s="25">
        <v>3.5299999999999998E-2</v>
      </c>
      <c r="Q250" s="25">
        <v>1.1900000000000001E-2</v>
      </c>
      <c r="R250" s="26">
        <v>25443600</v>
      </c>
      <c r="S250" s="26">
        <v>2736470000</v>
      </c>
      <c r="T250">
        <v>0.03</v>
      </c>
      <c r="U250" s="25">
        <v>0.2555</v>
      </c>
    </row>
    <row r="251" spans="1:21" hidden="1" x14ac:dyDescent="0.25">
      <c r="A251" t="s">
        <v>414</v>
      </c>
      <c r="B251">
        <v>3.05</v>
      </c>
      <c r="C251">
        <v>-17.41</v>
      </c>
      <c r="D251">
        <v>-0.43</v>
      </c>
      <c r="E251">
        <v>0</v>
      </c>
      <c r="F251" s="25">
        <v>0</v>
      </c>
      <c r="G251">
        <v>3.621</v>
      </c>
      <c r="H251">
        <v>-49.17</v>
      </c>
      <c r="I251">
        <v>-22.79</v>
      </c>
      <c r="J251">
        <v>-0.39</v>
      </c>
      <c r="K251">
        <v>-22.78</v>
      </c>
      <c r="L251">
        <v>-22.78</v>
      </c>
      <c r="M251" s="25">
        <v>0</v>
      </c>
      <c r="N251" s="25">
        <v>0</v>
      </c>
      <c r="O251">
        <v>0.02</v>
      </c>
      <c r="P251" s="25">
        <v>-0.1595</v>
      </c>
      <c r="Q251" s="25">
        <v>2.4899999999999999E-2</v>
      </c>
      <c r="R251" s="26">
        <v>7.26</v>
      </c>
      <c r="S251" s="26">
        <v>-6474000</v>
      </c>
      <c r="T251">
        <v>0</v>
      </c>
      <c r="U251" s="25">
        <v>0</v>
      </c>
    </row>
    <row r="252" spans="1:21" hidden="1" x14ac:dyDescent="0.25">
      <c r="A252" t="s">
        <v>415</v>
      </c>
      <c r="B252">
        <v>3.8</v>
      </c>
      <c r="C252">
        <v>-21.69</v>
      </c>
      <c r="D252">
        <v>-0.54</v>
      </c>
      <c r="E252">
        <v>0</v>
      </c>
      <c r="F252" s="25">
        <v>0</v>
      </c>
      <c r="G252">
        <v>4.5119999999999996</v>
      </c>
      <c r="H252">
        <v>-61.27</v>
      </c>
      <c r="I252">
        <v>-28.39</v>
      </c>
      <c r="J252">
        <v>-0.48</v>
      </c>
      <c r="K252">
        <v>-28.38</v>
      </c>
      <c r="L252">
        <v>-28.38</v>
      </c>
      <c r="M252" s="25">
        <v>0</v>
      </c>
      <c r="N252" s="25">
        <v>0</v>
      </c>
      <c r="O252">
        <v>0.02</v>
      </c>
      <c r="P252" s="25">
        <v>-0.1595</v>
      </c>
      <c r="Q252" s="25">
        <v>2.4899999999999999E-2</v>
      </c>
      <c r="R252" s="26">
        <v>5760.69</v>
      </c>
      <c r="S252" s="26">
        <v>-6474000</v>
      </c>
      <c r="T252">
        <v>0</v>
      </c>
      <c r="U252" s="25">
        <v>0</v>
      </c>
    </row>
    <row r="253" spans="1:21" hidden="1" x14ac:dyDescent="0.25">
      <c r="A253" t="s">
        <v>188</v>
      </c>
      <c r="B253">
        <v>4.3499999999999996</v>
      </c>
      <c r="C253">
        <v>-4.09</v>
      </c>
      <c r="D253">
        <v>1.02</v>
      </c>
      <c r="E253">
        <v>0.68899999999999995</v>
      </c>
      <c r="F253" s="25">
        <v>1.72E-2</v>
      </c>
      <c r="G253">
        <v>0.33700000000000002</v>
      </c>
      <c r="H253">
        <v>1.47</v>
      </c>
      <c r="I253">
        <v>4.5</v>
      </c>
      <c r="J253">
        <v>-1.08</v>
      </c>
      <c r="K253">
        <v>6.82</v>
      </c>
      <c r="L253">
        <v>5.12</v>
      </c>
      <c r="M253" s="25">
        <v>0.153</v>
      </c>
      <c r="N253" s="25">
        <v>-0.16320000000000001</v>
      </c>
      <c r="O253">
        <v>2.95</v>
      </c>
      <c r="P253" s="25">
        <v>9.1899999999999996E-2</v>
      </c>
      <c r="Q253" s="25">
        <v>-0.248</v>
      </c>
      <c r="R253" s="26">
        <v>1372410</v>
      </c>
      <c r="S253" s="26">
        <v>1454640000</v>
      </c>
      <c r="T253">
        <v>0.98</v>
      </c>
      <c r="U253" s="25">
        <v>0.33379999999999999</v>
      </c>
    </row>
    <row r="254" spans="1:21" hidden="1" x14ac:dyDescent="0.25">
      <c r="A254" t="s">
        <v>85</v>
      </c>
      <c r="B254">
        <v>25.19</v>
      </c>
      <c r="C254">
        <v>15.24</v>
      </c>
      <c r="D254">
        <v>1.07</v>
      </c>
      <c r="E254">
        <v>0.878</v>
      </c>
      <c r="F254" s="25">
        <v>2.3E-2</v>
      </c>
      <c r="G254">
        <v>0.66700000000000004</v>
      </c>
      <c r="H254" s="26">
        <v>2.69</v>
      </c>
      <c r="I254">
        <v>9.9700000000000006</v>
      </c>
      <c r="J254">
        <v>8.01</v>
      </c>
      <c r="K254">
        <v>10</v>
      </c>
      <c r="L254">
        <v>6.93</v>
      </c>
      <c r="M254" s="25">
        <v>8.7999999999999995E-2</v>
      </c>
      <c r="N254" s="25">
        <v>5.7599999999999998E-2</v>
      </c>
      <c r="O254">
        <v>2.15</v>
      </c>
      <c r="P254" s="25">
        <v>9.0499999999999997E-2</v>
      </c>
      <c r="Q254" s="25">
        <v>7.0400000000000004E-2</v>
      </c>
      <c r="R254" s="26">
        <v>13998900</v>
      </c>
      <c r="S254" s="26">
        <v>7956180000</v>
      </c>
      <c r="T254">
        <v>0.28999999999999998</v>
      </c>
      <c r="U254" s="25">
        <v>9.1300000000000006E-2</v>
      </c>
    </row>
    <row r="255" spans="1:21" hidden="1" x14ac:dyDescent="0.25">
      <c r="A255" t="s">
        <v>171</v>
      </c>
      <c r="B255">
        <v>21.35</v>
      </c>
      <c r="C255">
        <v>6.49</v>
      </c>
      <c r="D255">
        <v>1.1200000000000001</v>
      </c>
      <c r="E255">
        <v>1.0660000000000001</v>
      </c>
      <c r="F255" s="25">
        <v>5.8099999999999999E-2</v>
      </c>
      <c r="G255">
        <v>0.43099999999999999</v>
      </c>
      <c r="H255" s="26">
        <v>1.43</v>
      </c>
      <c r="I255">
        <v>5.73</v>
      </c>
      <c r="J255">
        <v>-3.25</v>
      </c>
      <c r="K255">
        <v>6.13</v>
      </c>
      <c r="L255">
        <v>5.91</v>
      </c>
      <c r="M255" s="25">
        <v>0.18609999999999999</v>
      </c>
      <c r="N255" s="25">
        <v>0.16420000000000001</v>
      </c>
      <c r="O255">
        <v>2.62</v>
      </c>
      <c r="P255" s="25">
        <v>8.6800000000000002E-2</v>
      </c>
      <c r="Q255" s="25">
        <v>0.17330000000000001</v>
      </c>
      <c r="R255" s="26">
        <v>18106800</v>
      </c>
      <c r="S255" s="26">
        <v>1611720000</v>
      </c>
      <c r="T255">
        <v>0.33</v>
      </c>
      <c r="U255" s="25">
        <v>0.31069999999999998</v>
      </c>
    </row>
    <row r="256" spans="1:21" hidden="1" x14ac:dyDescent="0.25">
      <c r="A256" t="s">
        <v>41</v>
      </c>
      <c r="B256">
        <v>1.36</v>
      </c>
      <c r="C256">
        <v>-4.4800000000000004</v>
      </c>
      <c r="D256">
        <v>0.39</v>
      </c>
      <c r="E256">
        <v>0.17499999999999999</v>
      </c>
      <c r="F256" s="25">
        <v>0</v>
      </c>
      <c r="G256">
        <v>0.14699999999999999</v>
      </c>
      <c r="H256">
        <v>-1.83</v>
      </c>
      <c r="I256">
        <v>-3.64</v>
      </c>
      <c r="J256">
        <v>-0.31</v>
      </c>
      <c r="K256">
        <v>-7.31</v>
      </c>
      <c r="L256">
        <v>5.53</v>
      </c>
      <c r="M256" s="25">
        <v>-4.82E-2</v>
      </c>
      <c r="N256" s="25">
        <v>-3.9199999999999999E-2</v>
      </c>
      <c r="O256">
        <v>0.66</v>
      </c>
      <c r="P256" s="25">
        <v>-4.7500000000000001E-2</v>
      </c>
      <c r="Q256" s="25">
        <v>-8.8099999999999998E-2</v>
      </c>
      <c r="R256" s="26">
        <v>464184</v>
      </c>
      <c r="S256" s="26">
        <v>987889000</v>
      </c>
      <c r="T256">
        <v>0.59</v>
      </c>
      <c r="U256" s="25">
        <v>0.1593</v>
      </c>
    </row>
    <row r="257" spans="1:21" hidden="1" x14ac:dyDescent="0.25">
      <c r="A257" t="s">
        <v>102</v>
      </c>
      <c r="B257">
        <v>3.4</v>
      </c>
      <c r="C257">
        <v>12.88</v>
      </c>
      <c r="D257">
        <v>0.65</v>
      </c>
      <c r="E257">
        <v>0.69499999999999995</v>
      </c>
      <c r="F257" s="25">
        <v>0.34539999999999998</v>
      </c>
      <c r="G257">
        <v>0.28199999999999997</v>
      </c>
      <c r="H257">
        <v>0.56999999999999995</v>
      </c>
      <c r="I257">
        <v>11.02</v>
      </c>
      <c r="J257">
        <v>1.06</v>
      </c>
      <c r="K257">
        <v>11.01</v>
      </c>
      <c r="L257">
        <v>10.37</v>
      </c>
      <c r="M257" s="25">
        <v>6.3100000000000003E-2</v>
      </c>
      <c r="N257" s="25">
        <v>0.11459999999999999</v>
      </c>
      <c r="O257">
        <v>2.78</v>
      </c>
      <c r="P257" s="25">
        <v>3.0599999999999999E-2</v>
      </c>
      <c r="Q257" s="25">
        <v>5.0299999999999997E-2</v>
      </c>
      <c r="R257" s="26">
        <v>1382540</v>
      </c>
      <c r="S257" s="26">
        <v>1083040000</v>
      </c>
      <c r="T257">
        <v>0.32</v>
      </c>
      <c r="U257" s="25">
        <v>0.1419</v>
      </c>
    </row>
    <row r="258" spans="1:21" hidden="1" x14ac:dyDescent="0.25">
      <c r="A258" t="s">
        <v>262</v>
      </c>
      <c r="B258">
        <v>3.96</v>
      </c>
      <c r="C258">
        <v>-0.91</v>
      </c>
      <c r="D258">
        <v>2.46</v>
      </c>
      <c r="E258">
        <v>2.4E-2</v>
      </c>
      <c r="F258" s="25">
        <v>0</v>
      </c>
      <c r="G258">
        <v>2.9000000000000001E-2</v>
      </c>
      <c r="H258">
        <v>0.17</v>
      </c>
      <c r="I258">
        <v>0.31</v>
      </c>
      <c r="J258">
        <v>-0.06</v>
      </c>
      <c r="K258">
        <v>7.88</v>
      </c>
      <c r="L258">
        <v>6.11</v>
      </c>
      <c r="M258" s="25">
        <v>7.6999999999999999E-2</v>
      </c>
      <c r="N258" s="25">
        <v>-2.5899999999999999E-2</v>
      </c>
      <c r="O258">
        <v>1.56</v>
      </c>
      <c r="P258" s="25">
        <v>0.1167</v>
      </c>
      <c r="Q258" s="25">
        <v>-2.6882999999999999</v>
      </c>
      <c r="R258" s="26">
        <v>12190.7</v>
      </c>
      <c r="S258" s="26">
        <v>9319000</v>
      </c>
      <c r="T258">
        <v>66.91</v>
      </c>
      <c r="U258" s="25">
        <v>9.9000000000000005E-2</v>
      </c>
    </row>
    <row r="259" spans="1:21" hidden="1" x14ac:dyDescent="0.25">
      <c r="A259" t="s">
        <v>416</v>
      </c>
      <c r="B259">
        <v>7.8</v>
      </c>
      <c r="C259">
        <v>13.3</v>
      </c>
      <c r="D259">
        <v>0.51</v>
      </c>
      <c r="E259">
        <v>0.151</v>
      </c>
      <c r="F259" s="25">
        <v>3.9199999999999999E-2</v>
      </c>
      <c r="G259">
        <v>0.16200000000000001</v>
      </c>
      <c r="H259">
        <v>1.9</v>
      </c>
      <c r="I259">
        <v>3.19</v>
      </c>
      <c r="J259">
        <v>-0.94</v>
      </c>
      <c r="K259">
        <v>4.7699999999999996</v>
      </c>
      <c r="L259">
        <v>2.75</v>
      </c>
      <c r="M259" s="25">
        <v>4.7300000000000002E-2</v>
      </c>
      <c r="N259" s="25">
        <v>1.14E-2</v>
      </c>
      <c r="O259">
        <v>1.2</v>
      </c>
      <c r="P259" s="25">
        <v>7.2499999999999995E-2</v>
      </c>
      <c r="Q259" s="25">
        <v>3.8199999999999998E-2</v>
      </c>
      <c r="R259" s="26">
        <v>252933000</v>
      </c>
      <c r="S259" s="26">
        <v>11357900000</v>
      </c>
      <c r="T259">
        <v>0.4</v>
      </c>
      <c r="U259" s="25">
        <v>3.7999999999999999E-2</v>
      </c>
    </row>
    <row r="260" spans="1:21" hidden="1" x14ac:dyDescent="0.25">
      <c r="A260" t="s">
        <v>159</v>
      </c>
      <c r="B260">
        <v>10.93</v>
      </c>
      <c r="C260">
        <v>8.98</v>
      </c>
      <c r="D260">
        <v>1.72</v>
      </c>
      <c r="E260">
        <v>1.5660000000000001</v>
      </c>
      <c r="F260" s="25">
        <v>4.7300000000000002E-2</v>
      </c>
      <c r="G260">
        <v>0.65700000000000003</v>
      </c>
      <c r="H260">
        <v>3.43</v>
      </c>
      <c r="I260">
        <v>4.58</v>
      </c>
      <c r="J260">
        <v>-2.52</v>
      </c>
      <c r="K260">
        <v>6.7</v>
      </c>
      <c r="L260">
        <v>4.6900000000000004</v>
      </c>
      <c r="M260" s="25">
        <v>0.34150000000000003</v>
      </c>
      <c r="N260" s="25">
        <v>0.17460000000000001</v>
      </c>
      <c r="O260">
        <v>2.17</v>
      </c>
      <c r="P260" s="25">
        <v>0.18529999999999999</v>
      </c>
      <c r="Q260" s="25">
        <v>0.19170000000000001</v>
      </c>
      <c r="R260" s="26">
        <v>7773120</v>
      </c>
      <c r="S260" s="26">
        <v>1487240000</v>
      </c>
      <c r="T260">
        <v>1.28</v>
      </c>
      <c r="U260" s="25">
        <v>0.32</v>
      </c>
    </row>
    <row r="261" spans="1:21" hidden="1" x14ac:dyDescent="0.25">
      <c r="A261" t="s">
        <v>181</v>
      </c>
      <c r="B261">
        <v>1.05</v>
      </c>
      <c r="C261">
        <v>-4.59</v>
      </c>
      <c r="D261">
        <v>0.28999999999999998</v>
      </c>
      <c r="E261">
        <v>0.252</v>
      </c>
      <c r="F261" s="25">
        <v>0</v>
      </c>
      <c r="G261">
        <v>0.16300000000000001</v>
      </c>
      <c r="H261">
        <v>0.46</v>
      </c>
      <c r="I261">
        <v>-5.97</v>
      </c>
      <c r="J261">
        <v>0.71</v>
      </c>
      <c r="K261">
        <v>-7.47</v>
      </c>
      <c r="L261">
        <v>-12.78</v>
      </c>
      <c r="M261" s="25">
        <v>-4.2200000000000001E-2</v>
      </c>
      <c r="N261" s="25">
        <v>-5.4800000000000001E-2</v>
      </c>
      <c r="O261">
        <v>2.11</v>
      </c>
      <c r="P261" s="25">
        <v>-3.78E-2</v>
      </c>
      <c r="Q261" s="25">
        <v>-6.3500000000000001E-2</v>
      </c>
      <c r="R261" s="26">
        <v>1495160</v>
      </c>
      <c r="S261" s="26">
        <v>2953430000</v>
      </c>
      <c r="T261">
        <v>0.23</v>
      </c>
      <c r="U261" s="25">
        <v>-9.1899999999999996E-2</v>
      </c>
    </row>
    <row r="262" spans="1:21" hidden="1" x14ac:dyDescent="0.25">
      <c r="A262" t="s">
        <v>417</v>
      </c>
      <c r="B262">
        <v>17.399999999999999</v>
      </c>
      <c r="C262">
        <v>66.39</v>
      </c>
      <c r="D262">
        <v>1.08</v>
      </c>
      <c r="E262">
        <v>0.17399999999999999</v>
      </c>
      <c r="F262" s="25">
        <v>0</v>
      </c>
      <c r="G262">
        <v>0.122</v>
      </c>
      <c r="H262">
        <v>-1.25</v>
      </c>
      <c r="I262">
        <v>1.72</v>
      </c>
      <c r="J262">
        <v>-0.26</v>
      </c>
      <c r="K262">
        <v>6.46</v>
      </c>
      <c r="L262">
        <v>5.59</v>
      </c>
      <c r="M262" s="25">
        <v>0.10150000000000001</v>
      </c>
      <c r="N262" s="25">
        <v>2.5999999999999999E-3</v>
      </c>
      <c r="O262">
        <v>0.81</v>
      </c>
      <c r="P262" s="25">
        <v>7.6300000000000007E-2</v>
      </c>
      <c r="Q262" s="25">
        <v>1.6199999999999999E-2</v>
      </c>
      <c r="R262" s="26">
        <v>22725</v>
      </c>
      <c r="S262" s="26">
        <v>160158000</v>
      </c>
      <c r="T262">
        <v>3</v>
      </c>
      <c r="U262" s="25">
        <v>0.1429</v>
      </c>
    </row>
    <row r="263" spans="1:21" hidden="1" x14ac:dyDescent="0.25">
      <c r="A263" t="s">
        <v>418</v>
      </c>
      <c r="B263">
        <v>26.09</v>
      </c>
      <c r="C263">
        <v>12.76</v>
      </c>
      <c r="D263">
        <v>-0.62</v>
      </c>
      <c r="E263">
        <v>0.51</v>
      </c>
      <c r="F263" s="25">
        <v>0</v>
      </c>
      <c r="G263">
        <v>0.48699999999999999</v>
      </c>
      <c r="H263">
        <v>-0.5</v>
      </c>
      <c r="I263">
        <v>2.83</v>
      </c>
      <c r="J263">
        <v>-0.4</v>
      </c>
      <c r="K263">
        <v>2.83</v>
      </c>
      <c r="L263">
        <v>2.4900000000000002</v>
      </c>
      <c r="M263" s="25">
        <v>0.1804</v>
      </c>
      <c r="N263" s="25">
        <v>4.0099999999999997E-2</v>
      </c>
      <c r="O263">
        <v>0.37</v>
      </c>
      <c r="P263" s="25">
        <v>0.1817</v>
      </c>
      <c r="Q263" s="25">
        <v>-4.8300000000000003E-2</v>
      </c>
      <c r="R263" s="26">
        <v>31172.7</v>
      </c>
      <c r="S263" s="26">
        <v>-300501000</v>
      </c>
      <c r="T263">
        <v>0</v>
      </c>
      <c r="U263" s="25">
        <v>7.1999999999999995E-2</v>
      </c>
    </row>
    <row r="264" spans="1:21" hidden="1" x14ac:dyDescent="0.25">
      <c r="A264" t="s">
        <v>419</v>
      </c>
      <c r="B264">
        <v>131</v>
      </c>
      <c r="C264">
        <v>-19.78</v>
      </c>
      <c r="D264">
        <v>1.62</v>
      </c>
      <c r="E264">
        <v>0</v>
      </c>
      <c r="F264" s="25">
        <v>0.38319999999999999</v>
      </c>
      <c r="G264">
        <v>0.75700000000000001</v>
      </c>
      <c r="H264">
        <v>1.5</v>
      </c>
      <c r="I264">
        <v>-62.85</v>
      </c>
      <c r="J264">
        <v>10.58</v>
      </c>
      <c r="K264">
        <v>-41.56</v>
      </c>
      <c r="L264">
        <v>-42.68</v>
      </c>
      <c r="M264" s="25">
        <v>0</v>
      </c>
      <c r="N264" s="25">
        <v>0</v>
      </c>
      <c r="O264">
        <v>6.12</v>
      </c>
      <c r="P264" s="25">
        <v>-2.8299999999999999E-2</v>
      </c>
      <c r="Q264" s="25">
        <v>-8.1900000000000001E-2</v>
      </c>
      <c r="R264" s="26">
        <v>42073.8</v>
      </c>
      <c r="S264" s="26">
        <v>990925000</v>
      </c>
      <c r="T264">
        <v>0.68</v>
      </c>
      <c r="U264" s="25">
        <v>-0.99450000000000005</v>
      </c>
    </row>
    <row r="265" spans="1:21" hidden="1" x14ac:dyDescent="0.25">
      <c r="A265" t="s">
        <v>420</v>
      </c>
      <c r="B265">
        <v>12.53</v>
      </c>
      <c r="C265">
        <v>17.420000000000002</v>
      </c>
      <c r="D265">
        <v>1.78</v>
      </c>
      <c r="E265">
        <v>1.167</v>
      </c>
      <c r="F265" s="25">
        <v>2.4799999999999999E-2</v>
      </c>
      <c r="G265">
        <v>0.40400000000000003</v>
      </c>
      <c r="H265">
        <v>5.48</v>
      </c>
      <c r="I265">
        <v>4.5</v>
      </c>
      <c r="J265">
        <v>-0.67</v>
      </c>
      <c r="K265">
        <v>10.02</v>
      </c>
      <c r="L265">
        <v>7.76</v>
      </c>
      <c r="M265" s="25">
        <v>0.25929999999999997</v>
      </c>
      <c r="N265" s="25">
        <v>7.0199999999999999E-2</v>
      </c>
      <c r="O265">
        <v>1.81</v>
      </c>
      <c r="P265" s="25">
        <v>0.1021</v>
      </c>
      <c r="Q265" s="25">
        <v>0.1023</v>
      </c>
      <c r="R265" s="26">
        <v>88725400</v>
      </c>
      <c r="S265" s="26">
        <v>14199100000</v>
      </c>
      <c r="T265">
        <v>2.65</v>
      </c>
      <c r="U265" s="25">
        <v>0.16200000000000001</v>
      </c>
    </row>
    <row r="266" spans="1:21" hidden="1" x14ac:dyDescent="0.25">
      <c r="A266" t="s">
        <v>236</v>
      </c>
      <c r="B266">
        <v>6.26</v>
      </c>
      <c r="C266">
        <v>8.33</v>
      </c>
      <c r="D266">
        <v>0.84</v>
      </c>
      <c r="E266">
        <v>0.155</v>
      </c>
      <c r="F266" s="25">
        <v>2.9499999999999998E-2</v>
      </c>
      <c r="G266">
        <v>7.4999999999999997E-2</v>
      </c>
      <c r="H266">
        <v>-1.94</v>
      </c>
      <c r="I266">
        <v>0.72</v>
      </c>
      <c r="J266">
        <v>-0.11</v>
      </c>
      <c r="K266">
        <v>6.34</v>
      </c>
      <c r="L266">
        <v>3.66</v>
      </c>
      <c r="M266" s="25">
        <v>0.21510000000000001</v>
      </c>
      <c r="N266" s="25">
        <v>1.8599999999999998E-2</v>
      </c>
      <c r="O266">
        <v>0.87</v>
      </c>
      <c r="P266" s="25">
        <v>0.1331</v>
      </c>
      <c r="Q266" s="25">
        <v>0.1002</v>
      </c>
      <c r="R266" s="26">
        <v>47628900</v>
      </c>
      <c r="S266" s="26">
        <v>2607680000</v>
      </c>
      <c r="T266">
        <v>7.66</v>
      </c>
      <c r="U266" s="25">
        <v>0.3589</v>
      </c>
    </row>
    <row r="267" spans="1:21" hidden="1" x14ac:dyDescent="0.25">
      <c r="A267" t="s">
        <v>111</v>
      </c>
      <c r="B267">
        <v>23.22</v>
      </c>
      <c r="C267">
        <v>7.06</v>
      </c>
      <c r="D267">
        <v>7.07</v>
      </c>
      <c r="E267">
        <v>0.127</v>
      </c>
      <c r="F267" s="25">
        <v>0.12889999999999999</v>
      </c>
      <c r="G267">
        <v>0.14699999999999999</v>
      </c>
      <c r="H267">
        <v>2.21</v>
      </c>
      <c r="I267">
        <v>3.02</v>
      </c>
      <c r="J267">
        <v>-0.31</v>
      </c>
      <c r="K267">
        <v>9.6</v>
      </c>
      <c r="L267">
        <v>4.5599999999999996</v>
      </c>
      <c r="M267" s="25">
        <v>4.2099999999999999E-2</v>
      </c>
      <c r="N267" s="25">
        <v>2.64E-2</v>
      </c>
      <c r="O267">
        <v>1.22</v>
      </c>
      <c r="P267" s="25">
        <v>6.9900000000000004E-2</v>
      </c>
      <c r="Q267" s="25">
        <v>1.0015000000000001</v>
      </c>
      <c r="R267" s="26">
        <v>157257000</v>
      </c>
      <c r="S267" s="26">
        <v>2816470000</v>
      </c>
      <c r="T267">
        <v>22.57</v>
      </c>
      <c r="U267" s="25">
        <v>0.21590000000000001</v>
      </c>
    </row>
    <row r="268" spans="1:21" hidden="1" x14ac:dyDescent="0.25">
      <c r="A268" t="s">
        <v>421</v>
      </c>
      <c r="B268">
        <v>26.5</v>
      </c>
      <c r="C268">
        <v>6.48</v>
      </c>
      <c r="D268">
        <v>1.1599999999999999</v>
      </c>
      <c r="E268">
        <v>1.2689999999999999</v>
      </c>
      <c r="F268" s="25">
        <v>0</v>
      </c>
      <c r="G268">
        <v>0.438</v>
      </c>
      <c r="H268">
        <v>4.62</v>
      </c>
      <c r="I268">
        <v>3.75</v>
      </c>
      <c r="J268">
        <v>-1.1399999999999999</v>
      </c>
      <c r="K268">
        <v>5.68</v>
      </c>
      <c r="L268">
        <v>3.95</v>
      </c>
      <c r="M268" s="25">
        <v>0.33810000000000001</v>
      </c>
      <c r="N268" s="25">
        <v>0.19589999999999999</v>
      </c>
      <c r="O268">
        <v>1.67</v>
      </c>
      <c r="P268" s="25">
        <v>0.1474</v>
      </c>
      <c r="Q268" s="25">
        <v>0.1784</v>
      </c>
      <c r="R268" s="26">
        <v>1525.86</v>
      </c>
      <c r="S268" s="26">
        <v>7748660000</v>
      </c>
      <c r="T268">
        <v>1.07</v>
      </c>
      <c r="U268" s="25">
        <v>0.1729</v>
      </c>
    </row>
    <row r="269" spans="1:21" hidden="1" x14ac:dyDescent="0.25">
      <c r="A269" t="s">
        <v>421</v>
      </c>
      <c r="B269">
        <v>26.5</v>
      </c>
      <c r="C269">
        <v>6.48</v>
      </c>
      <c r="D269">
        <v>1.1599999999999999</v>
      </c>
      <c r="E269">
        <v>1.2689999999999999</v>
      </c>
      <c r="F269" s="25">
        <v>0</v>
      </c>
      <c r="G269">
        <v>0.438</v>
      </c>
      <c r="H269">
        <v>4.62</v>
      </c>
      <c r="I269">
        <v>3.75</v>
      </c>
      <c r="J269">
        <v>-1.1399999999999999</v>
      </c>
      <c r="K269">
        <v>5.68</v>
      </c>
      <c r="L269">
        <v>3.95</v>
      </c>
      <c r="M269" s="25">
        <v>0.33810000000000001</v>
      </c>
      <c r="N269" s="25">
        <v>0.19589999999999999</v>
      </c>
      <c r="O269">
        <v>1.67</v>
      </c>
      <c r="P269" s="25">
        <v>0.1474</v>
      </c>
      <c r="Q269" s="25">
        <v>0.1784</v>
      </c>
      <c r="R269" s="26">
        <v>1525.86</v>
      </c>
      <c r="S269" s="26">
        <v>7748660000</v>
      </c>
      <c r="T269">
        <v>1.07</v>
      </c>
      <c r="U269" s="25">
        <v>0.1729</v>
      </c>
    </row>
    <row r="270" spans="1:21" hidden="1" x14ac:dyDescent="0.25">
      <c r="A270" t="s">
        <v>422</v>
      </c>
      <c r="B270">
        <v>25</v>
      </c>
      <c r="C270">
        <v>6.11</v>
      </c>
      <c r="D270">
        <v>1.0900000000000001</v>
      </c>
      <c r="E270">
        <v>1.1970000000000001</v>
      </c>
      <c r="F270" s="25">
        <v>4.19E-2</v>
      </c>
      <c r="G270">
        <v>0.41299999999999998</v>
      </c>
      <c r="H270">
        <v>4.3499999999999996</v>
      </c>
      <c r="I270">
        <v>3.54</v>
      </c>
      <c r="J270">
        <v>-1.07</v>
      </c>
      <c r="K270">
        <v>5.47</v>
      </c>
      <c r="L270">
        <v>3.8</v>
      </c>
      <c r="M270" s="25">
        <v>0.33810000000000001</v>
      </c>
      <c r="N270" s="25">
        <v>0.19589999999999999</v>
      </c>
      <c r="O270">
        <v>1.67</v>
      </c>
      <c r="P270" s="25">
        <v>0.1474</v>
      </c>
      <c r="Q270" s="25">
        <v>0.1784</v>
      </c>
      <c r="R270" s="26">
        <v>233.21</v>
      </c>
      <c r="S270" s="26">
        <v>7748660000</v>
      </c>
      <c r="T270">
        <v>1.07</v>
      </c>
      <c r="U270" s="25">
        <v>0.1729</v>
      </c>
    </row>
    <row r="271" spans="1:21" hidden="1" x14ac:dyDescent="0.25">
      <c r="A271" t="s">
        <v>422</v>
      </c>
      <c r="B271">
        <v>25</v>
      </c>
      <c r="C271">
        <v>6.11</v>
      </c>
      <c r="D271">
        <v>1.0900000000000001</v>
      </c>
      <c r="E271">
        <v>1.1970000000000001</v>
      </c>
      <c r="F271" s="25">
        <v>4.19E-2</v>
      </c>
      <c r="G271">
        <v>0.41299999999999998</v>
      </c>
      <c r="H271">
        <v>4.3499999999999996</v>
      </c>
      <c r="I271">
        <v>3.54</v>
      </c>
      <c r="J271">
        <v>-1.07</v>
      </c>
      <c r="K271">
        <v>5.47</v>
      </c>
      <c r="L271">
        <v>3.8</v>
      </c>
      <c r="M271" s="25">
        <v>0.33810000000000001</v>
      </c>
      <c r="N271" s="25">
        <v>0.19589999999999999</v>
      </c>
      <c r="O271">
        <v>1.67</v>
      </c>
      <c r="P271" s="25">
        <v>0.1474</v>
      </c>
      <c r="Q271" s="25">
        <v>0.1784</v>
      </c>
      <c r="R271" s="26">
        <v>233.21</v>
      </c>
      <c r="S271" s="26">
        <v>7748660000</v>
      </c>
      <c r="T271">
        <v>1.07</v>
      </c>
      <c r="U271" s="25">
        <v>0.1729</v>
      </c>
    </row>
    <row r="272" spans="1:21" hidden="1" x14ac:dyDescent="0.25">
      <c r="A272" t="s">
        <v>423</v>
      </c>
      <c r="B272">
        <v>25</v>
      </c>
      <c r="C272">
        <v>6.11</v>
      </c>
      <c r="D272">
        <v>1.0900000000000001</v>
      </c>
      <c r="E272">
        <v>1.1970000000000001</v>
      </c>
      <c r="F272" s="25">
        <v>4.19E-2</v>
      </c>
      <c r="G272">
        <v>0.41299999999999998</v>
      </c>
      <c r="H272">
        <v>4.3499999999999996</v>
      </c>
      <c r="I272">
        <v>3.54</v>
      </c>
      <c r="J272">
        <v>-1.07</v>
      </c>
      <c r="K272">
        <v>5.47</v>
      </c>
      <c r="L272">
        <v>3.8</v>
      </c>
      <c r="M272" s="25">
        <v>0.33810000000000001</v>
      </c>
      <c r="N272" s="25">
        <v>0.19589999999999999</v>
      </c>
      <c r="O272">
        <v>1.67</v>
      </c>
      <c r="P272" s="25">
        <v>0.1474</v>
      </c>
      <c r="Q272" s="25">
        <v>0.1784</v>
      </c>
      <c r="R272" s="26">
        <v>298.81</v>
      </c>
      <c r="S272" s="26">
        <v>7748660000</v>
      </c>
      <c r="T272">
        <v>1.07</v>
      </c>
      <c r="U272" s="25">
        <v>0.1729</v>
      </c>
    </row>
    <row r="273" spans="1:21" hidden="1" x14ac:dyDescent="0.25">
      <c r="A273" t="s">
        <v>423</v>
      </c>
      <c r="B273">
        <v>25</v>
      </c>
      <c r="C273">
        <v>6.11</v>
      </c>
      <c r="D273">
        <v>1.0900000000000001</v>
      </c>
      <c r="E273">
        <v>1.1970000000000001</v>
      </c>
      <c r="F273" s="25">
        <v>4.19E-2</v>
      </c>
      <c r="G273">
        <v>0.41299999999999998</v>
      </c>
      <c r="H273">
        <v>4.3499999999999996</v>
      </c>
      <c r="I273">
        <v>3.54</v>
      </c>
      <c r="J273">
        <v>-1.07</v>
      </c>
      <c r="K273">
        <v>5.47</v>
      </c>
      <c r="L273">
        <v>3.8</v>
      </c>
      <c r="M273" s="25">
        <v>0.33810000000000001</v>
      </c>
      <c r="N273" s="25">
        <v>0.19589999999999999</v>
      </c>
      <c r="O273">
        <v>1.67</v>
      </c>
      <c r="P273" s="25">
        <v>0.1474</v>
      </c>
      <c r="Q273" s="25">
        <v>0.1784</v>
      </c>
      <c r="R273" s="26">
        <v>298.81</v>
      </c>
      <c r="S273" s="26">
        <v>7748660000</v>
      </c>
      <c r="T273">
        <v>1.07</v>
      </c>
      <c r="U273" s="25">
        <v>0.1729</v>
      </c>
    </row>
    <row r="274" spans="1:21" hidden="1" x14ac:dyDescent="0.25">
      <c r="A274" t="s">
        <v>235</v>
      </c>
      <c r="B274">
        <v>6.21</v>
      </c>
      <c r="C274">
        <v>-5.05</v>
      </c>
      <c r="D274">
        <v>0.57999999999999996</v>
      </c>
      <c r="E274">
        <v>0.372</v>
      </c>
      <c r="F274" s="25">
        <v>0</v>
      </c>
      <c r="G274">
        <v>0.122</v>
      </c>
      <c r="H274">
        <v>0.85</v>
      </c>
      <c r="I274">
        <v>3.46</v>
      </c>
      <c r="J274">
        <v>-0.39</v>
      </c>
      <c r="K274">
        <v>12.21</v>
      </c>
      <c r="L274">
        <v>10.210000000000001</v>
      </c>
      <c r="M274" s="25">
        <v>0.1075</v>
      </c>
      <c r="N274" s="25">
        <v>-7.2099999999999997E-2</v>
      </c>
      <c r="O274">
        <v>1.47</v>
      </c>
      <c r="P274" s="25">
        <v>3.6799999999999999E-2</v>
      </c>
      <c r="Q274" s="25">
        <v>-0.11550000000000001</v>
      </c>
      <c r="R274" s="26">
        <v>66451900</v>
      </c>
      <c r="S274" s="26">
        <v>5996120000</v>
      </c>
      <c r="T274">
        <v>1.56</v>
      </c>
      <c r="U274" s="25">
        <v>7.5300000000000006E-2</v>
      </c>
    </row>
    <row r="275" spans="1:21" hidden="1" x14ac:dyDescent="0.25">
      <c r="A275" t="s">
        <v>164</v>
      </c>
      <c r="B275">
        <v>3.73</v>
      </c>
      <c r="C275">
        <v>6.65</v>
      </c>
      <c r="D275">
        <v>0.4</v>
      </c>
      <c r="E275">
        <v>0.33600000000000002</v>
      </c>
      <c r="F275" s="25">
        <v>0.13159999999999999</v>
      </c>
      <c r="G275">
        <v>0.17699999999999999</v>
      </c>
      <c r="H275">
        <v>0.37</v>
      </c>
      <c r="I275">
        <v>4.12</v>
      </c>
      <c r="J275">
        <v>0.62</v>
      </c>
      <c r="K275">
        <v>9.1</v>
      </c>
      <c r="L275">
        <v>7.09</v>
      </c>
      <c r="M275" s="25">
        <v>8.1600000000000006E-2</v>
      </c>
      <c r="N275" s="25">
        <v>7.0999999999999994E-2</v>
      </c>
      <c r="O275">
        <v>2.4500000000000002</v>
      </c>
      <c r="P275" s="25">
        <v>4.7300000000000002E-2</v>
      </c>
      <c r="Q275" s="25">
        <v>5.9499999999999997E-2</v>
      </c>
      <c r="R275" s="26">
        <v>2051230</v>
      </c>
      <c r="S275" s="26">
        <v>997155000</v>
      </c>
      <c r="T275">
        <v>0.63</v>
      </c>
      <c r="U275" s="25">
        <v>0.2676</v>
      </c>
    </row>
    <row r="276" spans="1:21" hidden="1" x14ac:dyDescent="0.25">
      <c r="A276" t="s">
        <v>26</v>
      </c>
      <c r="B276">
        <v>42.99</v>
      </c>
      <c r="C276">
        <v>10.28</v>
      </c>
      <c r="D276">
        <v>0.81</v>
      </c>
      <c r="E276">
        <v>0.72599999999999998</v>
      </c>
      <c r="F276" s="25">
        <v>6.4000000000000001E-2</v>
      </c>
      <c r="G276">
        <v>0.68200000000000005</v>
      </c>
      <c r="H276">
        <v>1.1000000000000001</v>
      </c>
      <c r="I276">
        <v>9.89</v>
      </c>
      <c r="J276">
        <v>1.1299999999999999</v>
      </c>
      <c r="K276">
        <v>5.92</v>
      </c>
      <c r="L276">
        <v>4.38</v>
      </c>
      <c r="M276" s="25">
        <v>7.3400000000000007E-2</v>
      </c>
      <c r="N276" s="25">
        <v>7.0599999999999996E-2</v>
      </c>
      <c r="O276">
        <v>5.36</v>
      </c>
      <c r="P276" s="25">
        <v>0.1055</v>
      </c>
      <c r="Q276" s="25">
        <v>7.9100000000000004E-2</v>
      </c>
      <c r="R276" s="26">
        <v>140878</v>
      </c>
      <c r="S276" s="26">
        <v>464622000</v>
      </c>
      <c r="T276">
        <v>0.03</v>
      </c>
      <c r="U276" s="25">
        <v>2.6100000000000002E-2</v>
      </c>
    </row>
    <row r="277" spans="1:21" hidden="1" x14ac:dyDescent="0.25">
      <c r="A277" t="s">
        <v>158</v>
      </c>
      <c r="B277">
        <v>25.75</v>
      </c>
      <c r="C277">
        <v>10.1</v>
      </c>
      <c r="D277">
        <v>2.2999999999999998</v>
      </c>
      <c r="E277">
        <v>5.1879999999999997</v>
      </c>
      <c r="F277" s="25">
        <v>4.36E-2</v>
      </c>
      <c r="G277">
        <v>1.0469999999999999</v>
      </c>
      <c r="H277">
        <v>20.67</v>
      </c>
      <c r="I277">
        <v>7.21</v>
      </c>
      <c r="J277">
        <v>-2.82</v>
      </c>
      <c r="K277">
        <v>9.52</v>
      </c>
      <c r="L277">
        <v>8.83</v>
      </c>
      <c r="M277" s="25">
        <v>0.7198</v>
      </c>
      <c r="N277" s="25">
        <v>0.51359999999999995</v>
      </c>
      <c r="O277">
        <v>1.41</v>
      </c>
      <c r="P277" s="25">
        <v>0.1653</v>
      </c>
      <c r="Q277" s="25">
        <v>0.2276</v>
      </c>
      <c r="R277" s="26">
        <v>92705800</v>
      </c>
      <c r="S277" s="26">
        <v>5746470000</v>
      </c>
      <c r="T277">
        <v>0.95</v>
      </c>
      <c r="U277" s="25">
        <v>0.2457</v>
      </c>
    </row>
    <row r="278" spans="1:21" hidden="1" x14ac:dyDescent="0.25">
      <c r="A278" t="s">
        <v>499</v>
      </c>
      <c r="B278">
        <v>13</v>
      </c>
      <c r="C278">
        <v>1.03</v>
      </c>
      <c r="D278">
        <v>1.35</v>
      </c>
      <c r="E278">
        <v>9.9000000000000005E-2</v>
      </c>
      <c r="F278" s="25">
        <v>0</v>
      </c>
      <c r="G278">
        <v>8.7999999999999995E-2</v>
      </c>
      <c r="H278">
        <v>-0.89</v>
      </c>
      <c r="I278">
        <v>-0.78</v>
      </c>
      <c r="J278">
        <v>-0.16</v>
      </c>
      <c r="K278">
        <v>-3.1</v>
      </c>
      <c r="L278">
        <v>-3.72</v>
      </c>
      <c r="M278" s="25">
        <v>-0.12770000000000001</v>
      </c>
      <c r="N278" s="25">
        <v>9.69E-2</v>
      </c>
      <c r="O278">
        <v>0.79</v>
      </c>
      <c r="P278" s="25">
        <v>-0.128</v>
      </c>
      <c r="Q278" s="25">
        <v>1.3137000000000001</v>
      </c>
      <c r="R278" s="26">
        <v>60.88</v>
      </c>
      <c r="S278" s="26">
        <v>19835000</v>
      </c>
      <c r="T278">
        <v>4.4400000000000004</v>
      </c>
      <c r="U278" s="25">
        <v>0.113</v>
      </c>
    </row>
    <row r="279" spans="1:21" hidden="1" x14ac:dyDescent="0.25">
      <c r="A279" t="s">
        <v>424</v>
      </c>
      <c r="B279">
        <v>11.8</v>
      </c>
      <c r="C279">
        <v>0.93</v>
      </c>
      <c r="D279">
        <v>1.22</v>
      </c>
      <c r="E279">
        <v>0.09</v>
      </c>
      <c r="F279" s="25">
        <v>0</v>
      </c>
      <c r="G279">
        <v>7.9000000000000001E-2</v>
      </c>
      <c r="H279">
        <v>-0.81</v>
      </c>
      <c r="I279">
        <v>-0.71</v>
      </c>
      <c r="J279">
        <v>-0.14000000000000001</v>
      </c>
      <c r="K279">
        <v>-3.03</v>
      </c>
      <c r="L279">
        <v>-3.64</v>
      </c>
      <c r="M279" s="25">
        <v>-0.12770000000000001</v>
      </c>
      <c r="N279" s="25">
        <v>9.69E-2</v>
      </c>
      <c r="O279">
        <v>0.79</v>
      </c>
      <c r="P279" s="25">
        <v>-0.128</v>
      </c>
      <c r="Q279" s="25">
        <v>1.3137000000000001</v>
      </c>
      <c r="R279" s="26">
        <v>7148.79</v>
      </c>
      <c r="S279" s="26">
        <v>19835000</v>
      </c>
      <c r="T279">
        <v>4.4400000000000004</v>
      </c>
      <c r="U279" s="25">
        <v>0.113</v>
      </c>
    </row>
    <row r="280" spans="1:21" hidden="1" x14ac:dyDescent="0.25">
      <c r="A280" t="s">
        <v>150</v>
      </c>
      <c r="B280">
        <v>13.92</v>
      </c>
      <c r="C280">
        <v>9.5</v>
      </c>
      <c r="D280">
        <v>0.5</v>
      </c>
      <c r="E280">
        <v>0.13700000000000001</v>
      </c>
      <c r="F280" s="25">
        <v>4.19E-2</v>
      </c>
      <c r="G280">
        <v>0.14000000000000001</v>
      </c>
      <c r="H280">
        <v>0.79</v>
      </c>
      <c r="I280">
        <v>2.0699999999999998</v>
      </c>
      <c r="J280">
        <v>-0.63</v>
      </c>
      <c r="K280">
        <v>5.83</v>
      </c>
      <c r="L280">
        <v>3.87</v>
      </c>
      <c r="M280" s="25">
        <v>6.6000000000000003E-2</v>
      </c>
      <c r="N280" s="25">
        <v>2.1299999999999999E-2</v>
      </c>
      <c r="O280">
        <v>1.61</v>
      </c>
      <c r="P280" s="25">
        <v>9.4700000000000006E-2</v>
      </c>
      <c r="Q280" s="25">
        <v>5.2299999999999999E-2</v>
      </c>
      <c r="R280" s="26">
        <v>9725900</v>
      </c>
      <c r="S280" s="26">
        <v>4306800000</v>
      </c>
      <c r="T280">
        <v>1.35</v>
      </c>
      <c r="U280" s="25">
        <v>9.9299999999999999E-2</v>
      </c>
    </row>
    <row r="281" spans="1:21" hidden="1" x14ac:dyDescent="0.25">
      <c r="A281" t="s">
        <v>911</v>
      </c>
      <c r="B281">
        <v>9.5299999999999994</v>
      </c>
      <c r="C281">
        <v>14.25</v>
      </c>
      <c r="D281">
        <v>1.43</v>
      </c>
      <c r="E281">
        <v>0.59299999999999997</v>
      </c>
      <c r="F281" s="25">
        <v>0</v>
      </c>
      <c r="G281">
        <v>0.66200000000000003</v>
      </c>
      <c r="H281">
        <v>2.0299999999999998</v>
      </c>
      <c r="I281">
        <v>4.24</v>
      </c>
      <c r="J281">
        <v>5.25</v>
      </c>
      <c r="K281">
        <v>4.07</v>
      </c>
      <c r="L281">
        <v>3.31</v>
      </c>
      <c r="M281" s="25">
        <v>0.1399</v>
      </c>
      <c r="N281" s="25">
        <v>4.1599999999999998E-2</v>
      </c>
      <c r="O281">
        <v>1.97</v>
      </c>
      <c r="P281" s="25">
        <v>0.2475</v>
      </c>
      <c r="Q281" s="25">
        <v>0.1004</v>
      </c>
      <c r="R281" s="26">
        <v>19229100</v>
      </c>
      <c r="S281" s="26">
        <v>9154310000</v>
      </c>
      <c r="T281">
        <v>0.27</v>
      </c>
      <c r="U281" s="25">
        <v>4.07E-2</v>
      </c>
    </row>
    <row r="282" spans="1:21" hidden="1" x14ac:dyDescent="0.25">
      <c r="A282" t="s">
        <v>82</v>
      </c>
      <c r="B282">
        <v>24.49</v>
      </c>
      <c r="C282">
        <v>6.87</v>
      </c>
      <c r="D282">
        <v>0.84</v>
      </c>
      <c r="E282">
        <v>0.58299999999999996</v>
      </c>
      <c r="F282" s="25">
        <v>3.3799999999999997E-2</v>
      </c>
      <c r="G282">
        <v>0.26800000000000002</v>
      </c>
      <c r="H282">
        <v>9.74</v>
      </c>
      <c r="I282">
        <v>2.71</v>
      </c>
      <c r="J282">
        <v>-0.55000000000000004</v>
      </c>
      <c r="K282">
        <v>6.81</v>
      </c>
      <c r="L282">
        <v>5.36</v>
      </c>
      <c r="M282" s="25">
        <v>0.215</v>
      </c>
      <c r="N282" s="25">
        <v>8.5300000000000001E-2</v>
      </c>
      <c r="O282">
        <v>1.17</v>
      </c>
      <c r="P282" s="25">
        <v>0.10879999999999999</v>
      </c>
      <c r="Q282" s="25">
        <v>0.12280000000000001</v>
      </c>
      <c r="R282" s="26">
        <v>25271300</v>
      </c>
      <c r="S282" s="26">
        <v>35221000000</v>
      </c>
      <c r="T282">
        <v>1.44</v>
      </c>
      <c r="U282" s="25">
        <v>6.25E-2</v>
      </c>
    </row>
    <row r="283" spans="1:21" hidden="1" x14ac:dyDescent="0.25">
      <c r="A283" t="s">
        <v>425</v>
      </c>
      <c r="B283">
        <v>3.77</v>
      </c>
      <c r="C283">
        <v>0.1</v>
      </c>
      <c r="D283">
        <v>-0.2</v>
      </c>
      <c r="E283">
        <v>0.113</v>
      </c>
      <c r="F283" s="25">
        <v>0</v>
      </c>
      <c r="G283">
        <v>0.27700000000000002</v>
      </c>
      <c r="H283">
        <v>-0.54</v>
      </c>
      <c r="I283">
        <v>-0.75</v>
      </c>
      <c r="J283">
        <v>-0.15</v>
      </c>
      <c r="K283">
        <v>-0.12</v>
      </c>
      <c r="L283">
        <v>-13.26</v>
      </c>
      <c r="M283" s="25">
        <v>-0.15079999999999999</v>
      </c>
      <c r="N283" s="25">
        <v>1.1241000000000001</v>
      </c>
      <c r="O283">
        <v>0.53</v>
      </c>
      <c r="P283" s="25">
        <v>-0.52859999999999996</v>
      </c>
      <c r="Q283" s="25">
        <v>-1.9732000000000001</v>
      </c>
      <c r="R283" s="26">
        <v>1999.52</v>
      </c>
      <c r="S283" s="26">
        <v>-50521000</v>
      </c>
      <c r="T283">
        <v>-0.03</v>
      </c>
      <c r="U283" s="25">
        <v>-4.6100000000000002E-2</v>
      </c>
    </row>
    <row r="284" spans="1:21" hidden="1" x14ac:dyDescent="0.25">
      <c r="A284" t="s">
        <v>197</v>
      </c>
      <c r="B284">
        <v>25.7</v>
      </c>
      <c r="C284">
        <v>-7.54</v>
      </c>
      <c r="D284">
        <v>0.52</v>
      </c>
      <c r="E284">
        <v>0.85299999999999998</v>
      </c>
      <c r="F284" s="25">
        <v>0</v>
      </c>
      <c r="G284">
        <v>0.39300000000000002</v>
      </c>
      <c r="H284">
        <v>1.78</v>
      </c>
      <c r="I284">
        <v>-8.34</v>
      </c>
      <c r="J284">
        <v>3.48</v>
      </c>
      <c r="K284">
        <v>-4.07</v>
      </c>
      <c r="L284">
        <v>4</v>
      </c>
      <c r="M284" s="25">
        <v>-0.1023</v>
      </c>
      <c r="N284" s="25">
        <v>-0.11310000000000001</v>
      </c>
      <c r="O284">
        <v>2.54</v>
      </c>
      <c r="P284" s="25">
        <v>-6.5699999999999995E-2</v>
      </c>
      <c r="Q284" s="25">
        <v>-6.9599999999999995E-2</v>
      </c>
      <c r="R284" s="26">
        <v>209846</v>
      </c>
      <c r="S284" s="26">
        <v>447975000</v>
      </c>
      <c r="T284">
        <v>0.04</v>
      </c>
      <c r="U284" s="25">
        <v>5.1499999999999997E-2</v>
      </c>
    </row>
    <row r="285" spans="1:21" hidden="1" x14ac:dyDescent="0.25">
      <c r="A285" t="s">
        <v>426</v>
      </c>
      <c r="B285">
        <v>5.95</v>
      </c>
      <c r="C285">
        <v>0.95</v>
      </c>
      <c r="D285">
        <v>-0.32</v>
      </c>
      <c r="E285">
        <v>15.359</v>
      </c>
      <c r="F285" s="25">
        <v>0</v>
      </c>
      <c r="G285">
        <v>2.0350000000000001</v>
      </c>
      <c r="H285">
        <v>-0.32</v>
      </c>
      <c r="I285">
        <v>-47.12</v>
      </c>
      <c r="J285">
        <v>-0.28000000000000003</v>
      </c>
      <c r="K285">
        <v>-92.5</v>
      </c>
      <c r="L285">
        <v>-92.5</v>
      </c>
      <c r="M285" s="25">
        <v>-0.32590000000000002</v>
      </c>
      <c r="N285" s="25">
        <v>16.138000000000002</v>
      </c>
      <c r="O285">
        <v>0.01</v>
      </c>
      <c r="P285" s="25">
        <v>-4.3499999999999997E-2</v>
      </c>
      <c r="Q285" s="25">
        <v>-0.33439999999999998</v>
      </c>
      <c r="R285" s="26">
        <v>2312.69</v>
      </c>
      <c r="S285" s="26">
        <v>-123781000</v>
      </c>
      <c r="T285">
        <v>-0.31</v>
      </c>
      <c r="U285" s="25">
        <v>0.12959999999999999</v>
      </c>
    </row>
    <row r="286" spans="1:21" hidden="1" x14ac:dyDescent="0.25">
      <c r="A286" t="s">
        <v>121</v>
      </c>
      <c r="B286">
        <v>10.8</v>
      </c>
      <c r="C286">
        <v>-1.82</v>
      </c>
      <c r="D286">
        <v>0.98</v>
      </c>
      <c r="E286">
        <v>0.60199999999999998</v>
      </c>
      <c r="F286" s="25">
        <v>0</v>
      </c>
      <c r="G286">
        <v>0.42199999999999999</v>
      </c>
      <c r="H286">
        <v>2.98</v>
      </c>
      <c r="I286">
        <v>5.85</v>
      </c>
      <c r="J286">
        <v>-2.59</v>
      </c>
      <c r="K286">
        <v>7</v>
      </c>
      <c r="L286">
        <v>5.08</v>
      </c>
      <c r="M286" s="25">
        <v>0.10290000000000001</v>
      </c>
      <c r="N286" s="25">
        <v>-0.33029999999999998</v>
      </c>
      <c r="O286">
        <v>1.53</v>
      </c>
      <c r="P286" s="25">
        <v>9.9699999999999997E-2</v>
      </c>
      <c r="Q286" s="25">
        <v>-0.53959999999999997</v>
      </c>
      <c r="R286" s="26">
        <v>50283900</v>
      </c>
      <c r="S286" s="26">
        <v>15095900000</v>
      </c>
      <c r="T286">
        <v>0.44</v>
      </c>
      <c r="U286" s="25">
        <v>-0.12470000000000001</v>
      </c>
    </row>
    <row r="287" spans="1:21" hidden="1" x14ac:dyDescent="0.25">
      <c r="A287" t="s">
        <v>427</v>
      </c>
      <c r="B287">
        <v>2.81</v>
      </c>
      <c r="C287">
        <v>6.62</v>
      </c>
      <c r="D287">
        <v>0.87</v>
      </c>
      <c r="E287">
        <v>0.191</v>
      </c>
      <c r="F287" s="25">
        <v>0</v>
      </c>
      <c r="G287">
        <v>0.33500000000000002</v>
      </c>
      <c r="H287" s="26">
        <v>1.05</v>
      </c>
      <c r="I287">
        <v>4.6500000000000004</v>
      </c>
      <c r="J287">
        <v>3.55</v>
      </c>
      <c r="K287">
        <v>5.98</v>
      </c>
      <c r="L287">
        <v>5.42</v>
      </c>
      <c r="M287" s="25">
        <v>4.1000000000000002E-2</v>
      </c>
      <c r="N287" s="25">
        <v>2.8799999999999999E-2</v>
      </c>
      <c r="O287">
        <v>1.81</v>
      </c>
      <c r="P287" s="25">
        <v>9.1600000000000001E-2</v>
      </c>
      <c r="Q287" s="25">
        <v>0.13170000000000001</v>
      </c>
      <c r="R287" s="26">
        <v>17117.2</v>
      </c>
      <c r="S287" s="26">
        <v>42690000</v>
      </c>
      <c r="T287">
        <v>0.31</v>
      </c>
      <c r="U287" s="25">
        <v>0.22720000000000001</v>
      </c>
    </row>
    <row r="288" spans="1:21" hidden="1" x14ac:dyDescent="0.25">
      <c r="A288" t="s">
        <v>169</v>
      </c>
      <c r="B288">
        <v>11.54</v>
      </c>
      <c r="C288">
        <v>11.2</v>
      </c>
      <c r="D288">
        <v>4.62</v>
      </c>
      <c r="E288">
        <v>2.7210000000000001</v>
      </c>
      <c r="F288" s="25">
        <v>8.0100000000000005E-2</v>
      </c>
      <c r="G288">
        <v>2.8170000000000002</v>
      </c>
      <c r="H288">
        <v>-56.34</v>
      </c>
      <c r="I288">
        <v>8.7200000000000006</v>
      </c>
      <c r="J288">
        <v>-24.98</v>
      </c>
      <c r="K288">
        <v>8.0299999999999994</v>
      </c>
      <c r="L288">
        <v>7.49</v>
      </c>
      <c r="M288" s="25">
        <v>0.31230000000000002</v>
      </c>
      <c r="N288" s="25">
        <v>0.24279999999999999</v>
      </c>
      <c r="O288">
        <v>0.85</v>
      </c>
      <c r="P288" s="25">
        <v>0.42630000000000001</v>
      </c>
      <c r="Q288" s="25">
        <v>0.41210000000000002</v>
      </c>
      <c r="R288" s="26">
        <v>23895100</v>
      </c>
      <c r="S288" s="26">
        <v>1364460000</v>
      </c>
      <c r="T288">
        <v>0</v>
      </c>
      <c r="U288" s="25">
        <v>7.2499999999999995E-2</v>
      </c>
    </row>
    <row r="289" spans="1:21" hidden="1" x14ac:dyDescent="0.25">
      <c r="A289" t="s">
        <v>428</v>
      </c>
      <c r="B289">
        <v>22.29</v>
      </c>
      <c r="C289">
        <v>9.73</v>
      </c>
      <c r="D289">
        <v>1.89</v>
      </c>
      <c r="E289">
        <v>1.161</v>
      </c>
      <c r="F289" s="25">
        <v>0.13270000000000001</v>
      </c>
      <c r="G289">
        <v>0.94899999999999995</v>
      </c>
      <c r="H289">
        <v>2.5499999999999998</v>
      </c>
      <c r="I289">
        <v>6.99</v>
      </c>
      <c r="J289">
        <v>8.44</v>
      </c>
      <c r="K289">
        <v>8.15</v>
      </c>
      <c r="L289">
        <v>6.69</v>
      </c>
      <c r="M289" s="25">
        <v>0.1661</v>
      </c>
      <c r="N289" s="25">
        <v>0.1192</v>
      </c>
      <c r="O289">
        <v>2.56</v>
      </c>
      <c r="P289" s="25">
        <v>0.17610000000000001</v>
      </c>
      <c r="Q289" s="25">
        <v>0.19439999999999999</v>
      </c>
      <c r="R289" s="26">
        <v>113639</v>
      </c>
      <c r="S289" s="26">
        <v>635559000</v>
      </c>
      <c r="T289">
        <v>0.55000000000000004</v>
      </c>
      <c r="U289" s="25">
        <v>5.8299999999999998E-2</v>
      </c>
    </row>
    <row r="290" spans="1:21" hidden="1" x14ac:dyDescent="0.25">
      <c r="A290" t="s">
        <v>245</v>
      </c>
      <c r="B290">
        <v>0.49</v>
      </c>
      <c r="C290">
        <v>0.01</v>
      </c>
      <c r="D290">
        <v>-0.01</v>
      </c>
      <c r="E290">
        <v>9.8000000000000004E-2</v>
      </c>
      <c r="F290" s="25">
        <v>0</v>
      </c>
      <c r="G290">
        <v>8.0000000000000002E-3</v>
      </c>
      <c r="H290">
        <v>-7.0000000000000007E-2</v>
      </c>
      <c r="I290">
        <v>-0.06</v>
      </c>
      <c r="J290">
        <v>-0.01</v>
      </c>
      <c r="K290">
        <v>-3.57</v>
      </c>
      <c r="L290">
        <v>-4.84</v>
      </c>
      <c r="M290" s="25">
        <v>-1.6903999999999999</v>
      </c>
      <c r="N290" s="25">
        <v>8.4742999999999995</v>
      </c>
      <c r="O290">
        <v>0.7</v>
      </c>
      <c r="P290" s="25">
        <v>-0.18210000000000001</v>
      </c>
      <c r="Q290" s="25">
        <v>-0.9587</v>
      </c>
      <c r="R290" s="26">
        <v>2392390</v>
      </c>
      <c r="S290" s="26">
        <v>-14660000000</v>
      </c>
      <c r="T290">
        <v>-0.77</v>
      </c>
      <c r="U290" s="25">
        <v>-0.25540000000000002</v>
      </c>
    </row>
    <row r="291" spans="1:21" hidden="1" x14ac:dyDescent="0.25">
      <c r="A291" t="s">
        <v>219</v>
      </c>
      <c r="B291">
        <v>8.02</v>
      </c>
      <c r="C291">
        <v>0.19</v>
      </c>
      <c r="D291">
        <v>-0.18</v>
      </c>
      <c r="E291">
        <v>1.5960000000000001</v>
      </c>
      <c r="F291" s="25">
        <v>0</v>
      </c>
      <c r="G291">
        <v>0.13500000000000001</v>
      </c>
      <c r="H291">
        <v>-1.1499999999999999</v>
      </c>
      <c r="I291">
        <v>-0.94</v>
      </c>
      <c r="J291">
        <v>-0.09</v>
      </c>
      <c r="K291">
        <v>-4.46</v>
      </c>
      <c r="L291">
        <v>-6.04</v>
      </c>
      <c r="M291" s="25">
        <v>-1.6903999999999999</v>
      </c>
      <c r="N291" s="25">
        <v>8.4742999999999995</v>
      </c>
      <c r="O291">
        <v>0.7</v>
      </c>
      <c r="P291" s="25">
        <v>-0.18210000000000001</v>
      </c>
      <c r="Q291" s="25">
        <v>-0.9587</v>
      </c>
      <c r="R291" s="26">
        <v>282899</v>
      </c>
      <c r="S291" s="26">
        <v>-14660000000</v>
      </c>
      <c r="T291">
        <v>-0.77</v>
      </c>
      <c r="U291" s="25">
        <v>-0.25540000000000002</v>
      </c>
    </row>
    <row r="292" spans="1:21" hidden="1" x14ac:dyDescent="0.25">
      <c r="A292" t="s">
        <v>208</v>
      </c>
      <c r="B292">
        <v>5.45</v>
      </c>
      <c r="C292">
        <v>-4.43</v>
      </c>
      <c r="D292">
        <v>1.19</v>
      </c>
      <c r="E292">
        <v>0.56699999999999995</v>
      </c>
      <c r="F292" s="25">
        <v>0</v>
      </c>
      <c r="G292">
        <v>0.32800000000000001</v>
      </c>
      <c r="H292">
        <v>1.89</v>
      </c>
      <c r="I292">
        <v>6.44</v>
      </c>
      <c r="J292">
        <v>-1.05</v>
      </c>
      <c r="K292">
        <v>13.36</v>
      </c>
      <c r="L292">
        <v>8.33</v>
      </c>
      <c r="M292" s="25">
        <v>8.8099999999999998E-2</v>
      </c>
      <c r="N292" s="25">
        <v>-0.13880000000000001</v>
      </c>
      <c r="O292">
        <v>1.81</v>
      </c>
      <c r="P292" s="25">
        <v>6.7299999999999999E-2</v>
      </c>
      <c r="Q292" s="25">
        <v>-0.26779999999999998</v>
      </c>
      <c r="R292" s="26">
        <v>9014340</v>
      </c>
      <c r="S292" s="26">
        <v>2995770000</v>
      </c>
      <c r="T292">
        <v>1.82</v>
      </c>
      <c r="U292" s="25">
        <v>0.28739999999999999</v>
      </c>
    </row>
    <row r="293" spans="1:21" hidden="1" x14ac:dyDescent="0.25">
      <c r="A293" t="s">
        <v>123</v>
      </c>
      <c r="B293">
        <v>6.37</v>
      </c>
      <c r="C293">
        <v>-55.19</v>
      </c>
      <c r="D293">
        <v>1.35</v>
      </c>
      <c r="E293">
        <v>0.754</v>
      </c>
      <c r="F293" s="25">
        <v>0</v>
      </c>
      <c r="G293">
        <v>0.437</v>
      </c>
      <c r="H293">
        <v>3.32</v>
      </c>
      <c r="I293">
        <v>5.54</v>
      </c>
      <c r="J293">
        <v>-1.25</v>
      </c>
      <c r="K293">
        <v>10.79</v>
      </c>
      <c r="L293">
        <v>4.9400000000000004</v>
      </c>
      <c r="M293" s="25">
        <v>0.13600000000000001</v>
      </c>
      <c r="N293" s="25">
        <v>-1.37E-2</v>
      </c>
      <c r="O293">
        <v>1.67</v>
      </c>
      <c r="P293" s="25">
        <v>9.5699999999999993E-2</v>
      </c>
      <c r="Q293" s="25">
        <v>-2.4400000000000002E-2</v>
      </c>
      <c r="R293" s="26">
        <v>2467750</v>
      </c>
      <c r="S293" s="26">
        <v>944915000</v>
      </c>
      <c r="T293">
        <v>1.72</v>
      </c>
      <c r="U293" s="25">
        <v>0.28570000000000001</v>
      </c>
    </row>
    <row r="294" spans="1:21" hidden="1" x14ac:dyDescent="0.25">
      <c r="A294" t="s">
        <v>72</v>
      </c>
      <c r="B294">
        <v>48.24</v>
      </c>
      <c r="C294">
        <v>159.72999999999999</v>
      </c>
      <c r="D294">
        <v>6.01</v>
      </c>
      <c r="E294">
        <v>4.9589999999999996</v>
      </c>
      <c r="F294" s="25">
        <v>0</v>
      </c>
      <c r="G294">
        <v>1.369</v>
      </c>
      <c r="H294">
        <v>10.92</v>
      </c>
      <c r="I294">
        <v>18.68</v>
      </c>
      <c r="J294">
        <v>-2.84</v>
      </c>
      <c r="K294">
        <v>24.81</v>
      </c>
      <c r="L294">
        <v>14.7</v>
      </c>
      <c r="M294" s="25">
        <v>0.26540000000000002</v>
      </c>
      <c r="N294" s="25">
        <v>4.36E-2</v>
      </c>
      <c r="O294">
        <v>1.93</v>
      </c>
      <c r="P294" s="25">
        <v>8.6599999999999996E-2</v>
      </c>
      <c r="Q294" s="25">
        <v>3.7600000000000001E-2</v>
      </c>
      <c r="R294" s="26">
        <v>21450400</v>
      </c>
      <c r="S294" s="26">
        <v>771834000</v>
      </c>
      <c r="T294">
        <v>2.5</v>
      </c>
      <c r="U294" s="25">
        <v>0.26319999999999999</v>
      </c>
    </row>
    <row r="295" spans="1:21" hidden="1" x14ac:dyDescent="0.25">
      <c r="A295" t="s">
        <v>429</v>
      </c>
      <c r="B295">
        <v>2.66</v>
      </c>
      <c r="C295">
        <v>-0.01</v>
      </c>
      <c r="D295">
        <v>0</v>
      </c>
      <c r="E295">
        <v>0.121</v>
      </c>
      <c r="F295" s="25">
        <v>0</v>
      </c>
      <c r="G295">
        <v>6.0000000000000001E-3</v>
      </c>
      <c r="H295">
        <v>-0.01</v>
      </c>
      <c r="I295">
        <v>-0.11</v>
      </c>
      <c r="J295">
        <v>0</v>
      </c>
      <c r="K295">
        <v>-89.73</v>
      </c>
      <c r="L295">
        <v>-108.44</v>
      </c>
      <c r="M295" s="25">
        <v>-1.1141000000000001</v>
      </c>
      <c r="N295" s="25">
        <v>-23.5822</v>
      </c>
      <c r="O295">
        <v>0.01</v>
      </c>
      <c r="P295" s="25">
        <v>-5.57E-2</v>
      </c>
      <c r="Q295" s="25">
        <v>0.18410000000000001</v>
      </c>
      <c r="R295" s="26">
        <v>5832.45</v>
      </c>
      <c r="S295" s="26">
        <v>-8625440000</v>
      </c>
      <c r="T295">
        <v>-0.8</v>
      </c>
      <c r="U295" s="25">
        <v>0.48499999999999999</v>
      </c>
    </row>
    <row r="296" spans="1:21" hidden="1" x14ac:dyDescent="0.25">
      <c r="A296" t="s">
        <v>430</v>
      </c>
      <c r="B296">
        <v>39.979999999999997</v>
      </c>
      <c r="C296">
        <v>11.01</v>
      </c>
      <c r="D296">
        <v>1.22</v>
      </c>
      <c r="E296">
        <v>0.439</v>
      </c>
      <c r="F296" s="25">
        <v>0.17960000000000001</v>
      </c>
      <c r="G296">
        <v>0.59299999999999997</v>
      </c>
      <c r="H296">
        <v>1.48</v>
      </c>
      <c r="I296">
        <v>7.81</v>
      </c>
      <c r="J296">
        <v>2.64</v>
      </c>
      <c r="K296">
        <v>8.1999999999999993</v>
      </c>
      <c r="L296">
        <v>7.3</v>
      </c>
      <c r="M296" s="25">
        <v>5.62E-2</v>
      </c>
      <c r="N296" s="25">
        <v>3.9899999999999998E-2</v>
      </c>
      <c r="O296">
        <v>2.2000000000000002</v>
      </c>
      <c r="P296" s="25">
        <v>0.13750000000000001</v>
      </c>
      <c r="Q296" s="25">
        <v>0.1105</v>
      </c>
      <c r="R296" s="26">
        <v>5193.4799999999996</v>
      </c>
      <c r="S296" s="26">
        <v>786260000</v>
      </c>
      <c r="T296">
        <v>0.59</v>
      </c>
      <c r="U296" s="25">
        <v>4.5999999999999999E-3</v>
      </c>
    </row>
    <row r="297" spans="1:21" hidden="1" x14ac:dyDescent="0.25">
      <c r="A297" t="s">
        <v>431</v>
      </c>
      <c r="B297">
        <v>31.51</v>
      </c>
      <c r="C297">
        <v>8.68</v>
      </c>
      <c r="D297">
        <v>0.96</v>
      </c>
      <c r="E297">
        <v>0.34599999999999997</v>
      </c>
      <c r="F297" s="25">
        <v>0.26240000000000002</v>
      </c>
      <c r="G297">
        <v>0.46800000000000003</v>
      </c>
      <c r="H297">
        <v>1.1599999999999999</v>
      </c>
      <c r="I297">
        <v>6.16</v>
      </c>
      <c r="J297">
        <v>2.08</v>
      </c>
      <c r="K297">
        <v>6.55</v>
      </c>
      <c r="L297">
        <v>5.82</v>
      </c>
      <c r="M297" s="25">
        <v>5.62E-2</v>
      </c>
      <c r="N297" s="25">
        <v>3.9899999999999998E-2</v>
      </c>
      <c r="O297">
        <v>2.2000000000000002</v>
      </c>
      <c r="P297" s="25">
        <v>0.13750000000000001</v>
      </c>
      <c r="Q297" s="25">
        <v>0.1105</v>
      </c>
      <c r="R297" s="26">
        <v>3001.24</v>
      </c>
      <c r="S297" s="26">
        <v>786260000</v>
      </c>
      <c r="T297">
        <v>0.59</v>
      </c>
      <c r="U297" s="25">
        <v>4.5999999999999999E-3</v>
      </c>
    </row>
    <row r="298" spans="1:21" hidden="1" x14ac:dyDescent="0.25">
      <c r="A298" t="s">
        <v>225</v>
      </c>
      <c r="B298">
        <v>3.44</v>
      </c>
      <c r="C298">
        <v>-0.88</v>
      </c>
      <c r="D298">
        <v>0.61</v>
      </c>
      <c r="E298">
        <v>8.8999999999999996E-2</v>
      </c>
      <c r="F298" s="25">
        <v>0</v>
      </c>
      <c r="G298">
        <v>8.6999999999999994E-2</v>
      </c>
      <c r="H298">
        <v>-12.68</v>
      </c>
      <c r="I298">
        <v>1.1100000000000001</v>
      </c>
      <c r="J298">
        <v>-0.15</v>
      </c>
      <c r="K298">
        <v>2.67</v>
      </c>
      <c r="L298">
        <v>1.52</v>
      </c>
      <c r="M298" s="25">
        <v>8.0299999999999996E-2</v>
      </c>
      <c r="N298" s="25">
        <v>-0.1008</v>
      </c>
      <c r="O298">
        <v>0.98</v>
      </c>
      <c r="P298" s="25">
        <v>0.10539999999999999</v>
      </c>
      <c r="Q298" s="25">
        <v>-0.69320000000000004</v>
      </c>
      <c r="R298" s="26">
        <v>29217200</v>
      </c>
      <c r="S298" s="26">
        <v>2764000000</v>
      </c>
      <c r="T298">
        <v>1.65</v>
      </c>
      <c r="U298" s="25">
        <v>-0.2298</v>
      </c>
    </row>
    <row r="299" spans="1:21" hidden="1" x14ac:dyDescent="0.25">
      <c r="A299" t="s">
        <v>193</v>
      </c>
      <c r="B299">
        <v>0.22</v>
      </c>
      <c r="C299">
        <v>-0.01</v>
      </c>
      <c r="D299">
        <v>0</v>
      </c>
      <c r="E299">
        <v>4.7E-2</v>
      </c>
      <c r="F299" s="25">
        <v>0</v>
      </c>
      <c r="G299">
        <v>1.2E-2</v>
      </c>
      <c r="H299">
        <v>-0.01</v>
      </c>
      <c r="I299">
        <v>-0.09</v>
      </c>
      <c r="J299">
        <v>0</v>
      </c>
      <c r="K299">
        <v>-2.58</v>
      </c>
      <c r="L299">
        <v>-2.59</v>
      </c>
      <c r="M299" s="25">
        <v>-0.53349999999999997</v>
      </c>
      <c r="N299" s="25">
        <v>-3.3603000000000001</v>
      </c>
      <c r="O299">
        <v>0.32</v>
      </c>
      <c r="P299" s="25">
        <v>-0.32540000000000002</v>
      </c>
      <c r="Q299" s="25">
        <v>0.13800000000000001</v>
      </c>
      <c r="R299" s="26">
        <v>680444</v>
      </c>
      <c r="S299" s="26">
        <v>-3363560000</v>
      </c>
      <c r="T299">
        <v>-0.06</v>
      </c>
      <c r="U299" s="25">
        <v>-0.22470000000000001</v>
      </c>
    </row>
    <row r="300" spans="1:21" hidden="1" x14ac:dyDescent="0.25">
      <c r="A300" t="s">
        <v>432</v>
      </c>
      <c r="B300">
        <v>1.02</v>
      </c>
      <c r="C300">
        <v>-6.07</v>
      </c>
      <c r="D300">
        <v>0.66</v>
      </c>
      <c r="E300">
        <v>0.25900000000000001</v>
      </c>
      <c r="F300" s="25">
        <v>0</v>
      </c>
      <c r="G300">
        <v>0.11799999999999999</v>
      </c>
      <c r="H300">
        <v>0.3</v>
      </c>
      <c r="I300">
        <v>8.77</v>
      </c>
      <c r="J300">
        <v>-0.8</v>
      </c>
      <c r="K300">
        <v>30.2</v>
      </c>
      <c r="L300">
        <v>8.43</v>
      </c>
      <c r="M300" s="25">
        <v>2.9499999999999998E-2</v>
      </c>
      <c r="N300" s="25">
        <v>-4.2700000000000002E-2</v>
      </c>
      <c r="O300">
        <v>2.4</v>
      </c>
      <c r="P300" s="25">
        <v>1.83E-2</v>
      </c>
      <c r="Q300" s="25">
        <v>-0.10829999999999999</v>
      </c>
      <c r="R300" s="26">
        <v>38597</v>
      </c>
      <c r="S300" s="26">
        <v>123253000</v>
      </c>
      <c r="T300">
        <v>2.72</v>
      </c>
      <c r="U300" s="25">
        <v>-8.3299999999999999E-2</v>
      </c>
    </row>
    <row r="301" spans="1:21" hidden="1" x14ac:dyDescent="0.25">
      <c r="A301" t="s">
        <v>433</v>
      </c>
      <c r="B301">
        <v>40.299999999999997</v>
      </c>
      <c r="C301">
        <v>21.24</v>
      </c>
      <c r="D301">
        <v>0.85</v>
      </c>
      <c r="E301">
        <v>7.8289999999999997</v>
      </c>
      <c r="F301" s="25">
        <v>2.06E-2</v>
      </c>
      <c r="G301">
        <v>0.58899999999999997</v>
      </c>
      <c r="H301">
        <v>3.43</v>
      </c>
      <c r="I301">
        <v>-42.52</v>
      </c>
      <c r="J301">
        <v>-6.13</v>
      </c>
      <c r="K301">
        <v>-39.630000000000003</v>
      </c>
      <c r="L301">
        <v>-224.09</v>
      </c>
      <c r="M301" s="25">
        <v>-0.18410000000000001</v>
      </c>
      <c r="N301" s="25">
        <v>0.36859999999999998</v>
      </c>
      <c r="O301">
        <v>5.51</v>
      </c>
      <c r="P301" s="25">
        <v>-1.67E-2</v>
      </c>
      <c r="Q301" s="25">
        <v>3.9899999999999998E-2</v>
      </c>
      <c r="R301" s="26">
        <v>13713.7</v>
      </c>
      <c r="S301" s="26">
        <v>898730000</v>
      </c>
      <c r="T301">
        <v>0.18</v>
      </c>
      <c r="U301" s="25">
        <v>5.8700000000000002E-2</v>
      </c>
    </row>
    <row r="302" spans="1:21" hidden="1" x14ac:dyDescent="0.25">
      <c r="A302" t="s">
        <v>434</v>
      </c>
      <c r="B302">
        <v>38</v>
      </c>
      <c r="C302">
        <v>20.03</v>
      </c>
      <c r="D302">
        <v>0.8</v>
      </c>
      <c r="E302">
        <v>7.3819999999999997</v>
      </c>
      <c r="F302" s="25">
        <v>2.2800000000000001E-2</v>
      </c>
      <c r="G302">
        <v>0.55500000000000005</v>
      </c>
      <c r="H302">
        <v>3.24</v>
      </c>
      <c r="I302">
        <v>-40.1</v>
      </c>
      <c r="J302">
        <v>-5.78</v>
      </c>
      <c r="K302">
        <v>-37.200000000000003</v>
      </c>
      <c r="L302">
        <v>-210.37</v>
      </c>
      <c r="M302" s="25">
        <v>-0.18410000000000001</v>
      </c>
      <c r="N302" s="25">
        <v>0.36859999999999998</v>
      </c>
      <c r="O302">
        <v>5.51</v>
      </c>
      <c r="P302" s="25">
        <v>-1.67E-2</v>
      </c>
      <c r="Q302" s="25">
        <v>3.9899999999999998E-2</v>
      </c>
      <c r="R302" s="26">
        <v>4129</v>
      </c>
      <c r="S302" s="26">
        <v>898730000</v>
      </c>
      <c r="T302">
        <v>0.18</v>
      </c>
      <c r="U302" s="25">
        <v>5.8700000000000002E-2</v>
      </c>
    </row>
    <row r="303" spans="1:21" hidden="1" x14ac:dyDescent="0.25">
      <c r="A303" t="s">
        <v>94</v>
      </c>
      <c r="B303">
        <v>34.840000000000003</v>
      </c>
      <c r="C303">
        <v>9.33</v>
      </c>
      <c r="D303">
        <v>1.1299999999999999</v>
      </c>
      <c r="E303">
        <v>0.90500000000000003</v>
      </c>
      <c r="F303" s="25">
        <v>0.16070000000000001</v>
      </c>
      <c r="G303">
        <v>0.39100000000000001</v>
      </c>
      <c r="H303">
        <v>-9.17</v>
      </c>
      <c r="I303">
        <v>2.14</v>
      </c>
      <c r="J303">
        <v>-0.72</v>
      </c>
      <c r="K303">
        <v>3.69</v>
      </c>
      <c r="L303">
        <v>2.77</v>
      </c>
      <c r="M303" s="25">
        <v>0.42370000000000002</v>
      </c>
      <c r="N303" s="25">
        <v>9.7799999999999998E-2</v>
      </c>
      <c r="O303">
        <v>0.72</v>
      </c>
      <c r="P303" s="25">
        <v>0.1961</v>
      </c>
      <c r="Q303" s="25">
        <v>0.1216</v>
      </c>
      <c r="R303" s="26">
        <v>350100000</v>
      </c>
      <c r="S303" s="26">
        <v>395841000000</v>
      </c>
      <c r="T303">
        <v>0.94</v>
      </c>
      <c r="U303" s="25">
        <v>0.11509999999999999</v>
      </c>
    </row>
    <row r="304" spans="1:21" hidden="1" x14ac:dyDescent="0.25">
      <c r="A304" t="s">
        <v>15</v>
      </c>
      <c r="B304">
        <v>31.99</v>
      </c>
      <c r="C304">
        <v>8.57</v>
      </c>
      <c r="D304">
        <v>1.04</v>
      </c>
      <c r="E304">
        <v>0.83099999999999996</v>
      </c>
      <c r="F304" s="25">
        <v>0.17499999999999999</v>
      </c>
      <c r="G304">
        <v>0.35899999999999999</v>
      </c>
      <c r="H304">
        <v>-8.42</v>
      </c>
      <c r="I304">
        <v>1.96</v>
      </c>
      <c r="J304">
        <v>-0.66</v>
      </c>
      <c r="K304">
        <v>3.51</v>
      </c>
      <c r="L304">
        <v>2.64</v>
      </c>
      <c r="M304" s="25">
        <v>0.42370000000000002</v>
      </c>
      <c r="N304" s="25">
        <v>9.7799999999999998E-2</v>
      </c>
      <c r="O304">
        <v>0.72</v>
      </c>
      <c r="P304" s="25">
        <v>0.1961</v>
      </c>
      <c r="Q304" s="25">
        <v>0.1216</v>
      </c>
      <c r="R304" s="26">
        <v>1080610000</v>
      </c>
      <c r="S304" s="26">
        <v>395841000000</v>
      </c>
      <c r="T304">
        <v>0.94</v>
      </c>
      <c r="U304" s="25">
        <v>0.11509999999999999</v>
      </c>
    </row>
    <row r="305" spans="1:21" hidden="1" x14ac:dyDescent="0.25">
      <c r="A305" t="s">
        <v>204</v>
      </c>
      <c r="B305">
        <v>3.99</v>
      </c>
      <c r="C305">
        <v>-45.34</v>
      </c>
      <c r="D305">
        <v>1.1100000000000001</v>
      </c>
      <c r="E305">
        <v>0.54600000000000004</v>
      </c>
      <c r="F305" s="25">
        <v>7.22E-2</v>
      </c>
      <c r="G305">
        <v>0.47799999999999998</v>
      </c>
      <c r="H305">
        <v>3.32</v>
      </c>
      <c r="I305">
        <v>10.59</v>
      </c>
      <c r="J305">
        <v>-2.21</v>
      </c>
      <c r="K305">
        <v>11.13</v>
      </c>
      <c r="L305">
        <v>3.71</v>
      </c>
      <c r="M305" s="25">
        <v>5.1499999999999997E-2</v>
      </c>
      <c r="N305" s="25">
        <v>-1.2E-2</v>
      </c>
      <c r="O305">
        <v>1.68</v>
      </c>
      <c r="P305" s="25">
        <v>5.5800000000000002E-2</v>
      </c>
      <c r="Q305" s="25">
        <v>-2.4500000000000001E-2</v>
      </c>
      <c r="R305" s="26">
        <v>29938800</v>
      </c>
      <c r="S305" s="26">
        <v>1658800000</v>
      </c>
      <c r="T305">
        <v>0.27</v>
      </c>
      <c r="U305" s="25">
        <v>0.20250000000000001</v>
      </c>
    </row>
    <row r="306" spans="1:21" hidden="1" x14ac:dyDescent="0.25">
      <c r="A306" t="s">
        <v>80</v>
      </c>
      <c r="B306">
        <v>8.08</v>
      </c>
      <c r="C306">
        <v>8.0299999999999994</v>
      </c>
      <c r="D306">
        <v>0.76</v>
      </c>
      <c r="E306">
        <v>9.4E-2</v>
      </c>
      <c r="F306" s="25">
        <v>7.1199999999999999E-2</v>
      </c>
      <c r="G306">
        <v>0.17299999999999999</v>
      </c>
      <c r="H306">
        <v>1.0900000000000001</v>
      </c>
      <c r="I306">
        <v>3.25</v>
      </c>
      <c r="J306">
        <v>-62.46</v>
      </c>
      <c r="K306">
        <v>5.46</v>
      </c>
      <c r="L306">
        <v>3.47</v>
      </c>
      <c r="M306" s="25">
        <v>2.9000000000000001E-2</v>
      </c>
      <c r="N306" s="25">
        <v>1.2500000000000001E-2</v>
      </c>
      <c r="O306">
        <v>1.28</v>
      </c>
      <c r="P306" s="25">
        <v>9.6100000000000005E-2</v>
      </c>
      <c r="Q306" s="25">
        <v>9.4700000000000006E-2</v>
      </c>
      <c r="R306" s="26">
        <v>1472670</v>
      </c>
      <c r="S306" s="26">
        <v>1315040000</v>
      </c>
      <c r="T306">
        <v>0.72</v>
      </c>
      <c r="U306" s="25">
        <v>0.17050000000000001</v>
      </c>
    </row>
    <row r="307" spans="1:21" hidden="1" x14ac:dyDescent="0.25">
      <c r="A307" t="s">
        <v>153</v>
      </c>
      <c r="B307">
        <v>3.55</v>
      </c>
      <c r="C307">
        <v>15.25</v>
      </c>
      <c r="D307">
        <v>0.81</v>
      </c>
      <c r="E307">
        <v>0.16800000000000001</v>
      </c>
      <c r="F307" s="25">
        <v>6.5100000000000005E-2</v>
      </c>
      <c r="G307">
        <v>0.255</v>
      </c>
      <c r="H307">
        <v>1.73</v>
      </c>
      <c r="I307">
        <v>3.57</v>
      </c>
      <c r="J307">
        <v>-1.44</v>
      </c>
      <c r="K307">
        <v>5.66</v>
      </c>
      <c r="L307">
        <v>3.08</v>
      </c>
      <c r="M307" s="25">
        <v>4.7199999999999999E-2</v>
      </c>
      <c r="N307" s="25">
        <v>1.11E-2</v>
      </c>
      <c r="O307">
        <v>1.41</v>
      </c>
      <c r="P307" s="25">
        <v>9.5000000000000001E-2</v>
      </c>
      <c r="Q307" s="25">
        <v>5.3199999999999997E-2</v>
      </c>
      <c r="R307" s="26">
        <v>2989680</v>
      </c>
      <c r="S307" s="26">
        <v>2722920000</v>
      </c>
      <c r="T307">
        <v>0.52</v>
      </c>
      <c r="U307" s="25">
        <v>0.1807</v>
      </c>
    </row>
    <row r="308" spans="1:21" hidden="1" x14ac:dyDescent="0.25">
      <c r="A308" t="s">
        <v>435</v>
      </c>
      <c r="B308">
        <v>5.87</v>
      </c>
      <c r="C308">
        <v>4.95</v>
      </c>
      <c r="D308">
        <v>1.18</v>
      </c>
      <c r="E308">
        <v>0</v>
      </c>
      <c r="F308" s="25">
        <v>0</v>
      </c>
      <c r="G308">
        <v>0</v>
      </c>
      <c r="H308">
        <v>0</v>
      </c>
      <c r="I308">
        <v>0</v>
      </c>
      <c r="J308">
        <v>0</v>
      </c>
      <c r="K308">
        <v>0</v>
      </c>
      <c r="L308">
        <v>0</v>
      </c>
      <c r="M308" s="25">
        <v>0</v>
      </c>
      <c r="N308" s="25">
        <v>0</v>
      </c>
      <c r="O308">
        <v>0</v>
      </c>
      <c r="P308" s="25">
        <v>0</v>
      </c>
      <c r="Q308" s="25">
        <v>0.2392</v>
      </c>
      <c r="R308" s="26">
        <v>24092.3</v>
      </c>
      <c r="S308" s="26">
        <v>1123630000</v>
      </c>
      <c r="T308">
        <v>0</v>
      </c>
      <c r="U308" s="25">
        <v>0.49669999999999997</v>
      </c>
    </row>
    <row r="309" spans="1:21" hidden="1" x14ac:dyDescent="0.25">
      <c r="A309" t="s">
        <v>39</v>
      </c>
      <c r="B309">
        <v>5.87</v>
      </c>
      <c r="C309">
        <v>4.95</v>
      </c>
      <c r="D309">
        <v>1.18</v>
      </c>
      <c r="E309">
        <v>0</v>
      </c>
      <c r="F309" s="25">
        <v>9.0200000000000002E-2</v>
      </c>
      <c r="G309">
        <v>0</v>
      </c>
      <c r="H309" s="26">
        <v>0</v>
      </c>
      <c r="I309">
        <v>0</v>
      </c>
      <c r="J309">
        <v>0</v>
      </c>
      <c r="K309">
        <v>0</v>
      </c>
      <c r="L309">
        <v>0</v>
      </c>
      <c r="M309" s="25">
        <v>0</v>
      </c>
      <c r="N309" s="25">
        <v>0</v>
      </c>
      <c r="O309">
        <v>0</v>
      </c>
      <c r="P309" s="25">
        <v>0</v>
      </c>
      <c r="Q309" s="25">
        <v>0.2392</v>
      </c>
      <c r="R309" s="26">
        <v>1421880</v>
      </c>
      <c r="S309" s="26">
        <v>1123630000</v>
      </c>
      <c r="T309">
        <v>0</v>
      </c>
      <c r="U309" s="25">
        <v>0.49669999999999997</v>
      </c>
    </row>
    <row r="310" spans="1:21" hidden="1" x14ac:dyDescent="0.25">
      <c r="A310" t="s">
        <v>436</v>
      </c>
      <c r="B310">
        <v>5.15</v>
      </c>
      <c r="C310">
        <v>-0.46</v>
      </c>
      <c r="D310">
        <v>-0.11</v>
      </c>
      <c r="E310">
        <v>5.6000000000000001E-2</v>
      </c>
      <c r="F310" s="25">
        <v>0</v>
      </c>
      <c r="G310">
        <v>0.10100000000000001</v>
      </c>
      <c r="H310">
        <v>-0.2</v>
      </c>
      <c r="I310">
        <v>-6.02</v>
      </c>
      <c r="J310">
        <v>-0.06</v>
      </c>
      <c r="K310">
        <v>-33.369999999999997</v>
      </c>
      <c r="L310">
        <v>7.4</v>
      </c>
      <c r="M310" s="25">
        <v>-9.2999999999999992E-3</v>
      </c>
      <c r="N310" s="25">
        <v>-0.1202</v>
      </c>
      <c r="O310">
        <v>0.39</v>
      </c>
      <c r="P310" s="25">
        <v>-2.01E-2</v>
      </c>
      <c r="Q310" s="25">
        <v>0.2389</v>
      </c>
      <c r="R310" s="26">
        <v>800.69</v>
      </c>
      <c r="S310" s="26">
        <v>-577159000</v>
      </c>
      <c r="T310">
        <v>-0.54</v>
      </c>
      <c r="U310" s="25">
        <v>0.27039999999999997</v>
      </c>
    </row>
    <row r="311" spans="1:21" hidden="1" x14ac:dyDescent="0.25">
      <c r="A311" t="s">
        <v>437</v>
      </c>
      <c r="B311">
        <v>13.49</v>
      </c>
      <c r="C311">
        <v>7.45</v>
      </c>
      <c r="D311">
        <v>3.43</v>
      </c>
      <c r="E311">
        <v>1.02</v>
      </c>
      <c r="F311" s="25">
        <v>7.46E-2</v>
      </c>
      <c r="G311">
        <v>1.1000000000000001</v>
      </c>
      <c r="H311">
        <v>1.91</v>
      </c>
      <c r="I311">
        <v>3.77</v>
      </c>
      <c r="J311">
        <v>5.67</v>
      </c>
      <c r="K311">
        <v>3.95</v>
      </c>
      <c r="L311">
        <v>3.84</v>
      </c>
      <c r="M311" s="25">
        <v>0.27060000000000001</v>
      </c>
      <c r="N311" s="25">
        <v>0.15640000000000001</v>
      </c>
      <c r="O311">
        <v>3.12</v>
      </c>
      <c r="P311" s="25">
        <v>0.45750000000000002</v>
      </c>
      <c r="Q311" s="25">
        <v>0.4607</v>
      </c>
      <c r="R311" s="26">
        <v>13864400</v>
      </c>
      <c r="S311" s="26">
        <v>801581000</v>
      </c>
      <c r="T311">
        <v>0.75</v>
      </c>
      <c r="U311" s="25">
        <v>0.2828</v>
      </c>
    </row>
    <row r="312" spans="1:21" hidden="1" x14ac:dyDescent="0.25">
      <c r="A312" t="s">
        <v>260</v>
      </c>
      <c r="B312">
        <v>1.65</v>
      </c>
      <c r="C312">
        <v>-7.0000000000000007E-2</v>
      </c>
      <c r="D312">
        <v>-0.02</v>
      </c>
      <c r="E312">
        <v>0.25600000000000001</v>
      </c>
      <c r="F312" s="25">
        <v>0</v>
      </c>
      <c r="G312">
        <v>8.4000000000000005E-2</v>
      </c>
      <c r="H312">
        <v>-0.02</v>
      </c>
      <c r="I312">
        <v>-0.54</v>
      </c>
      <c r="J312">
        <v>-0.02</v>
      </c>
      <c r="K312">
        <v>-21.61</v>
      </c>
      <c r="L312">
        <v>-32.9</v>
      </c>
      <c r="M312" s="25">
        <v>-0.4743</v>
      </c>
      <c r="N312" s="25">
        <v>-3.7662</v>
      </c>
      <c r="O312">
        <v>0.06</v>
      </c>
      <c r="P312" s="25">
        <v>-0.28239999999999998</v>
      </c>
      <c r="Q312" s="25">
        <v>0.30370000000000003</v>
      </c>
      <c r="R312" s="26">
        <v>739903</v>
      </c>
      <c r="S312" s="26">
        <v>-6411200000</v>
      </c>
      <c r="T312">
        <v>-0.81</v>
      </c>
      <c r="U312" s="25">
        <v>-0.47</v>
      </c>
    </row>
    <row r="313" spans="1:21" hidden="1" x14ac:dyDescent="0.25">
      <c r="A313" t="s">
        <v>145</v>
      </c>
      <c r="B313">
        <v>9.2799999999999994</v>
      </c>
      <c r="C313">
        <v>14.32</v>
      </c>
      <c r="D313">
        <v>1.1200000000000001</v>
      </c>
      <c r="E313">
        <v>0.28100000000000003</v>
      </c>
      <c r="F313" s="25">
        <v>3.9100000000000003E-2</v>
      </c>
      <c r="G313">
        <v>0.44</v>
      </c>
      <c r="H313">
        <v>1.65</v>
      </c>
      <c r="I313">
        <v>8.48</v>
      </c>
      <c r="J313">
        <v>-9.9</v>
      </c>
      <c r="K313">
        <v>14.67</v>
      </c>
      <c r="L313">
        <v>6.35</v>
      </c>
      <c r="M313" s="25">
        <v>3.3099999999999997E-2</v>
      </c>
      <c r="N313" s="25">
        <v>1.9599999999999999E-2</v>
      </c>
      <c r="O313">
        <v>1.9</v>
      </c>
      <c r="P313" s="25">
        <v>6.5500000000000003E-2</v>
      </c>
      <c r="Q313" s="25">
        <v>7.8200000000000006E-2</v>
      </c>
      <c r="R313" s="26">
        <v>4079320</v>
      </c>
      <c r="S313" s="26">
        <v>1245830000</v>
      </c>
      <c r="T313">
        <v>0.98</v>
      </c>
      <c r="U313" s="25">
        <v>0.1522</v>
      </c>
    </row>
    <row r="314" spans="1:21" hidden="1" x14ac:dyDescent="0.25">
      <c r="A314" t="s">
        <v>24</v>
      </c>
      <c r="B314">
        <v>6.65</v>
      </c>
      <c r="C314">
        <v>6.67</v>
      </c>
      <c r="D314">
        <v>1.91</v>
      </c>
      <c r="E314">
        <v>0.877</v>
      </c>
      <c r="F314" s="25">
        <v>8.6499999999999994E-2</v>
      </c>
      <c r="G314">
        <v>0.84099999999999997</v>
      </c>
      <c r="H314">
        <v>3.5</v>
      </c>
      <c r="I314">
        <v>5.6</v>
      </c>
      <c r="J314">
        <v>27.69</v>
      </c>
      <c r="K314">
        <v>6.59</v>
      </c>
      <c r="L314">
        <v>5.87</v>
      </c>
      <c r="M314" s="25">
        <v>0.15670000000000001</v>
      </c>
      <c r="N314" s="25">
        <v>0.1333</v>
      </c>
      <c r="O314">
        <v>1.7</v>
      </c>
      <c r="P314" s="25">
        <v>0.2054</v>
      </c>
      <c r="Q314" s="25">
        <v>0.28589999999999999</v>
      </c>
      <c r="R314" s="26">
        <v>1370680</v>
      </c>
      <c r="S314" s="26">
        <v>3960140000</v>
      </c>
      <c r="T314">
        <v>0.78</v>
      </c>
      <c r="U314" s="25">
        <v>0.2727</v>
      </c>
    </row>
    <row r="315" spans="1:21" hidden="1" x14ac:dyDescent="0.25">
      <c r="A315" t="s">
        <v>96</v>
      </c>
      <c r="B315">
        <v>8.3699999999999992</v>
      </c>
      <c r="C315">
        <v>8.4</v>
      </c>
      <c r="D315">
        <v>2.4</v>
      </c>
      <c r="E315">
        <v>1.1040000000000001</v>
      </c>
      <c r="F315" s="25">
        <v>6.8699999999999997E-2</v>
      </c>
      <c r="G315">
        <v>1.0589999999999999</v>
      </c>
      <c r="H315">
        <v>4.4000000000000004</v>
      </c>
      <c r="I315">
        <v>7.04</v>
      </c>
      <c r="J315">
        <v>34.85</v>
      </c>
      <c r="K315">
        <v>8.0399999999999991</v>
      </c>
      <c r="L315">
        <v>7.16</v>
      </c>
      <c r="M315" s="25">
        <v>0.15670000000000001</v>
      </c>
      <c r="N315" s="25">
        <v>0.1333</v>
      </c>
      <c r="O315">
        <v>1.7</v>
      </c>
      <c r="P315" s="25">
        <v>0.2054</v>
      </c>
      <c r="Q315" s="25">
        <v>0.28589999999999999</v>
      </c>
      <c r="R315" s="26">
        <v>68065600</v>
      </c>
      <c r="S315" s="26">
        <v>3960140000</v>
      </c>
      <c r="T315">
        <v>0.78</v>
      </c>
      <c r="U315" s="25">
        <v>0.2727</v>
      </c>
    </row>
    <row r="316" spans="1:21" hidden="1" x14ac:dyDescent="0.25">
      <c r="A316" t="s">
        <v>38</v>
      </c>
      <c r="B316">
        <v>17.670000000000002</v>
      </c>
      <c r="C316">
        <v>13.63</v>
      </c>
      <c r="D316">
        <v>2.84</v>
      </c>
      <c r="E316">
        <v>2.5529999999999999</v>
      </c>
      <c r="F316" s="25">
        <v>6.2799999999999995E-2</v>
      </c>
      <c r="G316">
        <v>1.1970000000000001</v>
      </c>
      <c r="H316">
        <v>57.87</v>
      </c>
      <c r="I316">
        <v>8.44</v>
      </c>
      <c r="J316">
        <v>-3.08</v>
      </c>
      <c r="K316">
        <v>10.74</v>
      </c>
      <c r="L316">
        <v>7.92</v>
      </c>
      <c r="M316" s="25">
        <v>0.30259999999999998</v>
      </c>
      <c r="N316" s="25">
        <v>0.18940000000000001</v>
      </c>
      <c r="O316">
        <v>1.1200000000000001</v>
      </c>
      <c r="P316" s="25">
        <v>0.16070000000000001</v>
      </c>
      <c r="Q316" s="25">
        <v>0.20810000000000001</v>
      </c>
      <c r="R316" s="26">
        <v>19269300</v>
      </c>
      <c r="S316" s="26">
        <v>2747140000</v>
      </c>
      <c r="T316">
        <v>0.99</v>
      </c>
      <c r="U316" s="25">
        <v>4.9299999999999997E-2</v>
      </c>
    </row>
    <row r="317" spans="1:21" hidden="1" x14ac:dyDescent="0.25">
      <c r="A317" t="s">
        <v>83</v>
      </c>
      <c r="B317">
        <v>4.3</v>
      </c>
      <c r="C317">
        <v>208.53</v>
      </c>
      <c r="D317">
        <v>0.38</v>
      </c>
      <c r="E317">
        <v>0.17899999999999999</v>
      </c>
      <c r="F317" s="25">
        <v>6.3700000000000007E-2</v>
      </c>
      <c r="G317">
        <v>0.14499999999999999</v>
      </c>
      <c r="H317">
        <v>0.44</v>
      </c>
      <c r="I317">
        <v>2.7</v>
      </c>
      <c r="J317">
        <v>3.65</v>
      </c>
      <c r="K317">
        <v>6.12</v>
      </c>
      <c r="L317">
        <v>4.78</v>
      </c>
      <c r="M317" s="25">
        <v>6.6199999999999995E-2</v>
      </c>
      <c r="N317" s="25">
        <v>2.3999999999999998E-3</v>
      </c>
      <c r="O317">
        <v>2.0299999999999998</v>
      </c>
      <c r="P317" s="25">
        <v>6.9900000000000004E-2</v>
      </c>
      <c r="Q317" s="25">
        <v>1.8E-3</v>
      </c>
      <c r="R317" s="26">
        <v>4346680</v>
      </c>
      <c r="S317" s="26">
        <v>1607650000</v>
      </c>
      <c r="T317">
        <v>0.77</v>
      </c>
      <c r="U317" s="25">
        <v>7.8299999999999995E-2</v>
      </c>
    </row>
    <row r="318" spans="1:21" hidden="1" x14ac:dyDescent="0.25">
      <c r="A318" t="s">
        <v>168</v>
      </c>
      <c r="B318">
        <v>42.47</v>
      </c>
      <c r="C318">
        <v>3.36</v>
      </c>
      <c r="D318">
        <v>1.43</v>
      </c>
      <c r="E318">
        <v>2.44</v>
      </c>
      <c r="F318" s="25">
        <v>0</v>
      </c>
      <c r="G318">
        <v>0.69499999999999995</v>
      </c>
      <c r="H318">
        <v>6.68</v>
      </c>
      <c r="I318">
        <v>6.21</v>
      </c>
      <c r="J318">
        <v>-1.91</v>
      </c>
      <c r="K318">
        <v>9.1300000000000008</v>
      </c>
      <c r="L318">
        <v>5.86</v>
      </c>
      <c r="M318" s="25">
        <v>0.39279999999999998</v>
      </c>
      <c r="N318" s="25">
        <v>0.72609999999999997</v>
      </c>
      <c r="O318">
        <v>3.19</v>
      </c>
      <c r="P318" s="25">
        <v>0.1234</v>
      </c>
      <c r="Q318" s="25">
        <v>0.42580000000000001</v>
      </c>
      <c r="R318" s="26">
        <v>387303000</v>
      </c>
      <c r="S318" s="26">
        <v>26603200000</v>
      </c>
      <c r="T318">
        <v>0.83</v>
      </c>
      <c r="U318" s="25">
        <v>0.59109999999999996</v>
      </c>
    </row>
    <row r="319" spans="1:21" hidden="1" x14ac:dyDescent="0.25">
      <c r="A319" t="s">
        <v>21</v>
      </c>
      <c r="B319">
        <v>15</v>
      </c>
      <c r="C319">
        <v>67.5</v>
      </c>
      <c r="D319">
        <v>2.04</v>
      </c>
      <c r="E319">
        <v>0.55900000000000005</v>
      </c>
      <c r="F319" s="25">
        <v>3.3999999999999998E-3</v>
      </c>
      <c r="G319">
        <v>0.496</v>
      </c>
      <c r="H319">
        <v>1.8</v>
      </c>
      <c r="I319">
        <v>7.19</v>
      </c>
      <c r="J319">
        <v>-2.72</v>
      </c>
      <c r="K319">
        <v>10.38</v>
      </c>
      <c r="L319">
        <v>6.58</v>
      </c>
      <c r="M319" s="25">
        <v>7.7799999999999994E-2</v>
      </c>
      <c r="N319" s="25">
        <v>2.3099999999999999E-2</v>
      </c>
      <c r="O319">
        <v>1.96</v>
      </c>
      <c r="P319" s="25">
        <v>9.6100000000000005E-2</v>
      </c>
      <c r="Q319" s="25">
        <v>3.0200000000000001E-2</v>
      </c>
      <c r="R319" s="26">
        <v>4697250</v>
      </c>
      <c r="S319" s="26">
        <v>343979000</v>
      </c>
      <c r="T319">
        <v>1.95</v>
      </c>
      <c r="U319" s="25">
        <v>0.48799999999999999</v>
      </c>
    </row>
    <row r="320" spans="1:21" hidden="1" x14ac:dyDescent="0.25">
      <c r="A320" t="s">
        <v>16</v>
      </c>
      <c r="B320">
        <v>52.1</v>
      </c>
      <c r="C320">
        <v>11.92</v>
      </c>
      <c r="D320">
        <v>2.4300000000000002</v>
      </c>
      <c r="E320">
        <v>0.92900000000000005</v>
      </c>
      <c r="F320" s="25">
        <v>3.3500000000000002E-2</v>
      </c>
      <c r="G320">
        <v>0.68100000000000005</v>
      </c>
      <c r="H320">
        <v>10.78</v>
      </c>
      <c r="I320">
        <v>1.1299999999999999</v>
      </c>
      <c r="J320">
        <v>-4.13</v>
      </c>
      <c r="K320">
        <v>0.8</v>
      </c>
      <c r="L320">
        <v>0.79</v>
      </c>
      <c r="M320" s="25">
        <v>0.81850000000000001</v>
      </c>
      <c r="N320" s="25">
        <v>7.9200000000000007E-2</v>
      </c>
      <c r="O320">
        <v>1.1299999999999999</v>
      </c>
      <c r="P320" s="25">
        <v>0.75109999999999999</v>
      </c>
      <c r="Q320" s="25">
        <v>0.2039</v>
      </c>
      <c r="R320" s="26">
        <v>107605000</v>
      </c>
      <c r="S320" s="26">
        <v>13856800000</v>
      </c>
      <c r="T320">
        <v>0</v>
      </c>
      <c r="U320" s="25">
        <v>0.18590000000000001</v>
      </c>
    </row>
    <row r="321" spans="1:21" hidden="1" x14ac:dyDescent="0.25">
      <c r="A321" t="s">
        <v>221</v>
      </c>
      <c r="B321">
        <v>3.94</v>
      </c>
      <c r="C321">
        <v>-4.87</v>
      </c>
      <c r="D321">
        <v>1.76</v>
      </c>
      <c r="E321">
        <v>0.22500000000000001</v>
      </c>
      <c r="F321" s="25">
        <v>0</v>
      </c>
      <c r="G321">
        <v>0.154</v>
      </c>
      <c r="H321">
        <v>-2.79</v>
      </c>
      <c r="I321">
        <v>7.06</v>
      </c>
      <c r="J321">
        <v>-0.28999999999999998</v>
      </c>
      <c r="K321">
        <v>19.88</v>
      </c>
      <c r="L321">
        <v>5.82</v>
      </c>
      <c r="M321" s="25">
        <v>3.1800000000000002E-2</v>
      </c>
      <c r="N321" s="25">
        <v>-4.6100000000000002E-2</v>
      </c>
      <c r="O321">
        <v>0.87</v>
      </c>
      <c r="P321" s="25">
        <v>3.15E-2</v>
      </c>
      <c r="Q321" s="25">
        <v>-0.36120000000000002</v>
      </c>
      <c r="R321" s="26">
        <v>1626920</v>
      </c>
      <c r="S321" s="26">
        <v>315773000</v>
      </c>
      <c r="T321">
        <v>4.5</v>
      </c>
      <c r="U321" s="25">
        <v>0.1201</v>
      </c>
    </row>
    <row r="322" spans="1:21" hidden="1" x14ac:dyDescent="0.25">
      <c r="A322" t="s">
        <v>438</v>
      </c>
      <c r="B322">
        <v>8.94</v>
      </c>
      <c r="C322">
        <v>11.14</v>
      </c>
      <c r="D322">
        <v>0.98</v>
      </c>
      <c r="E322">
        <v>0.52200000000000002</v>
      </c>
      <c r="F322" s="25">
        <v>3.0300000000000001E-2</v>
      </c>
      <c r="G322">
        <v>0.40400000000000003</v>
      </c>
      <c r="H322">
        <v>1.19</v>
      </c>
      <c r="I322">
        <v>12.07</v>
      </c>
      <c r="J322">
        <v>6.97</v>
      </c>
      <c r="K322">
        <v>16.05</v>
      </c>
      <c r="L322">
        <v>7.92</v>
      </c>
      <c r="M322" s="25">
        <v>4.3200000000000002E-2</v>
      </c>
      <c r="N322" s="25">
        <v>7.2099999999999997E-2</v>
      </c>
      <c r="O322">
        <v>2.56</v>
      </c>
      <c r="P322" s="25">
        <v>4.9299999999999997E-2</v>
      </c>
      <c r="Q322" s="25">
        <v>8.77E-2</v>
      </c>
      <c r="R322" s="26">
        <v>2411.1</v>
      </c>
      <c r="S322" s="26">
        <v>439823000</v>
      </c>
      <c r="T322">
        <v>0.88</v>
      </c>
      <c r="U322" s="25">
        <v>5.5800000000000002E-2</v>
      </c>
    </row>
    <row r="323" spans="1:21" hidden="1" x14ac:dyDescent="0.25">
      <c r="A323" t="s">
        <v>106</v>
      </c>
      <c r="B323">
        <v>4.75</v>
      </c>
      <c r="C323">
        <v>5.92</v>
      </c>
      <c r="D323">
        <v>0.52</v>
      </c>
      <c r="E323">
        <v>0.27700000000000002</v>
      </c>
      <c r="F323" s="25">
        <v>5.7000000000000002E-2</v>
      </c>
      <c r="G323">
        <v>0.215</v>
      </c>
      <c r="H323">
        <v>0.63</v>
      </c>
      <c r="I323">
        <v>6.41</v>
      </c>
      <c r="J323">
        <v>3.7</v>
      </c>
      <c r="K323">
        <v>10.39</v>
      </c>
      <c r="L323">
        <v>5.13</v>
      </c>
      <c r="M323" s="25">
        <v>4.3200000000000002E-2</v>
      </c>
      <c r="N323" s="25">
        <v>7.2099999999999997E-2</v>
      </c>
      <c r="O323">
        <v>2.56</v>
      </c>
      <c r="P323" s="25">
        <v>4.9299999999999997E-2</v>
      </c>
      <c r="Q323" s="25">
        <v>8.77E-2</v>
      </c>
      <c r="R323" s="26">
        <v>68324.7</v>
      </c>
      <c r="S323" s="26">
        <v>439823000</v>
      </c>
      <c r="T323">
        <v>0.88</v>
      </c>
      <c r="U323" s="25">
        <v>5.5800000000000002E-2</v>
      </c>
    </row>
    <row r="324" spans="1:21" hidden="1" x14ac:dyDescent="0.25">
      <c r="A324" t="s">
        <v>144</v>
      </c>
      <c r="B324">
        <v>1.67</v>
      </c>
      <c r="C324">
        <v>125.91</v>
      </c>
      <c r="D324">
        <v>0.37</v>
      </c>
      <c r="E324">
        <v>0.30599999999999999</v>
      </c>
      <c r="F324" s="25">
        <v>3.3E-3</v>
      </c>
      <c r="G324">
        <v>0.107</v>
      </c>
      <c r="H324">
        <v>3.44</v>
      </c>
      <c r="I324">
        <v>0.9</v>
      </c>
      <c r="J324">
        <v>-0.36</v>
      </c>
      <c r="K324">
        <v>2.56</v>
      </c>
      <c r="L324">
        <v>1.5</v>
      </c>
      <c r="M324" s="25">
        <v>0.33879999999999999</v>
      </c>
      <c r="N324" s="25">
        <v>8.0000000000000002E-3</v>
      </c>
      <c r="O324">
        <v>1.08</v>
      </c>
      <c r="P324" s="25">
        <v>0.1847</v>
      </c>
      <c r="Q324" s="25">
        <v>2.8999999999999998E-3</v>
      </c>
      <c r="R324" s="26">
        <v>3381620</v>
      </c>
      <c r="S324" s="26">
        <v>1297730000</v>
      </c>
      <c r="T324">
        <v>1.49</v>
      </c>
      <c r="U324" s="25">
        <v>-7.3200000000000001E-2</v>
      </c>
    </row>
    <row r="325" spans="1:21" hidden="1" x14ac:dyDescent="0.25">
      <c r="A325" t="s">
        <v>98</v>
      </c>
      <c r="B325">
        <v>14.17</v>
      </c>
      <c r="C325">
        <v>20.7</v>
      </c>
      <c r="D325">
        <v>3.75</v>
      </c>
      <c r="E325">
        <v>0.61099999999999999</v>
      </c>
      <c r="F325" s="25">
        <v>2.87E-2</v>
      </c>
      <c r="G325">
        <v>1.0760000000000001</v>
      </c>
      <c r="H325">
        <v>7.24</v>
      </c>
      <c r="I325">
        <v>10.56</v>
      </c>
      <c r="J325">
        <v>-8.0500000000000007</v>
      </c>
      <c r="K325">
        <v>11.73</v>
      </c>
      <c r="L325">
        <v>6.51</v>
      </c>
      <c r="M325" s="25">
        <v>5.79E-2</v>
      </c>
      <c r="N325" s="25">
        <v>2.9700000000000001E-2</v>
      </c>
      <c r="O325">
        <v>1.34</v>
      </c>
      <c r="P325" s="25">
        <v>0.1431</v>
      </c>
      <c r="Q325" s="25">
        <v>0.18129999999999999</v>
      </c>
      <c r="R325" s="26">
        <v>188858000</v>
      </c>
      <c r="S325" s="26">
        <v>6485910000</v>
      </c>
      <c r="T325">
        <v>0.49</v>
      </c>
      <c r="U325" s="25">
        <v>0.17849999999999999</v>
      </c>
    </row>
    <row r="326" spans="1:21" hidden="1" x14ac:dyDescent="0.25">
      <c r="A326" t="s">
        <v>54</v>
      </c>
      <c r="B326">
        <v>17.09</v>
      </c>
      <c r="C326">
        <v>-22.2</v>
      </c>
      <c r="D326">
        <v>2.17</v>
      </c>
      <c r="E326">
        <v>2.3039999999999998</v>
      </c>
      <c r="F326" s="25">
        <v>4.7399999999999998E-2</v>
      </c>
      <c r="G326">
        <v>0.61599999999999999</v>
      </c>
      <c r="H326">
        <v>6.22</v>
      </c>
      <c r="I326">
        <v>5.61</v>
      </c>
      <c r="J326">
        <v>-1.22</v>
      </c>
      <c r="K326">
        <v>7.92</v>
      </c>
      <c r="L326">
        <v>3.94</v>
      </c>
      <c r="M326" s="25">
        <v>0.41110000000000002</v>
      </c>
      <c r="N326" s="25">
        <v>-0.1028</v>
      </c>
      <c r="O326">
        <v>1.9</v>
      </c>
      <c r="P326" s="25">
        <v>0.13270000000000001</v>
      </c>
      <c r="Q326" s="25">
        <v>-9.7799999999999998E-2</v>
      </c>
      <c r="R326" s="26">
        <v>195166000</v>
      </c>
      <c r="S326" s="26">
        <v>14598900000</v>
      </c>
      <c r="T326">
        <v>1.44</v>
      </c>
      <c r="U326" s="25">
        <v>0.18099999999999999</v>
      </c>
    </row>
    <row r="327" spans="1:21" hidden="1" x14ac:dyDescent="0.25">
      <c r="A327" t="s">
        <v>231</v>
      </c>
      <c r="B327">
        <v>1.54</v>
      </c>
      <c r="C327">
        <v>-3.75</v>
      </c>
      <c r="D327">
        <v>0.91</v>
      </c>
      <c r="E327">
        <v>6.2E-2</v>
      </c>
      <c r="F327" s="25">
        <v>6.4999999999999997E-3</v>
      </c>
      <c r="G327">
        <v>0.113</v>
      </c>
      <c r="H327">
        <v>1.05</v>
      </c>
      <c r="I327">
        <v>6.52</v>
      </c>
      <c r="J327">
        <v>-0.26</v>
      </c>
      <c r="K327">
        <v>25.63</v>
      </c>
      <c r="L327">
        <v>5.31</v>
      </c>
      <c r="M327" s="25">
        <v>9.5999999999999992E-3</v>
      </c>
      <c r="N327" s="25">
        <v>-1.6400000000000001E-2</v>
      </c>
      <c r="O327">
        <v>1.33</v>
      </c>
      <c r="P327" s="25">
        <v>2.5100000000000001E-2</v>
      </c>
      <c r="Q327" s="25">
        <v>-0.24199999999999999</v>
      </c>
      <c r="R327" s="26">
        <v>25375700</v>
      </c>
      <c r="S327" s="26">
        <v>17588500000</v>
      </c>
      <c r="T327">
        <v>3.89</v>
      </c>
      <c r="U327" s="25">
        <v>0.25109999999999999</v>
      </c>
    </row>
    <row r="328" spans="1:21" hidden="1" x14ac:dyDescent="0.25">
      <c r="A328" t="s">
        <v>203</v>
      </c>
      <c r="B328">
        <v>7.25</v>
      </c>
      <c r="C328">
        <v>5.39</v>
      </c>
      <c r="D328">
        <v>1.23</v>
      </c>
      <c r="E328">
        <v>1.0429999999999999</v>
      </c>
      <c r="F328" s="25">
        <v>9.1399999999999995E-2</v>
      </c>
      <c r="G328">
        <v>0.47199999999999998</v>
      </c>
      <c r="H328">
        <v>1.86</v>
      </c>
      <c r="I328">
        <v>4.57</v>
      </c>
      <c r="J328">
        <v>-1.81</v>
      </c>
      <c r="K328">
        <v>7.47</v>
      </c>
      <c r="L328">
        <v>4.8600000000000003</v>
      </c>
      <c r="M328" s="25">
        <v>0.22800000000000001</v>
      </c>
      <c r="N328" s="25">
        <v>0.19350000000000001</v>
      </c>
      <c r="O328">
        <v>3.51</v>
      </c>
      <c r="P328" s="25">
        <v>0.13189999999999999</v>
      </c>
      <c r="Q328" s="25">
        <v>0.22839999999999999</v>
      </c>
      <c r="R328" s="26">
        <v>4789930</v>
      </c>
      <c r="S328" s="26">
        <v>1412250000</v>
      </c>
      <c r="T328">
        <v>1.25</v>
      </c>
      <c r="U328" s="25">
        <v>7.1400000000000005E-2</v>
      </c>
    </row>
    <row r="329" spans="1:21" hidden="1" x14ac:dyDescent="0.25">
      <c r="A329" t="s">
        <v>131</v>
      </c>
      <c r="B329">
        <v>7.15</v>
      </c>
      <c r="C329">
        <v>7.38</v>
      </c>
      <c r="D329">
        <v>0.76</v>
      </c>
      <c r="E329">
        <v>0.187</v>
      </c>
      <c r="F329" s="25">
        <v>3.5799999999999998E-2</v>
      </c>
      <c r="G329">
        <v>0.13</v>
      </c>
      <c r="H329">
        <v>0.46</v>
      </c>
      <c r="I329">
        <v>1.65</v>
      </c>
      <c r="J329">
        <v>-0.6</v>
      </c>
      <c r="K329">
        <v>6.41</v>
      </c>
      <c r="L329">
        <v>5.08</v>
      </c>
      <c r="M329" s="25">
        <v>0.1138</v>
      </c>
      <c r="N329" s="25">
        <v>4.6100000000000002E-2</v>
      </c>
      <c r="O329">
        <v>2.06</v>
      </c>
      <c r="P329" s="25">
        <v>9.9099999999999994E-2</v>
      </c>
      <c r="Q329" s="25">
        <v>0.1027</v>
      </c>
      <c r="R329" s="26">
        <v>269444</v>
      </c>
      <c r="S329" s="26">
        <v>3105150000</v>
      </c>
      <c r="T329">
        <v>2.93</v>
      </c>
      <c r="U329" s="25">
        <v>0.16830000000000001</v>
      </c>
    </row>
    <row r="330" spans="1:21" hidden="1" x14ac:dyDescent="0.25">
      <c r="A330" t="s">
        <v>130</v>
      </c>
      <c r="B330">
        <v>7.29</v>
      </c>
      <c r="C330">
        <v>7.53</v>
      </c>
      <c r="D330">
        <v>0.77</v>
      </c>
      <c r="E330">
        <v>0.191</v>
      </c>
      <c r="F330" s="25">
        <v>3.5099999999999999E-2</v>
      </c>
      <c r="G330">
        <v>0.13200000000000001</v>
      </c>
      <c r="H330">
        <v>0.47</v>
      </c>
      <c r="I330">
        <v>1.68</v>
      </c>
      <c r="J330">
        <v>-0.61</v>
      </c>
      <c r="K330">
        <v>6.45</v>
      </c>
      <c r="L330">
        <v>5.1100000000000003</v>
      </c>
      <c r="M330" s="25">
        <v>0.1138</v>
      </c>
      <c r="N330" s="25">
        <v>4.6100000000000002E-2</v>
      </c>
      <c r="O330">
        <v>2.06</v>
      </c>
      <c r="P330" s="25">
        <v>9.9099999999999994E-2</v>
      </c>
      <c r="Q330" s="25">
        <v>0.1027</v>
      </c>
      <c r="R330" s="26">
        <v>27828400</v>
      </c>
      <c r="S330" s="26">
        <v>3105150000</v>
      </c>
      <c r="T330">
        <v>2.93</v>
      </c>
      <c r="U330" s="25">
        <v>0.16830000000000001</v>
      </c>
    </row>
    <row r="331" spans="1:21" hidden="1" x14ac:dyDescent="0.25">
      <c r="A331" t="s">
        <v>263</v>
      </c>
      <c r="B331">
        <v>1.99</v>
      </c>
      <c r="C331">
        <v>-3.33</v>
      </c>
      <c r="D331">
        <v>-3.27</v>
      </c>
      <c r="E331">
        <v>5.8079999999999998</v>
      </c>
      <c r="F331" s="25">
        <v>0</v>
      </c>
      <c r="G331">
        <v>1.357</v>
      </c>
      <c r="H331">
        <v>-8.76</v>
      </c>
      <c r="I331">
        <v>-13.66</v>
      </c>
      <c r="J331">
        <v>-1.25</v>
      </c>
      <c r="K331">
        <v>-13.66</v>
      </c>
      <c r="L331">
        <v>-26.54</v>
      </c>
      <c r="M331" s="25">
        <v>-0.42530000000000001</v>
      </c>
      <c r="N331" s="25">
        <v>-1.8663000000000001</v>
      </c>
      <c r="O331">
        <v>0.68</v>
      </c>
      <c r="P331" s="25">
        <v>-0.1026</v>
      </c>
      <c r="Q331" s="25">
        <v>0.98080000000000001</v>
      </c>
      <c r="R331" s="26">
        <v>502996</v>
      </c>
      <c r="S331" s="26">
        <v>-19381000</v>
      </c>
      <c r="T331">
        <v>0</v>
      </c>
      <c r="U331" s="25">
        <v>-0.2402</v>
      </c>
    </row>
    <row r="332" spans="1:21" hidden="1" x14ac:dyDescent="0.25">
      <c r="A332" t="s">
        <v>172</v>
      </c>
      <c r="B332">
        <v>1.0900000000000001</v>
      </c>
      <c r="C332">
        <v>-1.82</v>
      </c>
      <c r="D332">
        <v>-1.79</v>
      </c>
      <c r="E332">
        <v>3.181</v>
      </c>
      <c r="F332" s="25">
        <v>0</v>
      </c>
      <c r="G332">
        <v>0.74399999999999999</v>
      </c>
      <c r="H332">
        <v>-4.8</v>
      </c>
      <c r="I332">
        <v>-7.48</v>
      </c>
      <c r="J332">
        <v>-0.69</v>
      </c>
      <c r="K332">
        <v>-7.48</v>
      </c>
      <c r="L332">
        <v>-14.54</v>
      </c>
      <c r="M332" s="25">
        <v>-0.42530000000000001</v>
      </c>
      <c r="N332" s="25">
        <v>-1.8663000000000001</v>
      </c>
      <c r="O332">
        <v>0.68</v>
      </c>
      <c r="P332" s="25">
        <v>-0.1026</v>
      </c>
      <c r="Q332" s="25">
        <v>0.98080000000000001</v>
      </c>
      <c r="R332" s="26">
        <v>3442960</v>
      </c>
      <c r="S332" s="26">
        <v>-19381000</v>
      </c>
      <c r="T332">
        <v>0</v>
      </c>
      <c r="U332" s="25">
        <v>-0.2402</v>
      </c>
    </row>
    <row r="333" spans="1:21" hidden="1" x14ac:dyDescent="0.25">
      <c r="A333" t="s">
        <v>224</v>
      </c>
      <c r="B333">
        <v>2.2999999999999998</v>
      </c>
      <c r="C333">
        <v>-0.73</v>
      </c>
      <c r="D333">
        <v>0.46</v>
      </c>
      <c r="E333">
        <v>0.20799999999999999</v>
      </c>
      <c r="F333" s="25">
        <v>0</v>
      </c>
      <c r="G333">
        <v>7.5999999999999998E-2</v>
      </c>
      <c r="H333">
        <v>0.35</v>
      </c>
      <c r="I333">
        <v>-1.86</v>
      </c>
      <c r="J333">
        <v>-0.23</v>
      </c>
      <c r="K333">
        <v>-11.72</v>
      </c>
      <c r="L333">
        <v>-13.33</v>
      </c>
      <c r="M333" s="25">
        <v>-0.1118</v>
      </c>
      <c r="N333" s="25">
        <v>-0.2767</v>
      </c>
      <c r="O333">
        <v>1.79</v>
      </c>
      <c r="P333" s="25">
        <v>-4.2700000000000002E-2</v>
      </c>
      <c r="Q333" s="25">
        <v>-0.62760000000000005</v>
      </c>
      <c r="R333" s="26">
        <v>16910.5</v>
      </c>
      <c r="S333" s="26">
        <v>220547000</v>
      </c>
      <c r="T333">
        <v>2.5499999999999998</v>
      </c>
      <c r="U333" s="25">
        <v>4.4600000000000001E-2</v>
      </c>
    </row>
    <row r="334" spans="1:21" hidden="1" x14ac:dyDescent="0.25">
      <c r="A334" t="s">
        <v>176</v>
      </c>
      <c r="B334">
        <v>33.1</v>
      </c>
      <c r="C334">
        <v>18.559999999999999</v>
      </c>
      <c r="D334">
        <v>3.03</v>
      </c>
      <c r="E334">
        <v>1.476</v>
      </c>
      <c r="F334" s="25">
        <v>2.2499999999999999E-2</v>
      </c>
      <c r="G334">
        <v>0.72599999999999998</v>
      </c>
      <c r="H334">
        <v>2.21</v>
      </c>
      <c r="I334">
        <v>9.6199999999999992</v>
      </c>
      <c r="J334">
        <v>-3.16</v>
      </c>
      <c r="K334">
        <v>9.35</v>
      </c>
      <c r="L334">
        <v>7.7</v>
      </c>
      <c r="M334" s="25">
        <v>0.15340000000000001</v>
      </c>
      <c r="N334" s="25">
        <v>8.1100000000000005E-2</v>
      </c>
      <c r="O334">
        <v>2.87</v>
      </c>
      <c r="P334" s="25">
        <v>0.12540000000000001</v>
      </c>
      <c r="Q334" s="25">
        <v>0.1633</v>
      </c>
      <c r="R334" s="26">
        <v>182197000</v>
      </c>
      <c r="S334" s="26">
        <v>25003000000</v>
      </c>
      <c r="T334">
        <v>1.51</v>
      </c>
      <c r="U334" s="25">
        <v>0.37930000000000003</v>
      </c>
    </row>
    <row r="335" spans="1:21" hidden="1" x14ac:dyDescent="0.25">
      <c r="A335" t="s">
        <v>439</v>
      </c>
      <c r="B335">
        <v>4.05</v>
      </c>
      <c r="C335">
        <v>42.91</v>
      </c>
      <c r="D335">
        <v>1.94</v>
      </c>
      <c r="E335">
        <v>9.3800000000000008</v>
      </c>
      <c r="F335" s="25">
        <v>0</v>
      </c>
      <c r="G335">
        <v>1.8240000000000001</v>
      </c>
      <c r="H335">
        <v>1.99</v>
      </c>
      <c r="I335">
        <v>-30.03</v>
      </c>
      <c r="J335">
        <v>2</v>
      </c>
      <c r="K335">
        <v>-14.61</v>
      </c>
      <c r="L335">
        <v>-20</v>
      </c>
      <c r="M335" s="25">
        <v>-0.31230000000000002</v>
      </c>
      <c r="N335" s="25">
        <v>0.21859999999999999</v>
      </c>
      <c r="O335">
        <v>16.47</v>
      </c>
      <c r="P335" s="25">
        <v>-1.5592999999999999</v>
      </c>
      <c r="Q335" s="25">
        <v>4.53E-2</v>
      </c>
      <c r="R335" s="26">
        <v>52716.5</v>
      </c>
      <c r="S335" s="26">
        <v>293687000</v>
      </c>
      <c r="T335">
        <v>0</v>
      </c>
      <c r="U335" s="25">
        <v>1.7399999999999999E-2</v>
      </c>
    </row>
    <row r="336" spans="1:21" hidden="1" x14ac:dyDescent="0.25">
      <c r="A336" t="s">
        <v>170</v>
      </c>
      <c r="B336">
        <v>13.55</v>
      </c>
      <c r="C336">
        <v>7.17</v>
      </c>
      <c r="D336">
        <v>0.89</v>
      </c>
      <c r="E336">
        <v>1.1759999999999999</v>
      </c>
      <c r="F336" s="25">
        <v>0.16189999999999999</v>
      </c>
      <c r="G336">
        <v>0.53300000000000003</v>
      </c>
      <c r="H336">
        <v>4.24</v>
      </c>
      <c r="I336">
        <v>3.9</v>
      </c>
      <c r="J336">
        <v>-2.81</v>
      </c>
      <c r="K336">
        <v>4.72</v>
      </c>
      <c r="L336">
        <v>2.79</v>
      </c>
      <c r="M336" s="25">
        <v>0.30180000000000001</v>
      </c>
      <c r="N336" s="25">
        <v>0.16420000000000001</v>
      </c>
      <c r="O336">
        <v>2.4700000000000002</v>
      </c>
      <c r="P336" s="25">
        <v>0.1681</v>
      </c>
      <c r="Q336" s="25">
        <v>0.12429999999999999</v>
      </c>
      <c r="R336" s="26">
        <v>38384100</v>
      </c>
      <c r="S336" s="26">
        <v>4463790000</v>
      </c>
      <c r="T336">
        <v>0.42</v>
      </c>
      <c r="U336" s="25">
        <v>0.26989999999999997</v>
      </c>
    </row>
    <row r="337" spans="1:21" hidden="1" x14ac:dyDescent="0.25">
      <c r="A337" t="s">
        <v>69</v>
      </c>
      <c r="B337">
        <v>6.4</v>
      </c>
      <c r="C337">
        <v>10.17</v>
      </c>
      <c r="D337">
        <v>3.25</v>
      </c>
      <c r="E337">
        <v>0.747</v>
      </c>
      <c r="F337" s="25">
        <v>6.6100000000000006E-2</v>
      </c>
      <c r="G337">
        <v>0.44900000000000001</v>
      </c>
      <c r="H337">
        <v>6.14</v>
      </c>
      <c r="I337">
        <v>3.92</v>
      </c>
      <c r="J337">
        <v>-0.85</v>
      </c>
      <c r="K337">
        <v>7.72</v>
      </c>
      <c r="L337">
        <v>6.11</v>
      </c>
      <c r="M337" s="25">
        <v>0.1908</v>
      </c>
      <c r="N337" s="25">
        <v>0.10059999999999999</v>
      </c>
      <c r="O337">
        <v>1.38</v>
      </c>
      <c r="P337" s="25">
        <v>0.13450000000000001</v>
      </c>
      <c r="Q337" s="25">
        <v>0.31929999999999997</v>
      </c>
      <c r="R337" s="26">
        <v>8768.36</v>
      </c>
      <c r="S337" s="26">
        <v>4157530000</v>
      </c>
      <c r="T337">
        <v>3.88</v>
      </c>
      <c r="U337" s="25">
        <v>9.06E-2</v>
      </c>
    </row>
    <row r="338" spans="1:21" hidden="1" x14ac:dyDescent="0.25">
      <c r="A338" t="s">
        <v>129</v>
      </c>
      <c r="B338">
        <v>36.229999999999997</v>
      </c>
      <c r="C338">
        <v>20.399999999999999</v>
      </c>
      <c r="D338">
        <v>1.48</v>
      </c>
      <c r="E338">
        <v>1.0129999999999999</v>
      </c>
      <c r="F338" s="25">
        <v>4.87E-2</v>
      </c>
      <c r="G338">
        <v>0.48499999999999999</v>
      </c>
      <c r="H338">
        <v>7.44</v>
      </c>
      <c r="I338">
        <v>6.52</v>
      </c>
      <c r="J338">
        <v>-1.06</v>
      </c>
      <c r="K338">
        <v>12.27</v>
      </c>
      <c r="L338">
        <v>5.99</v>
      </c>
      <c r="M338" s="25">
        <v>0.15540000000000001</v>
      </c>
      <c r="N338" s="25">
        <v>4.9599999999999998E-2</v>
      </c>
      <c r="O338">
        <v>1.43</v>
      </c>
      <c r="P338" s="25">
        <v>8.9300000000000004E-2</v>
      </c>
      <c r="Q338" s="25">
        <v>7.2800000000000004E-2</v>
      </c>
      <c r="R338" s="26">
        <v>355454000</v>
      </c>
      <c r="S338" s="26">
        <v>26432600000</v>
      </c>
      <c r="T338">
        <v>1.62</v>
      </c>
      <c r="U338" s="25">
        <v>0.4466</v>
      </c>
    </row>
    <row r="339" spans="1:21" hidden="1" x14ac:dyDescent="0.25">
      <c r="A339" t="s">
        <v>440</v>
      </c>
      <c r="B339">
        <v>3.9</v>
      </c>
      <c r="C339">
        <v>-4.29</v>
      </c>
      <c r="D339">
        <v>0.64</v>
      </c>
      <c r="E339">
        <v>1.609</v>
      </c>
      <c r="F339" s="25">
        <v>0</v>
      </c>
      <c r="G339">
        <v>0.153</v>
      </c>
      <c r="H339">
        <v>-3.24</v>
      </c>
      <c r="I339">
        <v>-6.51</v>
      </c>
      <c r="J339">
        <v>-0.24</v>
      </c>
      <c r="K339">
        <v>-20.52</v>
      </c>
      <c r="L339">
        <v>48.8</v>
      </c>
      <c r="M339" s="25">
        <v>-0.247</v>
      </c>
      <c r="N339" s="25">
        <v>-0.37469999999999998</v>
      </c>
      <c r="O339">
        <v>0.72</v>
      </c>
      <c r="P339" s="25">
        <v>-2.4899999999999999E-2</v>
      </c>
      <c r="Q339" s="25">
        <v>-0.14860000000000001</v>
      </c>
      <c r="R339" s="26">
        <v>24228.1</v>
      </c>
      <c r="S339" s="26">
        <v>758413000</v>
      </c>
      <c r="T339">
        <v>1.51</v>
      </c>
      <c r="U339" s="25">
        <v>0.39360000000000001</v>
      </c>
    </row>
    <row r="340" spans="1:21" hidden="1" x14ac:dyDescent="0.25">
      <c r="A340" t="s">
        <v>70</v>
      </c>
      <c r="B340">
        <v>1.3</v>
      </c>
      <c r="C340">
        <v>-4.29</v>
      </c>
      <c r="D340">
        <v>0.64</v>
      </c>
      <c r="E340">
        <v>1.609</v>
      </c>
      <c r="F340" s="25">
        <v>0</v>
      </c>
      <c r="G340">
        <v>0.153</v>
      </c>
      <c r="H340">
        <v>-3.24</v>
      </c>
      <c r="I340">
        <v>-6.51</v>
      </c>
      <c r="J340">
        <v>-0.24</v>
      </c>
      <c r="K340">
        <v>-20.52</v>
      </c>
      <c r="L340">
        <v>48.8</v>
      </c>
      <c r="M340" s="25">
        <v>-0.247</v>
      </c>
      <c r="N340" s="25">
        <v>-0.37469999999999998</v>
      </c>
      <c r="O340">
        <v>0.72</v>
      </c>
      <c r="P340" s="25">
        <v>-2.4899999999999999E-2</v>
      </c>
      <c r="Q340" s="25">
        <v>-0.14860000000000001</v>
      </c>
      <c r="R340" s="26">
        <v>100664</v>
      </c>
      <c r="S340" s="26">
        <v>758413000</v>
      </c>
      <c r="T340">
        <v>1.51</v>
      </c>
      <c r="U340" s="25">
        <v>0.39360000000000001</v>
      </c>
    </row>
    <row r="341" spans="1:21" hidden="1" x14ac:dyDescent="0.25">
      <c r="A341" t="s">
        <v>88</v>
      </c>
      <c r="B341">
        <v>1.3</v>
      </c>
      <c r="C341">
        <v>-4.29</v>
      </c>
      <c r="D341">
        <v>0.64</v>
      </c>
      <c r="E341">
        <v>1.609</v>
      </c>
      <c r="F341" s="25">
        <v>0</v>
      </c>
      <c r="G341">
        <v>0.153</v>
      </c>
      <c r="H341">
        <v>-3.24</v>
      </c>
      <c r="I341">
        <v>-6.51</v>
      </c>
      <c r="J341">
        <v>-0.24</v>
      </c>
      <c r="K341">
        <v>-20.52</v>
      </c>
      <c r="L341">
        <v>48.8</v>
      </c>
      <c r="M341" s="25">
        <v>-0.247</v>
      </c>
      <c r="N341" s="25">
        <v>-0.37469999999999998</v>
      </c>
      <c r="O341">
        <v>0.72</v>
      </c>
      <c r="P341" s="25">
        <v>-2.4899999999999999E-2</v>
      </c>
      <c r="Q341" s="25">
        <v>-0.14860000000000001</v>
      </c>
      <c r="R341" s="26">
        <v>211746</v>
      </c>
      <c r="S341" s="26">
        <v>758413000</v>
      </c>
      <c r="T341">
        <v>1.51</v>
      </c>
      <c r="U341" s="25">
        <v>0.39360000000000001</v>
      </c>
    </row>
    <row r="342" spans="1:21" hidden="1" x14ac:dyDescent="0.25">
      <c r="A342" t="s">
        <v>52</v>
      </c>
      <c r="B342">
        <v>8.43</v>
      </c>
      <c r="C342">
        <v>8.59</v>
      </c>
      <c r="D342">
        <v>0.64</v>
      </c>
      <c r="E342">
        <v>0.60199999999999998</v>
      </c>
      <c r="F342" s="25">
        <v>9.7299999999999998E-2</v>
      </c>
      <c r="G342">
        <v>0.313</v>
      </c>
      <c r="H342">
        <v>0.97</v>
      </c>
      <c r="I342">
        <v>10.72</v>
      </c>
      <c r="J342">
        <v>3.7</v>
      </c>
      <c r="K342">
        <v>17.93</v>
      </c>
      <c r="L342">
        <v>9.49</v>
      </c>
      <c r="M342" s="25">
        <v>5.6099999999999997E-2</v>
      </c>
      <c r="N342" s="25">
        <v>7.0800000000000002E-2</v>
      </c>
      <c r="O342">
        <v>2.17</v>
      </c>
      <c r="P342" s="25">
        <v>3.39E-2</v>
      </c>
      <c r="Q342" s="25">
        <v>7.4800000000000005E-2</v>
      </c>
      <c r="R342" s="26">
        <v>980563</v>
      </c>
      <c r="S342" s="26">
        <v>1221270000</v>
      </c>
      <c r="T342">
        <v>0.63</v>
      </c>
      <c r="U342" s="25">
        <v>-3.8999999999999998E-3</v>
      </c>
    </row>
    <row r="343" spans="1:21" hidden="1" x14ac:dyDescent="0.25">
      <c r="A343" t="s">
        <v>441</v>
      </c>
      <c r="B343">
        <v>4.5999999999999996</v>
      </c>
      <c r="C343">
        <v>-3.26</v>
      </c>
      <c r="D343">
        <v>0.41</v>
      </c>
      <c r="E343">
        <v>0</v>
      </c>
      <c r="F343" s="25">
        <v>0</v>
      </c>
      <c r="G343">
        <v>0.40600000000000003</v>
      </c>
      <c r="H343">
        <v>3.18</v>
      </c>
      <c r="I343">
        <v>-202.46</v>
      </c>
      <c r="J343">
        <v>3.37</v>
      </c>
      <c r="K343">
        <v>-138.32</v>
      </c>
      <c r="L343">
        <v>-138.32</v>
      </c>
      <c r="M343" s="25">
        <v>0</v>
      </c>
      <c r="N343" s="25">
        <v>0</v>
      </c>
      <c r="O343">
        <v>31.58</v>
      </c>
      <c r="P343" s="25">
        <v>-2.3E-3</v>
      </c>
      <c r="Q343" s="25">
        <v>-0.12570000000000001</v>
      </c>
      <c r="R343" s="26">
        <v>539.19000000000005</v>
      </c>
      <c r="S343" s="26">
        <v>949721000</v>
      </c>
      <c r="T343">
        <v>0</v>
      </c>
      <c r="U343" s="25">
        <v>0</v>
      </c>
    </row>
    <row r="344" spans="1:21" hidden="1" x14ac:dyDescent="0.25">
      <c r="A344" t="s">
        <v>442</v>
      </c>
      <c r="B344">
        <v>7.15</v>
      </c>
      <c r="C344">
        <v>-5.07</v>
      </c>
      <c r="D344">
        <v>0.64</v>
      </c>
      <c r="E344">
        <v>0</v>
      </c>
      <c r="F344" s="25">
        <v>8.6499999999999994E-2</v>
      </c>
      <c r="G344">
        <v>0.63</v>
      </c>
      <c r="H344">
        <v>4.95</v>
      </c>
      <c r="I344">
        <v>-314.7</v>
      </c>
      <c r="J344">
        <v>5.23</v>
      </c>
      <c r="K344">
        <v>-250.55</v>
      </c>
      <c r="L344">
        <v>-250.55</v>
      </c>
      <c r="M344" s="25">
        <v>0</v>
      </c>
      <c r="N344" s="25">
        <v>0</v>
      </c>
      <c r="O344">
        <v>31.58</v>
      </c>
      <c r="P344" s="25">
        <v>-2.3E-3</v>
      </c>
      <c r="Q344" s="25">
        <v>-0.12570000000000001</v>
      </c>
      <c r="R344" s="26">
        <v>208.21</v>
      </c>
      <c r="S344" s="26">
        <v>949721000</v>
      </c>
      <c r="T344">
        <v>0</v>
      </c>
      <c r="U344" s="25">
        <v>0</v>
      </c>
    </row>
    <row r="345" spans="1:21" hidden="1" x14ac:dyDescent="0.25">
      <c r="A345" t="s">
        <v>443</v>
      </c>
      <c r="B345">
        <v>4.04</v>
      </c>
      <c r="C345">
        <v>-2.87</v>
      </c>
      <c r="D345">
        <v>0.36</v>
      </c>
      <c r="E345">
        <v>0</v>
      </c>
      <c r="F345" s="25">
        <v>0</v>
      </c>
      <c r="G345">
        <v>0.35599999999999998</v>
      </c>
      <c r="H345">
        <v>2.79</v>
      </c>
      <c r="I345">
        <v>-177.82</v>
      </c>
      <c r="J345">
        <v>2.96</v>
      </c>
      <c r="K345">
        <v>-113.67</v>
      </c>
      <c r="L345">
        <v>-113.67</v>
      </c>
      <c r="M345" s="25">
        <v>0</v>
      </c>
      <c r="N345" s="25">
        <v>0</v>
      </c>
      <c r="O345">
        <v>31.58</v>
      </c>
      <c r="P345" s="25">
        <v>-2.3E-3</v>
      </c>
      <c r="Q345" s="25">
        <v>-0.12570000000000001</v>
      </c>
      <c r="R345" s="26">
        <v>240.17</v>
      </c>
      <c r="S345" s="26">
        <v>949721000</v>
      </c>
      <c r="T345">
        <v>0</v>
      </c>
      <c r="U345" s="25">
        <v>0</v>
      </c>
    </row>
    <row r="346" spans="1:21" hidden="1" x14ac:dyDescent="0.25">
      <c r="A346" t="s">
        <v>8</v>
      </c>
      <c r="B346">
        <v>2.98</v>
      </c>
      <c r="C346">
        <v>-0.15</v>
      </c>
      <c r="D346">
        <v>-0.03</v>
      </c>
      <c r="E346">
        <v>2.7E-2</v>
      </c>
      <c r="F346" s="25">
        <v>0</v>
      </c>
      <c r="G346">
        <v>2.1999999999999999E-2</v>
      </c>
      <c r="H346">
        <v>-0.08</v>
      </c>
      <c r="I346">
        <v>-0.13</v>
      </c>
      <c r="J346">
        <v>-0.03</v>
      </c>
      <c r="K346">
        <v>-0.1</v>
      </c>
      <c r="L346">
        <v>-0.1</v>
      </c>
      <c r="M346" s="25">
        <v>-0.21099999999999999</v>
      </c>
      <c r="N346" s="25">
        <v>-0.17660000000000001</v>
      </c>
      <c r="O346">
        <v>0.78</v>
      </c>
      <c r="P346" s="25">
        <v>-0.17799999999999999</v>
      </c>
      <c r="Q346" s="25">
        <v>0.19389999999999999</v>
      </c>
      <c r="R346" s="26">
        <v>12343.3</v>
      </c>
      <c r="S346" s="26">
        <v>-6919010000</v>
      </c>
      <c r="T346">
        <v>0</v>
      </c>
      <c r="U346" s="25">
        <v>0.46329999999999999</v>
      </c>
    </row>
    <row r="347" spans="1:21" hidden="1" x14ac:dyDescent="0.25">
      <c r="A347" t="s">
        <v>256</v>
      </c>
      <c r="B347">
        <v>1.96</v>
      </c>
      <c r="C347">
        <v>0.14000000000000001</v>
      </c>
      <c r="D347">
        <v>-0.04</v>
      </c>
      <c r="E347">
        <v>0.47099999999999997</v>
      </c>
      <c r="F347" s="25">
        <v>0</v>
      </c>
      <c r="G347">
        <v>7.9000000000000001E-2</v>
      </c>
      <c r="H347">
        <v>-0.13</v>
      </c>
      <c r="I347">
        <v>-3.38</v>
      </c>
      <c r="J347">
        <v>-0.03</v>
      </c>
      <c r="K347">
        <v>-33.26</v>
      </c>
      <c r="L347">
        <v>-33.700000000000003</v>
      </c>
      <c r="M347" s="25">
        <v>-0.13950000000000001</v>
      </c>
      <c r="N347" s="25">
        <v>3.2847</v>
      </c>
      <c r="O347">
        <v>0.45</v>
      </c>
      <c r="P347" s="25">
        <v>-2.5100000000000001E-2</v>
      </c>
      <c r="Q347" s="25">
        <v>-0.28420000000000001</v>
      </c>
      <c r="R347" s="26">
        <v>46558</v>
      </c>
      <c r="S347" s="26">
        <v>-972057000</v>
      </c>
      <c r="T347">
        <v>-0.39</v>
      </c>
      <c r="U347" s="25">
        <v>2.1999999999999999E-2</v>
      </c>
    </row>
    <row r="348" spans="1:21" hidden="1" x14ac:dyDescent="0.25">
      <c r="A348" t="s">
        <v>444</v>
      </c>
      <c r="B348">
        <v>68.959999999999994</v>
      </c>
      <c r="C348">
        <v>7.14</v>
      </c>
      <c r="D348">
        <v>1.67</v>
      </c>
      <c r="E348">
        <v>1.08</v>
      </c>
      <c r="F348" s="25">
        <v>3.2599999999999997E-2</v>
      </c>
      <c r="G348">
        <v>1.0049999999999999</v>
      </c>
      <c r="H348">
        <v>2.86</v>
      </c>
      <c r="I348">
        <v>4.76</v>
      </c>
      <c r="J348">
        <v>5.99</v>
      </c>
      <c r="K348">
        <v>4.3099999999999996</v>
      </c>
      <c r="L348">
        <v>4.01</v>
      </c>
      <c r="M348" s="25">
        <v>0.2268</v>
      </c>
      <c r="N348" s="25">
        <v>0.15110000000000001</v>
      </c>
      <c r="O348">
        <v>2.65</v>
      </c>
      <c r="P348" s="25">
        <v>0.2596</v>
      </c>
      <c r="Q348" s="25">
        <v>0.2336</v>
      </c>
      <c r="R348" s="26">
        <v>80622.8</v>
      </c>
      <c r="S348" s="26">
        <v>250923000</v>
      </c>
      <c r="T348">
        <v>0.06</v>
      </c>
      <c r="U348" s="25">
        <v>0.1169</v>
      </c>
    </row>
    <row r="349" spans="1:21" hidden="1" x14ac:dyDescent="0.25">
      <c r="A349" t="s">
        <v>445</v>
      </c>
      <c r="B349">
        <v>26.52</v>
      </c>
      <c r="C349">
        <v>7.18</v>
      </c>
      <c r="D349">
        <v>1.1000000000000001</v>
      </c>
      <c r="E349">
        <v>0</v>
      </c>
      <c r="F349" s="25">
        <v>6.5699999999999995E-2</v>
      </c>
      <c r="G349">
        <v>0</v>
      </c>
      <c r="H349">
        <v>0</v>
      </c>
      <c r="I349">
        <v>0</v>
      </c>
      <c r="J349">
        <v>0</v>
      </c>
      <c r="K349">
        <v>0</v>
      </c>
      <c r="L349">
        <v>0</v>
      </c>
      <c r="M349" s="25">
        <v>0</v>
      </c>
      <c r="N349" s="25">
        <v>0</v>
      </c>
      <c r="O349">
        <v>0</v>
      </c>
      <c r="P349" s="25">
        <v>0</v>
      </c>
      <c r="Q349" s="25">
        <v>0.15379999999999999</v>
      </c>
      <c r="R349" s="26">
        <v>87122000</v>
      </c>
      <c r="S349" s="26">
        <v>90014800000</v>
      </c>
      <c r="T349">
        <v>0</v>
      </c>
      <c r="U349" s="25">
        <v>-8.0100000000000005E-2</v>
      </c>
    </row>
    <row r="350" spans="1:21" hidden="1" x14ac:dyDescent="0.25">
      <c r="A350" t="s">
        <v>30</v>
      </c>
      <c r="B350">
        <v>12.63</v>
      </c>
      <c r="C350">
        <v>6.84</v>
      </c>
      <c r="D350">
        <v>1.05</v>
      </c>
      <c r="E350">
        <v>0</v>
      </c>
      <c r="F350" s="25">
        <v>6.5699999999999995E-2</v>
      </c>
      <c r="G350">
        <v>0</v>
      </c>
      <c r="H350">
        <v>0</v>
      </c>
      <c r="I350">
        <v>0</v>
      </c>
      <c r="J350">
        <v>0</v>
      </c>
      <c r="K350">
        <v>0</v>
      </c>
      <c r="L350">
        <v>0</v>
      </c>
      <c r="M350" s="25">
        <v>0</v>
      </c>
      <c r="N350" s="25">
        <v>0</v>
      </c>
      <c r="O350">
        <v>0</v>
      </c>
      <c r="P350" s="25">
        <v>0</v>
      </c>
      <c r="Q350" s="25">
        <v>0.15379999999999999</v>
      </c>
      <c r="R350" s="26">
        <v>1073000</v>
      </c>
      <c r="S350" s="26">
        <v>90014800000</v>
      </c>
      <c r="T350">
        <v>0</v>
      </c>
      <c r="U350" s="25">
        <v>-8.0100000000000005E-2</v>
      </c>
    </row>
    <row r="351" spans="1:21" hidden="1" x14ac:dyDescent="0.25">
      <c r="A351" t="s">
        <v>12</v>
      </c>
      <c r="B351">
        <v>13.87</v>
      </c>
      <c r="C351">
        <v>7.51</v>
      </c>
      <c r="D351">
        <v>1.1599999999999999</v>
      </c>
      <c r="E351">
        <v>0</v>
      </c>
      <c r="F351" s="25">
        <v>6.5799999999999997E-2</v>
      </c>
      <c r="G351">
        <v>0</v>
      </c>
      <c r="H351">
        <v>0</v>
      </c>
      <c r="I351">
        <v>0</v>
      </c>
      <c r="J351">
        <v>0</v>
      </c>
      <c r="K351">
        <v>0</v>
      </c>
      <c r="L351">
        <v>0</v>
      </c>
      <c r="M351" s="25">
        <v>0</v>
      </c>
      <c r="N351" s="25">
        <v>0</v>
      </c>
      <c r="O351">
        <v>0</v>
      </c>
      <c r="P351" s="25">
        <v>0</v>
      </c>
      <c r="Q351" s="25">
        <v>0.15379999999999999</v>
      </c>
      <c r="R351" s="26">
        <v>1168520</v>
      </c>
      <c r="S351" s="26">
        <v>90014800000</v>
      </c>
      <c r="T351">
        <v>0</v>
      </c>
      <c r="U351" s="25">
        <v>-8.0100000000000005E-2</v>
      </c>
    </row>
    <row r="352" spans="1:21" hidden="1" x14ac:dyDescent="0.25">
      <c r="A352" t="s">
        <v>446</v>
      </c>
      <c r="B352">
        <v>35.1</v>
      </c>
      <c r="C352">
        <v>4.47</v>
      </c>
      <c r="D352">
        <v>0.88</v>
      </c>
      <c r="E352">
        <v>1.5249999999999999</v>
      </c>
      <c r="F352" s="25">
        <v>6.2899999999999998E-2</v>
      </c>
      <c r="G352">
        <v>0.42599999999999999</v>
      </c>
      <c r="H352">
        <v>9.81</v>
      </c>
      <c r="I352">
        <v>5.67</v>
      </c>
      <c r="J352">
        <v>-1.1200000000000001</v>
      </c>
      <c r="K352">
        <v>8.2200000000000006</v>
      </c>
      <c r="L352">
        <v>6.28</v>
      </c>
      <c r="M352" s="25">
        <v>0.26879999999999998</v>
      </c>
      <c r="N352" s="25">
        <v>0.34129999999999999</v>
      </c>
      <c r="O352">
        <v>1.47</v>
      </c>
      <c r="P352" s="25">
        <v>8.2299999999999998E-2</v>
      </c>
      <c r="Q352" s="25">
        <v>0.19719999999999999</v>
      </c>
      <c r="R352" s="26">
        <v>49478600</v>
      </c>
      <c r="S352" s="26">
        <v>12036700000</v>
      </c>
      <c r="T352">
        <v>0.55000000000000004</v>
      </c>
      <c r="U352" s="25">
        <v>9.9000000000000005E-2</v>
      </c>
    </row>
    <row r="353" spans="1:21" hidden="1" x14ac:dyDescent="0.25">
      <c r="A353" t="s">
        <v>35</v>
      </c>
      <c r="B353">
        <v>7.69</v>
      </c>
      <c r="C353">
        <v>4.9000000000000004</v>
      </c>
      <c r="D353">
        <v>0.97</v>
      </c>
      <c r="E353">
        <v>1.671</v>
      </c>
      <c r="F353" s="25">
        <v>5.3199999999999997E-2</v>
      </c>
      <c r="G353">
        <v>0.46700000000000003</v>
      </c>
      <c r="H353">
        <v>10.74</v>
      </c>
      <c r="I353">
        <v>6.21</v>
      </c>
      <c r="J353">
        <v>-1.23</v>
      </c>
      <c r="K353">
        <v>8.76</v>
      </c>
      <c r="L353">
        <v>6.69</v>
      </c>
      <c r="M353" s="25">
        <v>0.26879999999999998</v>
      </c>
      <c r="N353" s="25">
        <v>0.34129999999999999</v>
      </c>
      <c r="O353">
        <v>1.47</v>
      </c>
      <c r="P353" s="25">
        <v>8.2299999999999998E-2</v>
      </c>
      <c r="Q353" s="25">
        <v>0.19719999999999999</v>
      </c>
      <c r="R353" s="26">
        <v>1703430</v>
      </c>
      <c r="S353" s="26">
        <v>12036700000</v>
      </c>
      <c r="T353">
        <v>0.55000000000000004</v>
      </c>
      <c r="U353" s="25">
        <v>9.9000000000000005E-2</v>
      </c>
    </row>
    <row r="354" spans="1:21" hidden="1" x14ac:dyDescent="0.25">
      <c r="A354" t="s">
        <v>86</v>
      </c>
      <c r="B354">
        <v>6.81</v>
      </c>
      <c r="C354">
        <v>4.34</v>
      </c>
      <c r="D354">
        <v>0.85</v>
      </c>
      <c r="E354">
        <v>1.48</v>
      </c>
      <c r="F354" s="25">
        <v>6.6100000000000006E-2</v>
      </c>
      <c r="G354">
        <v>0.41399999999999998</v>
      </c>
      <c r="H354">
        <v>9.51</v>
      </c>
      <c r="I354">
        <v>5.5</v>
      </c>
      <c r="J354">
        <v>-1.0900000000000001</v>
      </c>
      <c r="K354">
        <v>8.0500000000000007</v>
      </c>
      <c r="L354">
        <v>6.15</v>
      </c>
      <c r="M354" s="25">
        <v>0.26879999999999998</v>
      </c>
      <c r="N354" s="25">
        <v>0.34129999999999999</v>
      </c>
      <c r="O354">
        <v>1.47</v>
      </c>
      <c r="P354" s="25">
        <v>8.2299999999999998E-2</v>
      </c>
      <c r="Q354" s="25">
        <v>0.19719999999999999</v>
      </c>
      <c r="R354" s="26">
        <v>9221860</v>
      </c>
      <c r="S354" s="26">
        <v>12036700000</v>
      </c>
      <c r="T354">
        <v>0.55000000000000004</v>
      </c>
      <c r="U354" s="25">
        <v>9.9000000000000005E-2</v>
      </c>
    </row>
    <row r="355" spans="1:21" hidden="1" x14ac:dyDescent="0.25">
      <c r="A355" t="s">
        <v>200</v>
      </c>
      <c r="B355">
        <v>12.15</v>
      </c>
      <c r="C355">
        <v>5.24</v>
      </c>
      <c r="D355">
        <v>1.02</v>
      </c>
      <c r="E355">
        <v>0.41099999999999998</v>
      </c>
      <c r="F355" s="25">
        <v>4.5100000000000001E-2</v>
      </c>
      <c r="G355">
        <v>0.35099999999999998</v>
      </c>
      <c r="H355">
        <v>2.09</v>
      </c>
      <c r="I355">
        <v>5.03</v>
      </c>
      <c r="J355">
        <v>-2.42</v>
      </c>
      <c r="K355">
        <v>8.1300000000000008</v>
      </c>
      <c r="L355">
        <v>4.72</v>
      </c>
      <c r="M355" s="25">
        <v>8.1799999999999998E-2</v>
      </c>
      <c r="N355" s="25">
        <v>7.8399999999999997E-2</v>
      </c>
      <c r="O355">
        <v>1.49</v>
      </c>
      <c r="P355" s="25">
        <v>8.8300000000000003E-2</v>
      </c>
      <c r="Q355" s="25">
        <v>0.1946</v>
      </c>
      <c r="R355" s="26">
        <v>19358000</v>
      </c>
      <c r="S355" s="26">
        <v>2907110000</v>
      </c>
      <c r="T355">
        <v>0.91</v>
      </c>
      <c r="U355" s="25">
        <v>0.24249999999999999</v>
      </c>
    </row>
    <row r="356" spans="1:21" hidden="1" x14ac:dyDescent="0.25">
      <c r="A356" t="s">
        <v>104</v>
      </c>
      <c r="B356">
        <v>110.94</v>
      </c>
      <c r="C356">
        <v>7.41</v>
      </c>
      <c r="D356">
        <v>1.97</v>
      </c>
      <c r="E356">
        <v>1.9950000000000001</v>
      </c>
      <c r="F356" s="25">
        <v>3.3599999999999998E-2</v>
      </c>
      <c r="G356">
        <v>0.88500000000000001</v>
      </c>
      <c r="H356">
        <v>69.599999999999994</v>
      </c>
      <c r="I356">
        <v>4.4800000000000004</v>
      </c>
      <c r="J356">
        <v>-2.2400000000000002</v>
      </c>
      <c r="K356">
        <v>5.63</v>
      </c>
      <c r="L356">
        <v>4.91</v>
      </c>
      <c r="M356" s="25">
        <v>0.44519999999999998</v>
      </c>
      <c r="N356" s="25">
        <v>0.26939999999999997</v>
      </c>
      <c r="O356">
        <v>1.0900000000000001</v>
      </c>
      <c r="P356" s="25">
        <v>0.2213</v>
      </c>
      <c r="Q356" s="25">
        <v>0.2666</v>
      </c>
      <c r="R356" s="26">
        <v>291991000</v>
      </c>
      <c r="S356" s="26">
        <v>38397900000</v>
      </c>
      <c r="T356">
        <v>0.72</v>
      </c>
      <c r="U356" s="25">
        <v>0.1903</v>
      </c>
    </row>
    <row r="357" spans="1:21" hidden="1" x14ac:dyDescent="0.25">
      <c r="A357" t="s">
        <v>161</v>
      </c>
      <c r="B357">
        <v>16.87</v>
      </c>
      <c r="C357">
        <v>-33.81</v>
      </c>
      <c r="D357">
        <v>0.63</v>
      </c>
      <c r="E357">
        <v>2.121</v>
      </c>
      <c r="F357" s="25">
        <v>0.10340000000000001</v>
      </c>
      <c r="G357">
        <v>0.35399999999999998</v>
      </c>
      <c r="H357">
        <v>1.88</v>
      </c>
      <c r="I357">
        <v>8.18</v>
      </c>
      <c r="J357">
        <v>-1.88</v>
      </c>
      <c r="K357">
        <v>16.48</v>
      </c>
      <c r="L357">
        <v>11.31</v>
      </c>
      <c r="M357" s="25">
        <v>0.25919999999999999</v>
      </c>
      <c r="N357" s="25">
        <v>-6.1699999999999998E-2</v>
      </c>
      <c r="O357">
        <v>3.95</v>
      </c>
      <c r="P357" s="25">
        <v>4.6100000000000002E-2</v>
      </c>
      <c r="Q357" s="25">
        <v>-1.8800000000000001E-2</v>
      </c>
      <c r="R357" s="26">
        <v>419820</v>
      </c>
      <c r="S357" s="26">
        <v>1533970000</v>
      </c>
      <c r="T357">
        <v>0.76</v>
      </c>
      <c r="U357" s="25">
        <v>0.23250000000000001</v>
      </c>
    </row>
    <row r="358" spans="1:21" hidden="1" x14ac:dyDescent="0.25">
      <c r="A358" t="s">
        <v>198</v>
      </c>
      <c r="B358">
        <v>8.24</v>
      </c>
      <c r="C358">
        <v>17.68</v>
      </c>
      <c r="D358">
        <v>0.85</v>
      </c>
      <c r="E358">
        <v>0.51200000000000001</v>
      </c>
      <c r="F358" s="25">
        <v>1.8700000000000001E-2</v>
      </c>
      <c r="G358">
        <v>0.311</v>
      </c>
      <c r="H358">
        <v>5.39</v>
      </c>
      <c r="I358">
        <v>2.89</v>
      </c>
      <c r="J358">
        <v>-0.88</v>
      </c>
      <c r="K358">
        <v>4.5</v>
      </c>
      <c r="L358">
        <v>2.81</v>
      </c>
      <c r="M358" s="25">
        <v>0.17699999999999999</v>
      </c>
      <c r="N358" s="25">
        <v>2.9000000000000001E-2</v>
      </c>
      <c r="O358">
        <v>1.26</v>
      </c>
      <c r="P358" s="25">
        <v>0.12</v>
      </c>
      <c r="Q358" s="25">
        <v>4.7899999999999998E-2</v>
      </c>
      <c r="R358" s="26">
        <v>6423830</v>
      </c>
      <c r="S358" s="26">
        <v>1251870000</v>
      </c>
      <c r="T358">
        <v>0.72</v>
      </c>
      <c r="U358" s="25">
        <v>0.1318</v>
      </c>
    </row>
    <row r="359" spans="1:21" hidden="1" x14ac:dyDescent="0.25">
      <c r="A359" t="s">
        <v>242</v>
      </c>
      <c r="B359">
        <v>1</v>
      </c>
      <c r="C359">
        <v>-0.05</v>
      </c>
      <c r="D359">
        <v>-7.0000000000000007E-2</v>
      </c>
      <c r="E359">
        <v>6.5000000000000002E-2</v>
      </c>
      <c r="F359" s="25">
        <v>0</v>
      </c>
      <c r="G359">
        <v>4.1000000000000002E-2</v>
      </c>
      <c r="H359">
        <v>-0.08</v>
      </c>
      <c r="I359">
        <v>-0.08</v>
      </c>
      <c r="J359">
        <v>-0.03</v>
      </c>
      <c r="K359">
        <v>-1.59</v>
      </c>
      <c r="L359">
        <v>-2.04</v>
      </c>
      <c r="M359" s="25">
        <v>-0.84799999999999998</v>
      </c>
      <c r="N359" s="25">
        <v>-1.6624000000000001</v>
      </c>
      <c r="O359">
        <v>0.24</v>
      </c>
      <c r="P359" s="25">
        <v>-0.75780000000000003</v>
      </c>
      <c r="Q359" s="25">
        <v>1.4429000000000001</v>
      </c>
      <c r="R359" s="26">
        <v>950943</v>
      </c>
      <c r="S359" s="26">
        <v>-758374000</v>
      </c>
      <c r="T359">
        <v>-1.33</v>
      </c>
      <c r="U359" s="25">
        <v>-0.1162</v>
      </c>
    </row>
    <row r="360" spans="1:21" hidden="1" x14ac:dyDescent="0.25">
      <c r="A360" t="s">
        <v>248</v>
      </c>
      <c r="B360">
        <v>6.67</v>
      </c>
      <c r="C360">
        <v>-0.57999999999999996</v>
      </c>
      <c r="D360">
        <v>0.35</v>
      </c>
      <c r="E360">
        <v>0.29199999999999998</v>
      </c>
      <c r="F360" s="25">
        <v>0</v>
      </c>
      <c r="G360">
        <v>0.113</v>
      </c>
      <c r="H360">
        <v>0.72</v>
      </c>
      <c r="I360">
        <v>-2.0499999999999998</v>
      </c>
      <c r="J360">
        <v>-1.1599999999999999</v>
      </c>
      <c r="K360">
        <v>-0.73</v>
      </c>
      <c r="L360">
        <v>-0.99</v>
      </c>
      <c r="M360" s="25">
        <v>-0.14249999999999999</v>
      </c>
      <c r="N360" s="25">
        <v>-0.49930000000000002</v>
      </c>
      <c r="O360">
        <v>1.37</v>
      </c>
      <c r="P360" s="25">
        <v>-0.1043</v>
      </c>
      <c r="Q360" s="25">
        <v>-0.60680000000000001</v>
      </c>
      <c r="R360" s="26">
        <v>169046</v>
      </c>
      <c r="S360" s="26">
        <v>128542000</v>
      </c>
      <c r="T360">
        <v>0.53</v>
      </c>
      <c r="U360" s="25">
        <v>0.87719999999999998</v>
      </c>
    </row>
    <row r="361" spans="1:21" hidden="1" x14ac:dyDescent="0.25">
      <c r="A361" t="s">
        <v>17</v>
      </c>
      <c r="B361">
        <v>5.07</v>
      </c>
      <c r="C361">
        <v>6.8</v>
      </c>
      <c r="D361">
        <v>1.23</v>
      </c>
      <c r="E361">
        <v>0.91300000000000003</v>
      </c>
      <c r="F361" s="25">
        <v>7.5899999999999995E-2</v>
      </c>
      <c r="G361">
        <v>0.64800000000000002</v>
      </c>
      <c r="H361">
        <v>1.48</v>
      </c>
      <c r="I361">
        <v>9.36</v>
      </c>
      <c r="J361">
        <v>3.84</v>
      </c>
      <c r="K361">
        <v>9.1300000000000008</v>
      </c>
      <c r="L361">
        <v>6.71</v>
      </c>
      <c r="M361" s="25">
        <v>9.7500000000000003E-2</v>
      </c>
      <c r="N361" s="25">
        <v>0.13420000000000001</v>
      </c>
      <c r="O361">
        <v>3.1</v>
      </c>
      <c r="P361" s="25">
        <v>0.111</v>
      </c>
      <c r="Q361" s="25">
        <v>0.18149999999999999</v>
      </c>
      <c r="R361" s="26">
        <v>2076630</v>
      </c>
      <c r="S361" s="26">
        <v>1468260000</v>
      </c>
      <c r="T361">
        <v>0.56999999999999995</v>
      </c>
      <c r="U361" s="25">
        <v>0.1152</v>
      </c>
    </row>
    <row r="362" spans="1:21" hidden="1" x14ac:dyDescent="0.25">
      <c r="A362" t="s">
        <v>215</v>
      </c>
      <c r="B362">
        <v>4.21</v>
      </c>
      <c r="C362">
        <v>-15.57</v>
      </c>
      <c r="D362">
        <v>1.3</v>
      </c>
      <c r="E362">
        <v>8.6999999999999994E-2</v>
      </c>
      <c r="F362" s="25">
        <v>1.67E-2</v>
      </c>
      <c r="G362">
        <v>4.3999999999999997E-2</v>
      </c>
      <c r="H362" s="26">
        <v>0.42</v>
      </c>
      <c r="I362">
        <v>0.51</v>
      </c>
      <c r="J362">
        <v>-7.0000000000000007E-2</v>
      </c>
      <c r="K362">
        <v>6.82</v>
      </c>
      <c r="L362">
        <v>4.3600000000000003</v>
      </c>
      <c r="M362" s="25">
        <v>0.1699</v>
      </c>
      <c r="N362" s="25">
        <v>4.0000000000000002E-4</v>
      </c>
      <c r="O362">
        <v>1.45</v>
      </c>
      <c r="P362" s="25">
        <v>0.1137</v>
      </c>
      <c r="Q362" s="25">
        <v>-8.3599999999999994E-2</v>
      </c>
      <c r="R362" s="26">
        <v>27007200</v>
      </c>
      <c r="S362" s="26">
        <v>2824120000</v>
      </c>
      <c r="T362">
        <v>20.98</v>
      </c>
      <c r="U362" s="25">
        <v>0.43680000000000002</v>
      </c>
    </row>
    <row r="363" spans="1:21" hidden="1" x14ac:dyDescent="0.25">
      <c r="A363" t="s">
        <v>10</v>
      </c>
      <c r="B363">
        <v>18.04</v>
      </c>
      <c r="C363">
        <v>10.71</v>
      </c>
      <c r="D363">
        <v>1.63</v>
      </c>
      <c r="E363">
        <v>0.92500000000000004</v>
      </c>
      <c r="F363" s="25">
        <v>3.0300000000000001E-2</v>
      </c>
      <c r="G363">
        <v>0.45800000000000002</v>
      </c>
      <c r="H363">
        <v>3.41</v>
      </c>
      <c r="I363">
        <v>4.2300000000000004</v>
      </c>
      <c r="J363">
        <v>-1.72</v>
      </c>
      <c r="K363">
        <v>6.91</v>
      </c>
      <c r="L363">
        <v>5.91</v>
      </c>
      <c r="M363" s="25">
        <v>0.21879999999999999</v>
      </c>
      <c r="N363" s="25">
        <v>8.8300000000000003E-2</v>
      </c>
      <c r="O363">
        <v>1.44</v>
      </c>
      <c r="P363" s="25">
        <v>0.1231</v>
      </c>
      <c r="Q363" s="25">
        <v>0.15210000000000001</v>
      </c>
      <c r="R363" s="26">
        <v>37879000</v>
      </c>
      <c r="S363" s="26">
        <v>4911400000</v>
      </c>
      <c r="T363">
        <v>1.29</v>
      </c>
      <c r="U363" s="25">
        <v>0.13589999999999999</v>
      </c>
    </row>
    <row r="364" spans="1:21" hidden="1" x14ac:dyDescent="0.25">
      <c r="A364" t="s">
        <v>50</v>
      </c>
      <c r="B364">
        <v>21.6</v>
      </c>
      <c r="C364">
        <v>27.82</v>
      </c>
      <c r="D364">
        <v>2.33</v>
      </c>
      <c r="E364">
        <v>2.1509999999999998</v>
      </c>
      <c r="F364" s="25">
        <v>2.6200000000000001E-2</v>
      </c>
      <c r="G364">
        <v>0.70699999999999996</v>
      </c>
      <c r="H364">
        <v>8.91</v>
      </c>
      <c r="I364">
        <v>9.32</v>
      </c>
      <c r="J364">
        <v>-1.51</v>
      </c>
      <c r="K364">
        <v>11.48</v>
      </c>
      <c r="L364">
        <v>5.52</v>
      </c>
      <c r="M364" s="25">
        <v>0.23089999999999999</v>
      </c>
      <c r="N364" s="25">
        <v>7.7899999999999997E-2</v>
      </c>
      <c r="O364">
        <v>1.53</v>
      </c>
      <c r="P364" s="25">
        <v>9.3399999999999997E-2</v>
      </c>
      <c r="Q364" s="25">
        <v>8.3900000000000002E-2</v>
      </c>
      <c r="R364" s="26">
        <v>95364000</v>
      </c>
      <c r="S364" s="26">
        <v>5527220000</v>
      </c>
      <c r="T364">
        <v>1.08</v>
      </c>
      <c r="U364" s="25">
        <v>0.54820000000000002</v>
      </c>
    </row>
    <row r="365" spans="1:21" hidden="1" x14ac:dyDescent="0.25">
      <c r="A365" t="s">
        <v>202</v>
      </c>
      <c r="B365">
        <v>17.899999999999999</v>
      </c>
      <c r="C365">
        <v>10.69</v>
      </c>
      <c r="D365">
        <v>0.89</v>
      </c>
      <c r="E365">
        <v>0.83099999999999996</v>
      </c>
      <c r="F365" s="25">
        <v>5.1499999999999997E-2</v>
      </c>
      <c r="G365">
        <v>0.27300000000000002</v>
      </c>
      <c r="H365">
        <v>1.6</v>
      </c>
      <c r="I365">
        <v>5.03</v>
      </c>
      <c r="J365">
        <v>-0.68</v>
      </c>
      <c r="K365">
        <v>11.66</v>
      </c>
      <c r="L365">
        <v>3.85</v>
      </c>
      <c r="M365" s="25">
        <v>0.1651</v>
      </c>
      <c r="N365" s="25">
        <v>7.7700000000000005E-2</v>
      </c>
      <c r="O365">
        <v>2.4300000000000002</v>
      </c>
      <c r="P365" s="25">
        <v>6.4699999999999994E-2</v>
      </c>
      <c r="Q365" s="25">
        <v>8.3099999999999993E-2</v>
      </c>
      <c r="R365" s="26">
        <v>31043700</v>
      </c>
      <c r="S365" s="26">
        <v>6699360000</v>
      </c>
      <c r="T365">
        <v>1.63</v>
      </c>
      <c r="U365" s="25">
        <v>0.128</v>
      </c>
    </row>
    <row r="366" spans="1:21" hidden="1" x14ac:dyDescent="0.25">
      <c r="A366" t="s">
        <v>175</v>
      </c>
      <c r="B366">
        <v>3.52</v>
      </c>
      <c r="C366">
        <v>-0.65</v>
      </c>
      <c r="D366">
        <v>-0.01</v>
      </c>
      <c r="E366">
        <v>2.8000000000000001E-2</v>
      </c>
      <c r="F366" s="25">
        <v>0</v>
      </c>
      <c r="G366">
        <v>4.7E-2</v>
      </c>
      <c r="H366">
        <v>-0.41</v>
      </c>
      <c r="I366">
        <v>1.23</v>
      </c>
      <c r="J366">
        <v>-0.01</v>
      </c>
      <c r="K366">
        <v>10.73</v>
      </c>
      <c r="L366">
        <v>5.91</v>
      </c>
      <c r="M366" s="25">
        <v>2.29E-2</v>
      </c>
      <c r="N366" s="25">
        <v>-4.1700000000000001E-2</v>
      </c>
      <c r="O366">
        <v>0.84</v>
      </c>
      <c r="P366" s="25">
        <v>4.4299999999999999E-2</v>
      </c>
      <c r="Q366" s="25">
        <v>2.0500000000000001E-2</v>
      </c>
      <c r="R366" s="26">
        <v>26325.5</v>
      </c>
      <c r="S366" s="26">
        <v>-2025590000</v>
      </c>
      <c r="T366">
        <v>-0.11</v>
      </c>
      <c r="U366" s="25">
        <v>0.1275</v>
      </c>
    </row>
    <row r="367" spans="1:21" hidden="1" x14ac:dyDescent="0.25">
      <c r="A367" t="s">
        <v>105</v>
      </c>
      <c r="B367">
        <v>10.53</v>
      </c>
      <c r="C367">
        <v>14.25</v>
      </c>
      <c r="D367">
        <v>1.06</v>
      </c>
      <c r="E367">
        <v>0.749</v>
      </c>
      <c r="F367" s="25">
        <v>2.8199999999999999E-2</v>
      </c>
      <c r="G367">
        <v>0.41</v>
      </c>
      <c r="H367">
        <v>0.8</v>
      </c>
      <c r="I367">
        <v>9.3699999999999992</v>
      </c>
      <c r="J367">
        <v>1.41</v>
      </c>
      <c r="K367">
        <v>9.09</v>
      </c>
      <c r="L367">
        <v>7.42</v>
      </c>
      <c r="M367" s="25">
        <v>7.9899999999999999E-2</v>
      </c>
      <c r="N367" s="25">
        <v>8.8900000000000007E-2</v>
      </c>
      <c r="O367">
        <v>3.46</v>
      </c>
      <c r="P367" s="25">
        <v>7.3999999999999996E-2</v>
      </c>
      <c r="Q367" s="25">
        <v>7.4200000000000002E-2</v>
      </c>
      <c r="R367" s="26">
        <v>4806650</v>
      </c>
      <c r="S367" s="26">
        <v>1347510000</v>
      </c>
      <c r="T367">
        <v>0.63</v>
      </c>
      <c r="U367" s="25">
        <v>0.33839999999999998</v>
      </c>
    </row>
    <row r="368" spans="1:21" hidden="1" x14ac:dyDescent="0.25">
      <c r="A368" t="s">
        <v>447</v>
      </c>
      <c r="B368">
        <v>44.96</v>
      </c>
      <c r="C368">
        <v>4.6399999999999997</v>
      </c>
      <c r="D368">
        <v>1.54</v>
      </c>
      <c r="E368">
        <v>0.53500000000000003</v>
      </c>
      <c r="F368" s="25">
        <v>0.13950000000000001</v>
      </c>
      <c r="G368">
        <v>0.94199999999999995</v>
      </c>
      <c r="H368">
        <v>3.25</v>
      </c>
      <c r="I368">
        <v>3.42</v>
      </c>
      <c r="J368">
        <v>5.51</v>
      </c>
      <c r="K368">
        <v>2.4500000000000002</v>
      </c>
      <c r="L368">
        <v>2.1</v>
      </c>
      <c r="M368" s="25">
        <v>0.15659999999999999</v>
      </c>
      <c r="N368" s="25">
        <v>0.1162</v>
      </c>
      <c r="O368">
        <v>2.0699999999999998</v>
      </c>
      <c r="P368" s="25">
        <v>0.38729999999999998</v>
      </c>
      <c r="Q368" s="25">
        <v>0.3327</v>
      </c>
      <c r="R368" s="26">
        <v>1030.05</v>
      </c>
      <c r="S368" s="26">
        <v>71604000</v>
      </c>
      <c r="T368">
        <v>0</v>
      </c>
      <c r="U368" s="25">
        <v>0.33150000000000002</v>
      </c>
    </row>
    <row r="369" spans="1:21" hidden="1" x14ac:dyDescent="0.25">
      <c r="A369" t="s">
        <v>448</v>
      </c>
      <c r="B369">
        <v>45.01</v>
      </c>
      <c r="C369">
        <v>4.6399999999999997</v>
      </c>
      <c r="D369">
        <v>1.55</v>
      </c>
      <c r="E369">
        <v>0.53600000000000003</v>
      </c>
      <c r="F369" s="25">
        <v>0.13930000000000001</v>
      </c>
      <c r="G369">
        <v>0.94299999999999995</v>
      </c>
      <c r="H369">
        <v>3.26</v>
      </c>
      <c r="I369">
        <v>3.42</v>
      </c>
      <c r="J369">
        <v>5.52</v>
      </c>
      <c r="K369">
        <v>2.46</v>
      </c>
      <c r="L369">
        <v>2.1</v>
      </c>
      <c r="M369" s="25">
        <v>0.15659999999999999</v>
      </c>
      <c r="N369" s="25">
        <v>0.1162</v>
      </c>
      <c r="O369">
        <v>2.0699999999999998</v>
      </c>
      <c r="P369" s="25">
        <v>0.38729999999999998</v>
      </c>
      <c r="Q369" s="25">
        <v>0.3327</v>
      </c>
      <c r="R369" s="26">
        <v>1970.43</v>
      </c>
      <c r="S369" s="26">
        <v>71604000</v>
      </c>
      <c r="T369">
        <v>0</v>
      </c>
      <c r="U369" s="25">
        <v>0.33150000000000002</v>
      </c>
    </row>
    <row r="370" spans="1:21" hidden="1" x14ac:dyDescent="0.25">
      <c r="A370" t="s">
        <v>449</v>
      </c>
      <c r="B370">
        <v>11.78</v>
      </c>
      <c r="C370" s="26">
        <v>1196.9000000000001</v>
      </c>
      <c r="D370">
        <v>1.35</v>
      </c>
      <c r="E370">
        <v>1.597</v>
      </c>
      <c r="F370" s="25">
        <v>0</v>
      </c>
      <c r="G370">
        <v>0.35499999999999998</v>
      </c>
      <c r="H370">
        <v>15.51</v>
      </c>
      <c r="I370">
        <v>6.23</v>
      </c>
      <c r="J370">
        <v>-0.62</v>
      </c>
      <c r="K370">
        <v>15.35</v>
      </c>
      <c r="L370">
        <v>9.16</v>
      </c>
      <c r="M370" s="25">
        <v>0.25619999999999998</v>
      </c>
      <c r="N370" s="25">
        <v>1.4E-3</v>
      </c>
      <c r="O370">
        <v>1.1599999999999999</v>
      </c>
      <c r="P370" s="25">
        <v>6.1699999999999998E-2</v>
      </c>
      <c r="Q370" s="25">
        <v>1.1000000000000001E-3</v>
      </c>
      <c r="R370" s="26">
        <v>68452700</v>
      </c>
      <c r="S370" s="26">
        <v>5443630000</v>
      </c>
      <c r="T370">
        <v>2.2000000000000002</v>
      </c>
      <c r="U370" s="25">
        <v>0.35930000000000001</v>
      </c>
    </row>
    <row r="371" spans="1:21" hidden="1" x14ac:dyDescent="0.25">
      <c r="A371" t="s">
        <v>63</v>
      </c>
      <c r="B371">
        <v>13.86</v>
      </c>
      <c r="C371">
        <v>15.11</v>
      </c>
      <c r="D371">
        <v>19.71</v>
      </c>
      <c r="E371">
        <v>3.8130000000000002</v>
      </c>
      <c r="F371" s="25">
        <v>0.18779999999999999</v>
      </c>
      <c r="G371">
        <v>2.2610000000000001</v>
      </c>
      <c r="H371" s="26">
        <v>2041.48</v>
      </c>
      <c r="I371">
        <v>8.84</v>
      </c>
      <c r="J371">
        <v>-3.12</v>
      </c>
      <c r="K371">
        <v>10.5</v>
      </c>
      <c r="L371">
        <v>8.76</v>
      </c>
      <c r="M371" s="25">
        <v>0.43120000000000003</v>
      </c>
      <c r="N371" s="25">
        <v>0.25230000000000002</v>
      </c>
      <c r="O371">
        <v>1.01</v>
      </c>
      <c r="P371" s="25">
        <v>0.28449999999999998</v>
      </c>
      <c r="Q371" s="25">
        <v>1.3043</v>
      </c>
      <c r="R371" s="26">
        <v>51013100</v>
      </c>
      <c r="S371" s="26">
        <v>607731000</v>
      </c>
      <c r="T371">
        <v>4.32</v>
      </c>
      <c r="U371" s="25">
        <v>0.29670000000000002</v>
      </c>
    </row>
    <row r="372" spans="1:21" hidden="1" x14ac:dyDescent="0.25">
      <c r="A372" t="s">
        <v>91</v>
      </c>
      <c r="B372">
        <v>51.75</v>
      </c>
      <c r="C372" s="26">
        <v>-68.61</v>
      </c>
      <c r="D372">
        <v>1.7</v>
      </c>
      <c r="E372">
        <v>1.3220000000000001</v>
      </c>
      <c r="F372" s="25">
        <v>3.9E-2</v>
      </c>
      <c r="G372">
        <v>0.42099999999999999</v>
      </c>
      <c r="H372">
        <v>3.07</v>
      </c>
      <c r="I372">
        <v>4.5999999999999996</v>
      </c>
      <c r="J372">
        <v>-0.8</v>
      </c>
      <c r="K372">
        <v>9.84</v>
      </c>
      <c r="L372">
        <v>5.84</v>
      </c>
      <c r="M372" s="25">
        <v>0.28760000000000002</v>
      </c>
      <c r="N372" s="25">
        <v>-1.8499999999999999E-2</v>
      </c>
      <c r="O372">
        <v>2.61</v>
      </c>
      <c r="P372" s="25">
        <v>0.1069</v>
      </c>
      <c r="Q372" s="25">
        <v>-2.4799999999999999E-2</v>
      </c>
      <c r="R372" s="26">
        <v>304271000</v>
      </c>
      <c r="S372" s="26">
        <v>38398300000</v>
      </c>
      <c r="T372">
        <v>2.37</v>
      </c>
      <c r="U372" s="25">
        <v>7.8100000000000003E-2</v>
      </c>
    </row>
    <row r="373" spans="1:21" hidden="1" x14ac:dyDescent="0.25">
      <c r="A373" t="s">
        <v>234</v>
      </c>
      <c r="B373">
        <v>6.6</v>
      </c>
      <c r="C373">
        <v>1.8</v>
      </c>
      <c r="D373">
        <v>0.92</v>
      </c>
      <c r="E373">
        <v>0.75800000000000001</v>
      </c>
      <c r="F373" s="25">
        <v>1.0621</v>
      </c>
      <c r="G373">
        <v>0.318</v>
      </c>
      <c r="H373" s="26">
        <v>1.03</v>
      </c>
      <c r="I373">
        <v>2.15</v>
      </c>
      <c r="J373">
        <v>-8.4499999999999993</v>
      </c>
      <c r="K373">
        <v>3</v>
      </c>
      <c r="L373">
        <v>2.57</v>
      </c>
      <c r="M373" s="25">
        <v>0.3533</v>
      </c>
      <c r="N373" s="25">
        <v>0.50480000000000003</v>
      </c>
      <c r="O373">
        <v>5.43</v>
      </c>
      <c r="P373" s="25">
        <v>0.1726</v>
      </c>
      <c r="Q373" s="25">
        <v>0.51129999999999998</v>
      </c>
      <c r="R373" s="26">
        <v>3141270</v>
      </c>
      <c r="S373" s="26">
        <v>1091940000</v>
      </c>
      <c r="T373">
        <v>0.77</v>
      </c>
      <c r="U373" s="25">
        <v>3.9E-2</v>
      </c>
    </row>
    <row r="374" spans="1:21" hidden="1" x14ac:dyDescent="0.25">
      <c r="A374" t="s">
        <v>450</v>
      </c>
      <c r="B374">
        <v>33.700000000000003</v>
      </c>
      <c r="C374">
        <v>6.89</v>
      </c>
      <c r="D374">
        <v>1.59</v>
      </c>
      <c r="E374">
        <v>2.9249999999999998</v>
      </c>
      <c r="F374" s="25">
        <v>8.1299999999999997E-2</v>
      </c>
      <c r="G374">
        <v>0.55200000000000005</v>
      </c>
      <c r="H374">
        <v>8.09</v>
      </c>
      <c r="I374">
        <v>5.18</v>
      </c>
      <c r="J374">
        <v>-1.0900000000000001</v>
      </c>
      <c r="K374">
        <v>9.39</v>
      </c>
      <c r="L374">
        <v>9.27</v>
      </c>
      <c r="M374" s="25">
        <v>0.56499999999999995</v>
      </c>
      <c r="N374" s="25">
        <v>0.42449999999999999</v>
      </c>
      <c r="O374">
        <v>1.85</v>
      </c>
      <c r="P374" s="25">
        <v>0.1118</v>
      </c>
      <c r="Q374" s="25">
        <v>0.23089999999999999</v>
      </c>
      <c r="R374" s="26">
        <v>51535400</v>
      </c>
      <c r="S374" s="26">
        <v>7297940000</v>
      </c>
      <c r="T374">
        <v>1.41</v>
      </c>
      <c r="U374" s="25">
        <v>1.11E-2</v>
      </c>
    </row>
    <row r="375" spans="1:21" hidden="1" x14ac:dyDescent="0.25">
      <c r="A375" t="s">
        <v>267</v>
      </c>
      <c r="B375">
        <v>11.23</v>
      </c>
      <c r="C375">
        <v>6.89</v>
      </c>
      <c r="D375">
        <v>1.59</v>
      </c>
      <c r="E375">
        <v>2.9239999999999999</v>
      </c>
      <c r="F375" s="25">
        <v>8.1299999999999997E-2</v>
      </c>
      <c r="G375">
        <v>0.55200000000000005</v>
      </c>
      <c r="H375">
        <v>8.08</v>
      </c>
      <c r="I375">
        <v>5.17</v>
      </c>
      <c r="J375">
        <v>-1.0900000000000001</v>
      </c>
      <c r="K375">
        <v>9.39</v>
      </c>
      <c r="L375">
        <v>9.27</v>
      </c>
      <c r="M375" s="25">
        <v>0.56499999999999995</v>
      </c>
      <c r="N375" s="25">
        <v>0.42449999999999999</v>
      </c>
      <c r="O375">
        <v>1.85</v>
      </c>
      <c r="P375" s="25">
        <v>0.1118</v>
      </c>
      <c r="Q375" s="25">
        <v>0.23089999999999999</v>
      </c>
      <c r="R375" s="26">
        <v>721959</v>
      </c>
      <c r="S375" s="26">
        <v>7297940000</v>
      </c>
      <c r="T375">
        <v>1.41</v>
      </c>
      <c r="U375" s="25">
        <v>1.11E-2</v>
      </c>
    </row>
    <row r="376" spans="1:21" hidden="1" x14ac:dyDescent="0.25">
      <c r="A376" t="s">
        <v>53</v>
      </c>
      <c r="B376">
        <v>11.25</v>
      </c>
      <c r="C376">
        <v>6.9</v>
      </c>
      <c r="D376">
        <v>1.59</v>
      </c>
      <c r="E376">
        <v>2.9289999999999998</v>
      </c>
      <c r="F376" s="25">
        <v>8.1199999999999994E-2</v>
      </c>
      <c r="G376">
        <v>0.55300000000000005</v>
      </c>
      <c r="H376">
        <v>8.1</v>
      </c>
      <c r="I376">
        <v>5.18</v>
      </c>
      <c r="J376">
        <v>-1.1000000000000001</v>
      </c>
      <c r="K376">
        <v>9.4</v>
      </c>
      <c r="L376">
        <v>9.2799999999999994</v>
      </c>
      <c r="M376" s="25">
        <v>0.56499999999999995</v>
      </c>
      <c r="N376" s="25">
        <v>0.42449999999999999</v>
      </c>
      <c r="O376">
        <v>1.85</v>
      </c>
      <c r="P376" s="25">
        <v>0.1118</v>
      </c>
      <c r="Q376" s="25">
        <v>0.23089999999999999</v>
      </c>
      <c r="R376" s="26">
        <v>1433720</v>
      </c>
      <c r="S376" s="26">
        <v>7297940000</v>
      </c>
      <c r="T376">
        <v>1.41</v>
      </c>
      <c r="U376" s="25">
        <v>1.11E-2</v>
      </c>
    </row>
    <row r="377" spans="1:21" hidden="1" x14ac:dyDescent="0.25">
      <c r="A377" t="s">
        <v>199</v>
      </c>
      <c r="B377">
        <v>6.39</v>
      </c>
      <c r="C377">
        <v>11.67</v>
      </c>
      <c r="D377">
        <v>0.7</v>
      </c>
      <c r="E377">
        <v>0.56599999999999995</v>
      </c>
      <c r="F377" s="25">
        <v>2.8799999999999999E-2</v>
      </c>
      <c r="G377">
        <v>0.35099999999999998</v>
      </c>
      <c r="H377">
        <v>1.48</v>
      </c>
      <c r="I377">
        <v>8.5500000000000007</v>
      </c>
      <c r="J377">
        <v>4.59</v>
      </c>
      <c r="K377">
        <v>13.7</v>
      </c>
      <c r="L377">
        <v>9.5</v>
      </c>
      <c r="M377" s="25">
        <v>6.6199999999999995E-2</v>
      </c>
      <c r="N377" s="25">
        <v>4.8500000000000001E-2</v>
      </c>
      <c r="O377">
        <v>1.7</v>
      </c>
      <c r="P377" s="25">
        <v>4.7100000000000003E-2</v>
      </c>
      <c r="Q377" s="25">
        <v>6.0100000000000001E-2</v>
      </c>
      <c r="R377" s="26">
        <v>73434.2</v>
      </c>
      <c r="S377" s="26">
        <v>1268180000</v>
      </c>
      <c r="T377">
        <v>0.59</v>
      </c>
      <c r="U377" s="25">
        <v>-9.3700000000000006E-2</v>
      </c>
    </row>
    <row r="378" spans="1:21" hidden="1" x14ac:dyDescent="0.25">
      <c r="A378" t="s">
        <v>174</v>
      </c>
      <c r="B378">
        <v>5.27</v>
      </c>
      <c r="C378">
        <v>9.6199999999999992</v>
      </c>
      <c r="D378">
        <v>0.57999999999999996</v>
      </c>
      <c r="E378">
        <v>0.46700000000000003</v>
      </c>
      <c r="F378" s="25">
        <v>3.5000000000000003E-2</v>
      </c>
      <c r="G378">
        <v>0.28899999999999998</v>
      </c>
      <c r="H378">
        <v>1.22</v>
      </c>
      <c r="I378">
        <v>7.05</v>
      </c>
      <c r="J378">
        <v>3.78</v>
      </c>
      <c r="K378">
        <v>12.2</v>
      </c>
      <c r="L378">
        <v>8.4600000000000009</v>
      </c>
      <c r="M378" s="25">
        <v>6.6199999999999995E-2</v>
      </c>
      <c r="N378" s="25">
        <v>4.8500000000000001E-2</v>
      </c>
      <c r="O378">
        <v>1.7</v>
      </c>
      <c r="P378" s="25">
        <v>4.7100000000000003E-2</v>
      </c>
      <c r="Q378" s="25">
        <v>6.0100000000000001E-2</v>
      </c>
      <c r="R378" s="26">
        <v>1912790</v>
      </c>
      <c r="S378" s="26">
        <v>1268180000</v>
      </c>
      <c r="T378">
        <v>0.59</v>
      </c>
      <c r="U378" s="25">
        <v>-9.3700000000000006E-2</v>
      </c>
    </row>
    <row r="379" spans="1:21" hidden="1" x14ac:dyDescent="0.25">
      <c r="A379" t="s">
        <v>257</v>
      </c>
      <c r="B379">
        <v>1.75</v>
      </c>
      <c r="C379">
        <v>-0.95</v>
      </c>
      <c r="D379">
        <v>0.34</v>
      </c>
      <c r="E379">
        <v>0.3</v>
      </c>
      <c r="F379" s="25">
        <v>0</v>
      </c>
      <c r="G379">
        <v>0.10299999999999999</v>
      </c>
      <c r="H379">
        <v>3.99</v>
      </c>
      <c r="I379">
        <v>-1.1499999999999999</v>
      </c>
      <c r="J379">
        <v>-0.31</v>
      </c>
      <c r="K379">
        <v>-5.15</v>
      </c>
      <c r="L379">
        <v>-5.53</v>
      </c>
      <c r="M379" s="25">
        <v>-0.26050000000000001</v>
      </c>
      <c r="N379" s="25">
        <v>-0.32219999999999999</v>
      </c>
      <c r="O379">
        <v>1.08</v>
      </c>
      <c r="P379" s="25">
        <v>-0.10299999999999999</v>
      </c>
      <c r="Q379" s="25">
        <v>-0.3579</v>
      </c>
      <c r="R379" s="26">
        <v>311579</v>
      </c>
      <c r="S379" s="26">
        <v>378640000</v>
      </c>
      <c r="T379">
        <v>1.57</v>
      </c>
      <c r="U379" s="25">
        <v>0.31459999999999999</v>
      </c>
    </row>
    <row r="380" spans="1:21" hidden="1" x14ac:dyDescent="0.25">
      <c r="A380" t="s">
        <v>201</v>
      </c>
      <c r="B380">
        <v>6.31</v>
      </c>
      <c r="C380">
        <v>6.15</v>
      </c>
      <c r="D380">
        <v>0.96</v>
      </c>
      <c r="E380">
        <v>0.93300000000000005</v>
      </c>
      <c r="F380" s="25">
        <v>3.9199999999999999E-2</v>
      </c>
      <c r="G380">
        <v>0.56899999999999995</v>
      </c>
      <c r="H380">
        <v>1.24</v>
      </c>
      <c r="I380">
        <v>5.03</v>
      </c>
      <c r="J380">
        <v>2.1800000000000002</v>
      </c>
      <c r="K380">
        <v>5.19</v>
      </c>
      <c r="L380">
        <v>5.99</v>
      </c>
      <c r="M380" s="25">
        <v>0.18540000000000001</v>
      </c>
      <c r="N380" s="25">
        <v>0.1517</v>
      </c>
      <c r="O380">
        <v>3.2</v>
      </c>
      <c r="P380" s="25">
        <v>0.1444</v>
      </c>
      <c r="Q380" s="25">
        <v>0.15529999999999999</v>
      </c>
      <c r="R380" s="26">
        <v>633380</v>
      </c>
      <c r="S380" s="26">
        <v>408423000</v>
      </c>
      <c r="T380">
        <v>0.25</v>
      </c>
      <c r="U380" s="25">
        <v>0.1166</v>
      </c>
    </row>
    <row r="381" spans="1:21" hidden="1" x14ac:dyDescent="0.25">
      <c r="A381" t="s">
        <v>451</v>
      </c>
      <c r="B381">
        <v>12.36</v>
      </c>
      <c r="C381">
        <v>208.52</v>
      </c>
      <c r="D381">
        <v>0.79</v>
      </c>
      <c r="E381">
        <v>2.57</v>
      </c>
      <c r="F381" s="25">
        <v>0</v>
      </c>
      <c r="G381">
        <v>0.28100000000000003</v>
      </c>
      <c r="H381">
        <v>0.71</v>
      </c>
      <c r="I381">
        <v>-3.75</v>
      </c>
      <c r="J381">
        <v>-1.6</v>
      </c>
      <c r="K381">
        <v>0.45</v>
      </c>
      <c r="L381">
        <v>4.1100000000000003</v>
      </c>
      <c r="M381" s="25">
        <v>-0.68459999999999999</v>
      </c>
      <c r="N381" s="25">
        <v>1.23E-2</v>
      </c>
      <c r="O381">
        <v>6.45</v>
      </c>
      <c r="P381" s="25">
        <v>-0.1178</v>
      </c>
      <c r="Q381" s="25">
        <v>3.8E-3</v>
      </c>
      <c r="R381" s="26">
        <v>31367.1</v>
      </c>
      <c r="S381" s="26">
        <v>1467590000</v>
      </c>
      <c r="T381">
        <v>0.01</v>
      </c>
      <c r="U381" s="25">
        <v>0.1429</v>
      </c>
    </row>
    <row r="382" spans="1:21" hidden="1" x14ac:dyDescent="0.25">
      <c r="A382" t="s">
        <v>14</v>
      </c>
      <c r="B382">
        <v>7.65</v>
      </c>
      <c r="C382">
        <v>129.06</v>
      </c>
      <c r="D382">
        <v>0.49</v>
      </c>
      <c r="E382">
        <v>1.591</v>
      </c>
      <c r="F382" s="25">
        <v>0</v>
      </c>
      <c r="G382">
        <v>0.17399999999999999</v>
      </c>
      <c r="H382">
        <v>0.44</v>
      </c>
      <c r="I382">
        <v>-2.3199999999999998</v>
      </c>
      <c r="J382">
        <v>-0.99</v>
      </c>
      <c r="K382">
        <v>1.88</v>
      </c>
      <c r="L382">
        <v>17.05</v>
      </c>
      <c r="M382" s="25">
        <v>-0.68459999999999999</v>
      </c>
      <c r="N382" s="25">
        <v>1.23E-2</v>
      </c>
      <c r="O382">
        <v>6.45</v>
      </c>
      <c r="P382" s="25">
        <v>-0.1178</v>
      </c>
      <c r="Q382" s="25">
        <v>3.8E-3</v>
      </c>
      <c r="R382" s="26">
        <v>41124.6</v>
      </c>
      <c r="S382" s="26">
        <v>1467590000</v>
      </c>
      <c r="T382">
        <v>0.01</v>
      </c>
      <c r="U382" s="25">
        <v>0.1429</v>
      </c>
    </row>
    <row r="383" spans="1:21" hidden="1" x14ac:dyDescent="0.25">
      <c r="A383" t="s">
        <v>64</v>
      </c>
      <c r="B383">
        <v>22.16</v>
      </c>
      <c r="C383">
        <v>14.49</v>
      </c>
      <c r="D383">
        <v>2.5099999999999998</v>
      </c>
      <c r="E383">
        <v>0.79800000000000004</v>
      </c>
      <c r="F383" s="25">
        <v>7.7000000000000002E-3</v>
      </c>
      <c r="G383">
        <v>0.52900000000000003</v>
      </c>
      <c r="H383">
        <v>2.0499999999999998</v>
      </c>
      <c r="I383">
        <v>6.19</v>
      </c>
      <c r="J383">
        <v>-2.73</v>
      </c>
      <c r="K383">
        <v>7.2</v>
      </c>
      <c r="L383">
        <v>6.22</v>
      </c>
      <c r="M383" s="25">
        <v>0.12889999999999999</v>
      </c>
      <c r="N383" s="25">
        <v>5.0799999999999998E-2</v>
      </c>
      <c r="O383">
        <v>1.77</v>
      </c>
      <c r="P383" s="25">
        <v>0.1028</v>
      </c>
      <c r="Q383" s="25">
        <v>0.17299999999999999</v>
      </c>
      <c r="R383" s="26">
        <v>39394100</v>
      </c>
      <c r="S383" s="26">
        <v>1083720000</v>
      </c>
      <c r="T383">
        <v>0.95</v>
      </c>
      <c r="U383" s="25">
        <v>8.5000000000000006E-2</v>
      </c>
    </row>
    <row r="384" spans="1:21" hidden="1" x14ac:dyDescent="0.25">
      <c r="A384" t="s">
        <v>154</v>
      </c>
      <c r="B384">
        <v>14.2</v>
      </c>
      <c r="C384">
        <v>17.25</v>
      </c>
      <c r="D384">
        <v>4.5</v>
      </c>
      <c r="E384">
        <v>2.4660000000000002</v>
      </c>
      <c r="F384" s="25">
        <v>1.7100000000000001E-2</v>
      </c>
      <c r="G384">
        <v>2.6230000000000002</v>
      </c>
      <c r="H384">
        <v>6.01</v>
      </c>
      <c r="I384">
        <v>12.34</v>
      </c>
      <c r="J384">
        <v>9.59</v>
      </c>
      <c r="K384">
        <v>12.89</v>
      </c>
      <c r="L384">
        <v>11.75</v>
      </c>
      <c r="M384" s="25">
        <v>0.19980000000000001</v>
      </c>
      <c r="N384" s="25">
        <v>0.14299999999999999</v>
      </c>
      <c r="O384">
        <v>2.72</v>
      </c>
      <c r="P384" s="25">
        <v>0.25069999999999998</v>
      </c>
      <c r="Q384" s="25">
        <v>0.2606</v>
      </c>
      <c r="R384" s="26">
        <v>6789090</v>
      </c>
      <c r="S384" s="26">
        <v>484021000</v>
      </c>
      <c r="T384">
        <v>0.3</v>
      </c>
      <c r="U384" s="25">
        <v>0.31109999999999999</v>
      </c>
    </row>
    <row r="385" spans="1:21" hidden="1" x14ac:dyDescent="0.25">
      <c r="A385" t="s">
        <v>68</v>
      </c>
      <c r="B385">
        <v>34.79</v>
      </c>
      <c r="C385">
        <v>8.31</v>
      </c>
      <c r="D385">
        <v>2.38</v>
      </c>
      <c r="E385">
        <v>1.0720000000000001</v>
      </c>
      <c r="F385" s="25">
        <v>7.4200000000000002E-2</v>
      </c>
      <c r="G385">
        <v>1.702</v>
      </c>
      <c r="H385">
        <v>4.72</v>
      </c>
      <c r="I385">
        <v>6.51</v>
      </c>
      <c r="J385">
        <v>7.09</v>
      </c>
      <c r="K385">
        <v>6.11</v>
      </c>
      <c r="L385">
        <v>5.67</v>
      </c>
      <c r="M385" s="25">
        <v>0.16470000000000001</v>
      </c>
      <c r="N385" s="25">
        <v>0.1293</v>
      </c>
      <c r="O385">
        <v>3.2</v>
      </c>
      <c r="P385" s="25">
        <v>0.36659999999999998</v>
      </c>
      <c r="Q385" s="25">
        <v>0.28620000000000001</v>
      </c>
      <c r="R385" s="26">
        <v>10310400</v>
      </c>
      <c r="S385" s="26">
        <v>965143000</v>
      </c>
      <c r="T385">
        <v>0.21</v>
      </c>
      <c r="U385" s="25">
        <v>0.23</v>
      </c>
    </row>
    <row r="386" spans="1:21" hidden="1" x14ac:dyDescent="0.25">
      <c r="A386" t="s">
        <v>140</v>
      </c>
      <c r="B386">
        <v>20</v>
      </c>
      <c r="C386">
        <v>174.03</v>
      </c>
      <c r="D386">
        <v>1.98</v>
      </c>
      <c r="E386">
        <v>162.40899999999999</v>
      </c>
      <c r="F386" s="25">
        <v>8.2400000000000001E-2</v>
      </c>
      <c r="G386">
        <v>0.85799999999999998</v>
      </c>
      <c r="H386">
        <v>-27.34</v>
      </c>
      <c r="I386">
        <v>309.45999999999998</v>
      </c>
      <c r="J386">
        <v>-2.54</v>
      </c>
      <c r="K386">
        <v>294.64</v>
      </c>
      <c r="L386">
        <v>312.27999999999997</v>
      </c>
      <c r="M386" s="25">
        <v>0.52480000000000004</v>
      </c>
      <c r="N386" s="25">
        <v>0.93320000000000003</v>
      </c>
      <c r="O386">
        <v>0.88</v>
      </c>
      <c r="P386" s="25">
        <v>3.3999999999999998E-3</v>
      </c>
      <c r="Q386" s="25">
        <v>1.14E-2</v>
      </c>
      <c r="R386" s="26">
        <v>135686000</v>
      </c>
      <c r="S386" s="26">
        <v>24455500000</v>
      </c>
      <c r="T386">
        <v>0.12</v>
      </c>
      <c r="U386" s="25">
        <v>-0.54420000000000002</v>
      </c>
    </row>
    <row r="387" spans="1:21" hidden="1" x14ac:dyDescent="0.25">
      <c r="A387" t="s">
        <v>452</v>
      </c>
      <c r="B387">
        <v>77.709999999999994</v>
      </c>
      <c r="C387">
        <v>4.7699999999999996</v>
      </c>
      <c r="D387">
        <v>0.71</v>
      </c>
      <c r="E387">
        <v>0.76900000000000002</v>
      </c>
      <c r="F387" s="25">
        <v>9.0700000000000003E-2</v>
      </c>
      <c r="G387">
        <v>0.55900000000000005</v>
      </c>
      <c r="H387">
        <v>1.33</v>
      </c>
      <c r="I387">
        <v>5.33</v>
      </c>
      <c r="J387">
        <v>1.45</v>
      </c>
      <c r="K387">
        <v>3.73</v>
      </c>
      <c r="L387">
        <v>3.16</v>
      </c>
      <c r="M387" s="25">
        <v>0.1444</v>
      </c>
      <c r="N387" s="25">
        <v>0.16120000000000001</v>
      </c>
      <c r="O387">
        <v>3.45</v>
      </c>
      <c r="P387" s="25">
        <v>0.1416</v>
      </c>
      <c r="Q387" s="25">
        <v>0.1479</v>
      </c>
      <c r="R387" s="26">
        <v>2737.52</v>
      </c>
      <c r="S387" s="26">
        <v>324623000</v>
      </c>
      <c r="T387">
        <v>0.01</v>
      </c>
      <c r="U387" s="25">
        <v>6.6100000000000006E-2</v>
      </c>
    </row>
    <row r="388" spans="1:21" hidden="1" x14ac:dyDescent="0.25">
      <c r="A388" t="s">
        <v>912</v>
      </c>
      <c r="B388">
        <v>0.99</v>
      </c>
      <c r="C388">
        <v>-0.76</v>
      </c>
      <c r="D388">
        <v>0.37</v>
      </c>
      <c r="E388">
        <v>0.11600000000000001</v>
      </c>
      <c r="F388" s="25">
        <v>0</v>
      </c>
      <c r="G388">
        <v>6.3E-2</v>
      </c>
      <c r="H388">
        <v>1.79</v>
      </c>
      <c r="I388">
        <v>-2.19</v>
      </c>
      <c r="J388">
        <v>-0.11</v>
      </c>
      <c r="K388">
        <v>-12.97</v>
      </c>
      <c r="L388">
        <v>10.220000000000001</v>
      </c>
      <c r="M388" s="25">
        <v>-5.2900000000000003E-2</v>
      </c>
      <c r="N388" s="25">
        <v>-0.1782</v>
      </c>
      <c r="O388">
        <v>1.1200000000000001</v>
      </c>
      <c r="P388" s="25">
        <v>-3.2099999999999997E-2</v>
      </c>
      <c r="Q388" s="25">
        <v>-0.49370000000000003</v>
      </c>
      <c r="R388" s="26">
        <v>521977</v>
      </c>
      <c r="S388" s="26">
        <v>324818000</v>
      </c>
      <c r="T388">
        <v>1.94</v>
      </c>
      <c r="U388" s="25">
        <v>6.8500000000000005E-2</v>
      </c>
    </row>
    <row r="389" spans="1:21" hidden="1" x14ac:dyDescent="0.25">
      <c r="A389" t="s">
        <v>32</v>
      </c>
      <c r="B389">
        <v>42.87</v>
      </c>
      <c r="C389">
        <v>32.71</v>
      </c>
      <c r="D389">
        <v>5.35</v>
      </c>
      <c r="E389">
        <v>4.7249999999999996</v>
      </c>
      <c r="F389" s="25">
        <v>1.7600000000000001E-2</v>
      </c>
      <c r="G389">
        <v>2.9590000000000001</v>
      </c>
      <c r="H389">
        <v>14.57</v>
      </c>
      <c r="I389">
        <v>12.83</v>
      </c>
      <c r="J389">
        <v>-39.39</v>
      </c>
      <c r="K389">
        <v>12.67</v>
      </c>
      <c r="L389">
        <v>10.84</v>
      </c>
      <c r="M389" s="25">
        <v>0.36840000000000001</v>
      </c>
      <c r="N389" s="25">
        <v>0.14829999999999999</v>
      </c>
      <c r="O389">
        <v>2.52</v>
      </c>
      <c r="P389" s="25">
        <v>0.30780000000000002</v>
      </c>
      <c r="Q389" s="25">
        <v>0.16370000000000001</v>
      </c>
      <c r="R389" s="26">
        <v>137309000</v>
      </c>
      <c r="S389" s="26">
        <v>4799780000</v>
      </c>
      <c r="T389">
        <v>0.34</v>
      </c>
      <c r="U389" s="25">
        <v>0.18229999999999999</v>
      </c>
    </row>
    <row r="390" spans="1:21" hidden="1" x14ac:dyDescent="0.25">
      <c r="A390" t="s">
        <v>173</v>
      </c>
      <c r="B390">
        <v>4.03</v>
      </c>
      <c r="C390">
        <v>8.7799999999999994</v>
      </c>
      <c r="D390">
        <v>0.19</v>
      </c>
      <c r="E390">
        <v>0.13700000000000001</v>
      </c>
      <c r="F390" s="25">
        <v>5.7200000000000001E-2</v>
      </c>
      <c r="G390">
        <v>6.5000000000000002E-2</v>
      </c>
      <c r="H390">
        <v>-0.15</v>
      </c>
      <c r="I390">
        <v>0.74</v>
      </c>
      <c r="J390">
        <v>-0.11</v>
      </c>
      <c r="K390">
        <v>6.25</v>
      </c>
      <c r="L390">
        <v>3.8</v>
      </c>
      <c r="M390" s="25">
        <v>0.185</v>
      </c>
      <c r="N390" s="25">
        <v>2.9999999999999997E-4</v>
      </c>
      <c r="O390">
        <v>0.13</v>
      </c>
      <c r="P390" s="25">
        <v>9.3100000000000002E-2</v>
      </c>
      <c r="Q390" s="25">
        <v>2.2100000000000002E-2</v>
      </c>
      <c r="R390" s="26">
        <v>40894.5</v>
      </c>
      <c r="S390" s="26">
        <v>912716000</v>
      </c>
      <c r="T390">
        <v>1.5</v>
      </c>
      <c r="U390" s="25">
        <v>7.6100000000000001E-2</v>
      </c>
    </row>
    <row r="391" spans="1:21" hidden="1" x14ac:dyDescent="0.25">
      <c r="A391" t="s">
        <v>189</v>
      </c>
      <c r="B391">
        <v>7.45</v>
      </c>
      <c r="C391">
        <v>-3.47</v>
      </c>
      <c r="D391">
        <v>1.59</v>
      </c>
      <c r="E391">
        <v>7.1740000000000004</v>
      </c>
      <c r="F391" s="25">
        <v>0</v>
      </c>
      <c r="G391">
        <v>1.458</v>
      </c>
      <c r="H391">
        <v>6.76</v>
      </c>
      <c r="I391">
        <v>-5.99</v>
      </c>
      <c r="J391">
        <v>7.4</v>
      </c>
      <c r="K391">
        <v>-5.47</v>
      </c>
      <c r="L391">
        <v>-7.27</v>
      </c>
      <c r="M391" s="25">
        <v>-1.1986000000000001</v>
      </c>
      <c r="N391" s="25">
        <v>-2.0678999999999998</v>
      </c>
      <c r="O391">
        <v>4.05</v>
      </c>
      <c r="P391" s="25">
        <v>-0.28270000000000001</v>
      </c>
      <c r="Q391" s="25">
        <v>-0.45900000000000002</v>
      </c>
      <c r="R391" s="26">
        <v>269373</v>
      </c>
      <c r="S391" s="26">
        <v>186999000</v>
      </c>
      <c r="T391">
        <v>0.01</v>
      </c>
      <c r="U391" s="25">
        <v>-0.26050000000000001</v>
      </c>
    </row>
    <row r="392" spans="1:21" hidden="1" x14ac:dyDescent="0.25">
      <c r="A392" t="s">
        <v>117</v>
      </c>
      <c r="B392">
        <v>6.29</v>
      </c>
      <c r="C392">
        <v>6.44</v>
      </c>
      <c r="D392">
        <v>0.78</v>
      </c>
      <c r="E392">
        <v>0.89200000000000002</v>
      </c>
      <c r="F392" s="25">
        <v>4.7800000000000002E-2</v>
      </c>
      <c r="G392">
        <v>0.376</v>
      </c>
      <c r="H392">
        <v>0.62</v>
      </c>
      <c r="I392">
        <v>6.19</v>
      </c>
      <c r="J392">
        <v>1.1399999999999999</v>
      </c>
      <c r="K392">
        <v>8.07</v>
      </c>
      <c r="L392">
        <v>6.96</v>
      </c>
      <c r="M392" s="25">
        <v>0.14410000000000001</v>
      </c>
      <c r="N392" s="25">
        <v>0.1419</v>
      </c>
      <c r="O392">
        <v>3.57</v>
      </c>
      <c r="P392" s="25">
        <v>7.4899999999999994E-2</v>
      </c>
      <c r="Q392" s="25">
        <v>0.1216</v>
      </c>
      <c r="R392" s="26">
        <v>3606510</v>
      </c>
      <c r="S392" s="26">
        <v>1500220000</v>
      </c>
      <c r="T392">
        <v>0.59</v>
      </c>
      <c r="U392" s="25">
        <v>0.12130000000000001</v>
      </c>
    </row>
    <row r="393" spans="1:21" hidden="1" x14ac:dyDescent="0.25">
      <c r="A393" t="s">
        <v>453</v>
      </c>
      <c r="B393">
        <v>13.63</v>
      </c>
      <c r="C393">
        <v>8.58</v>
      </c>
      <c r="D393">
        <v>1.64</v>
      </c>
      <c r="E393">
        <v>0.499</v>
      </c>
      <c r="F393" s="25">
        <v>1.4E-2</v>
      </c>
      <c r="G393">
        <v>0.69199999999999995</v>
      </c>
      <c r="H393">
        <v>3.43</v>
      </c>
      <c r="I393">
        <v>5.68</v>
      </c>
      <c r="J393">
        <v>9</v>
      </c>
      <c r="K393">
        <v>6.14</v>
      </c>
      <c r="L393">
        <v>5.67</v>
      </c>
      <c r="M393" s="25">
        <v>8.7800000000000003E-2</v>
      </c>
      <c r="N393" s="25">
        <v>5.8099999999999999E-2</v>
      </c>
      <c r="O393">
        <v>1.45</v>
      </c>
      <c r="P393" s="25">
        <v>0.23599999999999999</v>
      </c>
      <c r="Q393" s="25">
        <v>0.19109999999999999</v>
      </c>
      <c r="R393" s="26">
        <v>24898400</v>
      </c>
      <c r="S393" s="26">
        <v>4153040000</v>
      </c>
      <c r="T393">
        <v>0.53</v>
      </c>
      <c r="U393" s="25">
        <v>0.32719999999999999</v>
      </c>
    </row>
    <row r="394" spans="1:21" hidden="1" x14ac:dyDescent="0.25">
      <c r="A394" t="s">
        <v>160</v>
      </c>
      <c r="B394">
        <v>17.18</v>
      </c>
      <c r="C394">
        <v>-53.2</v>
      </c>
      <c r="D394">
        <v>0.69</v>
      </c>
      <c r="E394">
        <v>0.216</v>
      </c>
      <c r="F394" s="25">
        <v>8.8200000000000001E-2</v>
      </c>
      <c r="G394">
        <v>0.21299999999999999</v>
      </c>
      <c r="H394">
        <v>0.57999999999999996</v>
      </c>
      <c r="I394">
        <v>2.69</v>
      </c>
      <c r="J394">
        <v>-4.1500000000000004</v>
      </c>
      <c r="K394">
        <v>5.69</v>
      </c>
      <c r="L394" s="26">
        <v>3.89</v>
      </c>
      <c r="M394" s="25">
        <v>8.0299999999999996E-2</v>
      </c>
      <c r="N394" s="25">
        <v>-4.1999999999999997E-3</v>
      </c>
      <c r="O394">
        <v>2.33</v>
      </c>
      <c r="P394" s="25">
        <v>0.1144</v>
      </c>
      <c r="Q394" s="25">
        <v>-1.29E-2</v>
      </c>
      <c r="R394" s="26">
        <v>7967230</v>
      </c>
      <c r="S394" s="26">
        <v>3314060000</v>
      </c>
      <c r="T394">
        <v>1.28</v>
      </c>
      <c r="U394" s="25">
        <v>0.21640000000000001</v>
      </c>
    </row>
    <row r="395" spans="1:21" hidden="1" x14ac:dyDescent="0.25">
      <c r="A395" t="s">
        <v>454</v>
      </c>
      <c r="B395">
        <v>9.98</v>
      </c>
      <c r="C395">
        <v>-0.97</v>
      </c>
      <c r="D395">
        <v>-0.12</v>
      </c>
      <c r="E395">
        <v>0.36099999999999999</v>
      </c>
      <c r="F395" s="25">
        <v>0</v>
      </c>
      <c r="G395">
        <v>0.252</v>
      </c>
      <c r="H395">
        <v>-0.25</v>
      </c>
      <c r="I395">
        <v>-8.68</v>
      </c>
      <c r="J395">
        <v>-0.09</v>
      </c>
      <c r="K395">
        <v>-74.67</v>
      </c>
      <c r="L395" s="26">
        <v>-1349.04</v>
      </c>
      <c r="M395" s="25">
        <v>-4.1599999999999998E-2</v>
      </c>
      <c r="N395" s="25">
        <v>-0.37230000000000002</v>
      </c>
      <c r="O395">
        <v>0.27</v>
      </c>
      <c r="P395" s="25">
        <v>-3.0599999999999999E-2</v>
      </c>
      <c r="Q395" s="25">
        <v>0.1215</v>
      </c>
      <c r="R395" s="26">
        <v>44</v>
      </c>
      <c r="S395" s="26">
        <v>-360582000</v>
      </c>
      <c r="T395">
        <v>-0.9</v>
      </c>
      <c r="U395" s="25">
        <v>-5.1999999999999998E-3</v>
      </c>
    </row>
    <row r="396" spans="1:21" hidden="1" x14ac:dyDescent="0.25">
      <c r="A396" t="s">
        <v>455</v>
      </c>
      <c r="B396">
        <v>1.68</v>
      </c>
      <c r="C396">
        <v>-0.16</v>
      </c>
      <c r="D396">
        <v>-0.02</v>
      </c>
      <c r="E396">
        <v>6.0999999999999999E-2</v>
      </c>
      <c r="F396" s="25">
        <v>0</v>
      </c>
      <c r="G396">
        <v>4.2000000000000003E-2</v>
      </c>
      <c r="H396">
        <v>-0.04</v>
      </c>
      <c r="I396">
        <v>-1.46</v>
      </c>
      <c r="J396">
        <v>-0.02</v>
      </c>
      <c r="K396">
        <v>-67.45</v>
      </c>
      <c r="L396" s="26">
        <v>-1218.5999999999999</v>
      </c>
      <c r="M396" s="25">
        <v>-4.1599999999999998E-2</v>
      </c>
      <c r="N396" s="25">
        <v>-0.37230000000000002</v>
      </c>
      <c r="O396">
        <v>0.27</v>
      </c>
      <c r="P396" s="25">
        <v>-3.0599999999999999E-2</v>
      </c>
      <c r="Q396" s="25">
        <v>0.1215</v>
      </c>
      <c r="R396" s="26">
        <v>340.21</v>
      </c>
      <c r="S396" s="26">
        <v>-360582000</v>
      </c>
      <c r="T396">
        <v>-0.9</v>
      </c>
      <c r="U396" s="25">
        <v>-5.1999999999999998E-3</v>
      </c>
    </row>
    <row r="397" spans="1:21" hidden="1" x14ac:dyDescent="0.25">
      <c r="A397" t="s">
        <v>124</v>
      </c>
      <c r="B397">
        <v>1.4</v>
      </c>
      <c r="C397" s="26">
        <v>21.91</v>
      </c>
      <c r="D397">
        <v>0.5</v>
      </c>
      <c r="E397">
        <v>0.41599999999999998</v>
      </c>
      <c r="F397" s="25">
        <v>0.12970000000000001</v>
      </c>
      <c r="G397">
        <v>0.23799999999999999</v>
      </c>
      <c r="H397">
        <v>3.2</v>
      </c>
      <c r="I397">
        <v>-14.01</v>
      </c>
      <c r="J397">
        <v>-1.19</v>
      </c>
      <c r="K397">
        <v>-22.78</v>
      </c>
      <c r="L397" s="26">
        <v>16.64</v>
      </c>
      <c r="M397" s="25">
        <v>-2.9700000000000001E-2</v>
      </c>
      <c r="N397" s="25">
        <v>1.9E-2</v>
      </c>
      <c r="O397">
        <v>1.3</v>
      </c>
      <c r="P397" s="25">
        <v>-2.06E-2</v>
      </c>
      <c r="Q397" s="25">
        <v>2.2599999999999999E-2</v>
      </c>
      <c r="R397" s="26">
        <v>44554</v>
      </c>
      <c r="S397" s="26">
        <v>186424000</v>
      </c>
      <c r="T397">
        <v>0.59</v>
      </c>
      <c r="U397" s="25">
        <v>5.11E-2</v>
      </c>
    </row>
    <row r="398" spans="1:21" hidden="1" x14ac:dyDescent="0.25">
      <c r="A398" t="s">
        <v>115</v>
      </c>
      <c r="B398">
        <v>16.260000000000002</v>
      </c>
      <c r="C398">
        <v>8.01</v>
      </c>
      <c r="D398">
        <v>1.19</v>
      </c>
      <c r="E398">
        <v>0.13300000000000001</v>
      </c>
      <c r="F398" s="25">
        <v>4.2999999999999997E-2</v>
      </c>
      <c r="G398">
        <v>0.48</v>
      </c>
      <c r="H398">
        <v>2.89</v>
      </c>
      <c r="I398">
        <v>3.43</v>
      </c>
      <c r="J398">
        <v>-2.4900000000000002</v>
      </c>
      <c r="K398">
        <v>5.76</v>
      </c>
      <c r="L398">
        <v>4.67</v>
      </c>
      <c r="M398" s="25">
        <v>3.8699999999999998E-2</v>
      </c>
      <c r="N398" s="25">
        <v>1.78E-2</v>
      </c>
      <c r="O398">
        <v>1.76</v>
      </c>
      <c r="P398" s="25">
        <v>0.16789999999999999</v>
      </c>
      <c r="Q398" s="25">
        <v>0.14899999999999999</v>
      </c>
      <c r="R398" s="26">
        <v>86493800</v>
      </c>
      <c r="S398" s="26">
        <v>15195500000</v>
      </c>
      <c r="T398">
        <v>0.99</v>
      </c>
      <c r="U398" s="25">
        <v>0.11020000000000001</v>
      </c>
    </row>
    <row r="399" spans="1:21" hidden="1" x14ac:dyDescent="0.25">
      <c r="A399" t="s">
        <v>456</v>
      </c>
      <c r="B399">
        <v>49.36</v>
      </c>
      <c r="C399">
        <v>8.58</v>
      </c>
      <c r="D399">
        <v>2.11</v>
      </c>
      <c r="E399">
        <v>0.99099999999999999</v>
      </c>
      <c r="F399" s="25">
        <v>9.3299999999999994E-2</v>
      </c>
      <c r="G399">
        <v>0.76700000000000002</v>
      </c>
      <c r="H399">
        <v>3.53</v>
      </c>
      <c r="I399">
        <v>7.28</v>
      </c>
      <c r="J399">
        <v>-3.2</v>
      </c>
      <c r="K399">
        <v>8.5500000000000007</v>
      </c>
      <c r="L399">
        <v>5.97</v>
      </c>
      <c r="M399" s="25">
        <v>0.1361</v>
      </c>
      <c r="N399" s="25">
        <v>0.11559999999999999</v>
      </c>
      <c r="O399">
        <v>2.2400000000000002</v>
      </c>
      <c r="P399" s="25">
        <v>0.14269999999999999</v>
      </c>
      <c r="Q399" s="25">
        <v>0.2457</v>
      </c>
      <c r="R399" s="26">
        <v>189018</v>
      </c>
      <c r="S399" s="26">
        <v>2649660000</v>
      </c>
      <c r="T399">
        <v>0.93</v>
      </c>
      <c r="U399" s="25">
        <v>8.0000000000000002E-3</v>
      </c>
    </row>
    <row r="400" spans="1:21" hidden="1" x14ac:dyDescent="0.25">
      <c r="A400" t="s">
        <v>457</v>
      </c>
      <c r="B400">
        <v>56</v>
      </c>
      <c r="C400">
        <v>9.74</v>
      </c>
      <c r="D400">
        <v>2.39</v>
      </c>
      <c r="E400">
        <v>1.125</v>
      </c>
      <c r="F400" s="25">
        <v>9.0399999999999994E-2</v>
      </c>
      <c r="G400">
        <v>0.87</v>
      </c>
      <c r="H400">
        <v>4</v>
      </c>
      <c r="I400">
        <v>8.26</v>
      </c>
      <c r="J400">
        <v>-3.63</v>
      </c>
      <c r="K400">
        <v>9.5299999999999994</v>
      </c>
      <c r="L400">
        <v>6.65</v>
      </c>
      <c r="M400" s="25">
        <v>0.1361</v>
      </c>
      <c r="N400" s="25">
        <v>0.11559999999999999</v>
      </c>
      <c r="O400">
        <v>2.2400000000000002</v>
      </c>
      <c r="P400" s="25">
        <v>0.14269999999999999</v>
      </c>
      <c r="Q400" s="25">
        <v>0.2457</v>
      </c>
      <c r="R400" s="26">
        <v>11387</v>
      </c>
      <c r="S400" s="26">
        <v>2649660000</v>
      </c>
      <c r="T400">
        <v>0.93</v>
      </c>
      <c r="U400" s="25">
        <v>8.0000000000000002E-3</v>
      </c>
    </row>
    <row r="401" spans="1:21" hidden="1" x14ac:dyDescent="0.25">
      <c r="A401" t="s">
        <v>151</v>
      </c>
      <c r="B401">
        <v>55.39</v>
      </c>
      <c r="C401">
        <v>9.6300000000000008</v>
      </c>
      <c r="D401">
        <v>2.37</v>
      </c>
      <c r="E401">
        <v>1.1120000000000001</v>
      </c>
      <c r="F401" s="25">
        <v>9.1399999999999995E-2</v>
      </c>
      <c r="G401">
        <v>0.86099999999999999</v>
      </c>
      <c r="H401">
        <v>3.96</v>
      </c>
      <c r="I401">
        <v>8.17</v>
      </c>
      <c r="J401">
        <v>-3.59</v>
      </c>
      <c r="K401">
        <v>9.44</v>
      </c>
      <c r="L401">
        <v>6.59</v>
      </c>
      <c r="M401" s="25">
        <v>0.1361</v>
      </c>
      <c r="N401" s="25">
        <v>0.11559999999999999</v>
      </c>
      <c r="O401">
        <v>2.2400000000000002</v>
      </c>
      <c r="P401" s="25">
        <v>0.14269999999999999</v>
      </c>
      <c r="Q401" s="25">
        <v>0.2457</v>
      </c>
      <c r="R401" s="26">
        <v>7190220</v>
      </c>
      <c r="S401" s="26">
        <v>2649660000</v>
      </c>
      <c r="T401">
        <v>0.93</v>
      </c>
      <c r="U401" s="25">
        <v>8.0000000000000002E-3</v>
      </c>
    </row>
    <row r="402" spans="1:21" hidden="1" x14ac:dyDescent="0.25">
      <c r="A402" t="s">
        <v>113</v>
      </c>
      <c r="B402">
        <v>4.5199999999999996</v>
      </c>
      <c r="C402">
        <v>40.31</v>
      </c>
      <c r="D402">
        <v>0.23</v>
      </c>
      <c r="E402">
        <v>0.214</v>
      </c>
      <c r="F402" s="25">
        <v>0</v>
      </c>
      <c r="G402">
        <v>0.13900000000000001</v>
      </c>
      <c r="H402">
        <v>0.4</v>
      </c>
      <c r="I402">
        <v>6.04</v>
      </c>
      <c r="J402">
        <v>1.23</v>
      </c>
      <c r="K402">
        <v>7.37</v>
      </c>
      <c r="L402">
        <v>3.18</v>
      </c>
      <c r="M402" s="25">
        <v>3.5400000000000001E-2</v>
      </c>
      <c r="N402" s="25">
        <v>1.15E-2</v>
      </c>
      <c r="O402">
        <v>4.26</v>
      </c>
      <c r="P402" s="25">
        <v>2.98E-2</v>
      </c>
      <c r="Q402" s="25">
        <v>5.7999999999999996E-3</v>
      </c>
      <c r="R402" s="26">
        <v>2136120</v>
      </c>
      <c r="S402" s="26">
        <v>24175800000</v>
      </c>
      <c r="T402">
        <v>0.32</v>
      </c>
      <c r="U402" s="25">
        <v>3.7600000000000001E-2</v>
      </c>
    </row>
    <row r="403" spans="1:21" hidden="1" x14ac:dyDescent="0.25">
      <c r="A403" t="s">
        <v>125</v>
      </c>
      <c r="B403">
        <v>4.3600000000000003</v>
      </c>
      <c r="C403">
        <v>38.880000000000003</v>
      </c>
      <c r="D403">
        <v>0.23</v>
      </c>
      <c r="E403">
        <v>0.20599999999999999</v>
      </c>
      <c r="F403" s="25">
        <v>0</v>
      </c>
      <c r="G403">
        <v>0.13400000000000001</v>
      </c>
      <c r="H403">
        <v>0.39</v>
      </c>
      <c r="I403">
        <v>5.82</v>
      </c>
      <c r="J403">
        <v>1.19</v>
      </c>
      <c r="K403">
        <v>7.16</v>
      </c>
      <c r="L403">
        <v>3.09</v>
      </c>
      <c r="M403" s="25">
        <v>3.5400000000000001E-2</v>
      </c>
      <c r="N403" s="25">
        <v>1.15E-2</v>
      </c>
      <c r="O403">
        <v>4.26</v>
      </c>
      <c r="P403" s="25">
        <v>2.98E-2</v>
      </c>
      <c r="Q403" s="25">
        <v>5.7999999999999996E-3</v>
      </c>
      <c r="R403" s="26">
        <v>67185700</v>
      </c>
      <c r="S403" s="26">
        <v>24175800000</v>
      </c>
      <c r="T403">
        <v>0.32</v>
      </c>
      <c r="U403" s="25">
        <v>3.7600000000000001E-2</v>
      </c>
    </row>
    <row r="404" spans="1:21" hidden="1" x14ac:dyDescent="0.25">
      <c r="A404" t="s">
        <v>458</v>
      </c>
      <c r="B404">
        <v>8</v>
      </c>
      <c r="C404">
        <v>71.34</v>
      </c>
      <c r="D404">
        <v>0.41</v>
      </c>
      <c r="E404">
        <v>0.378</v>
      </c>
      <c r="F404" s="25">
        <v>0</v>
      </c>
      <c r="G404">
        <v>0.246</v>
      </c>
      <c r="H404">
        <v>0.71</v>
      </c>
      <c r="I404">
        <v>10.68</v>
      </c>
      <c r="J404">
        <v>2.17</v>
      </c>
      <c r="K404">
        <v>12.02</v>
      </c>
      <c r="L404">
        <v>5.19</v>
      </c>
      <c r="M404" s="25">
        <v>3.5400000000000001E-2</v>
      </c>
      <c r="N404" s="25">
        <v>1.15E-2</v>
      </c>
      <c r="O404">
        <v>4.26</v>
      </c>
      <c r="P404" s="25">
        <v>2.98E-2</v>
      </c>
      <c r="Q404" s="25">
        <v>5.7999999999999996E-3</v>
      </c>
      <c r="R404" s="26">
        <v>95.24</v>
      </c>
      <c r="S404" s="26">
        <v>24175800000</v>
      </c>
      <c r="T404">
        <v>0.32</v>
      </c>
      <c r="U404" s="25">
        <v>3.7600000000000001E-2</v>
      </c>
    </row>
    <row r="405" spans="1:21" hidden="1" x14ac:dyDescent="0.25">
      <c r="A405" t="s">
        <v>97</v>
      </c>
      <c r="B405">
        <v>57.42</v>
      </c>
      <c r="C405">
        <v>8.2799999999999994</v>
      </c>
      <c r="D405">
        <v>1.29</v>
      </c>
      <c r="E405">
        <v>1.232</v>
      </c>
      <c r="F405" s="25">
        <v>8.2799999999999999E-2</v>
      </c>
      <c r="G405">
        <v>0.54400000000000004</v>
      </c>
      <c r="H405">
        <v>31.23</v>
      </c>
      <c r="I405">
        <v>3.65</v>
      </c>
      <c r="J405">
        <v>-1.4</v>
      </c>
      <c r="K405">
        <v>4.63</v>
      </c>
      <c r="L405">
        <v>3.73</v>
      </c>
      <c r="M405" s="25">
        <v>0.33779999999999999</v>
      </c>
      <c r="N405" s="25">
        <v>0.1431</v>
      </c>
      <c r="O405">
        <v>1.1100000000000001</v>
      </c>
      <c r="P405" s="25">
        <v>0.1658</v>
      </c>
      <c r="Q405" s="25">
        <v>0.15570000000000001</v>
      </c>
      <c r="R405" s="26">
        <v>1215320000</v>
      </c>
      <c r="S405" s="26">
        <v>202082000000</v>
      </c>
      <c r="T405">
        <v>0.46</v>
      </c>
      <c r="U405" s="25">
        <v>-5.9799999999999999E-2</v>
      </c>
    </row>
    <row r="406" spans="1:21" hidden="1" x14ac:dyDescent="0.25">
      <c r="A406" t="s">
        <v>213</v>
      </c>
      <c r="B406">
        <v>3.89</v>
      </c>
      <c r="C406">
        <v>13.75</v>
      </c>
      <c r="D406">
        <v>1.69</v>
      </c>
      <c r="E406">
        <v>0.97699999999999998</v>
      </c>
      <c r="F406" s="25">
        <v>7.0400000000000004E-2</v>
      </c>
      <c r="G406">
        <v>0.188</v>
      </c>
      <c r="H406">
        <v>1.54</v>
      </c>
      <c r="I406">
        <v>1.53</v>
      </c>
      <c r="J406">
        <v>-0.3</v>
      </c>
      <c r="K406">
        <v>5.86</v>
      </c>
      <c r="L406">
        <v>4.51</v>
      </c>
      <c r="M406" s="25">
        <v>0.63870000000000005</v>
      </c>
      <c r="N406" s="25">
        <v>7.0999999999999994E-2</v>
      </c>
      <c r="O406">
        <v>1.86</v>
      </c>
      <c r="P406" s="25">
        <v>0.16239999999999999</v>
      </c>
      <c r="Q406" s="25">
        <v>0.1229</v>
      </c>
      <c r="R406" s="26">
        <v>64789800</v>
      </c>
      <c r="S406" s="26">
        <v>2488240000</v>
      </c>
      <c r="T406">
        <v>6.58</v>
      </c>
      <c r="U406" s="25">
        <v>0.27750000000000002</v>
      </c>
    </row>
    <row r="407" spans="1:21" hidden="1" x14ac:dyDescent="0.25">
      <c r="A407" t="s">
        <v>116</v>
      </c>
      <c r="B407">
        <v>20.21</v>
      </c>
      <c r="C407">
        <v>3.65</v>
      </c>
      <c r="D407">
        <v>1.1000000000000001</v>
      </c>
      <c r="E407">
        <v>0.127</v>
      </c>
      <c r="F407" s="25">
        <v>6.5100000000000005E-2</v>
      </c>
      <c r="G407">
        <v>0.36299999999999999</v>
      </c>
      <c r="H407">
        <v>1.8</v>
      </c>
      <c r="I407">
        <v>4.97</v>
      </c>
      <c r="J407">
        <v>-1.48</v>
      </c>
      <c r="K407">
        <v>9.56</v>
      </c>
      <c r="L407">
        <v>8.36</v>
      </c>
      <c r="M407" s="25">
        <v>2.5600000000000001E-2</v>
      </c>
      <c r="N407" s="25">
        <v>3.4799999999999998E-2</v>
      </c>
      <c r="O407">
        <v>1.94</v>
      </c>
      <c r="P407" s="25">
        <v>8.4500000000000006E-2</v>
      </c>
      <c r="Q407" s="25">
        <v>0.30130000000000001</v>
      </c>
      <c r="R407" s="26">
        <v>214664000</v>
      </c>
      <c r="S407" s="26">
        <v>20557000000</v>
      </c>
      <c r="T407">
        <v>1.28</v>
      </c>
      <c r="U407" s="25">
        <v>0.1709</v>
      </c>
    </row>
    <row r="408" spans="1:21" hidden="1" x14ac:dyDescent="0.25">
      <c r="A408" t="s">
        <v>220</v>
      </c>
      <c r="B408">
        <v>4.83</v>
      </c>
      <c r="C408">
        <v>9.9700000000000006</v>
      </c>
      <c r="D408">
        <v>1.1499999999999999</v>
      </c>
      <c r="E408">
        <v>0.90400000000000003</v>
      </c>
      <c r="F408" s="25">
        <v>6.4100000000000004E-2</v>
      </c>
      <c r="G408">
        <v>0.73599999999999999</v>
      </c>
      <c r="H408">
        <v>1.87</v>
      </c>
      <c r="I408">
        <v>8.61</v>
      </c>
      <c r="J408">
        <v>2.74</v>
      </c>
      <c r="K408">
        <v>11.58</v>
      </c>
      <c r="L408">
        <v>9.15</v>
      </c>
      <c r="M408" s="25">
        <v>0.105</v>
      </c>
      <c r="N408" s="25">
        <v>9.0399999999999994E-2</v>
      </c>
      <c r="O408">
        <v>2.67</v>
      </c>
      <c r="P408" s="25">
        <v>8.9099999999999999E-2</v>
      </c>
      <c r="Q408" s="25">
        <v>0.1159</v>
      </c>
      <c r="R408" s="26">
        <v>1098590</v>
      </c>
      <c r="S408" s="26">
        <v>628625000</v>
      </c>
      <c r="T408">
        <v>0.43</v>
      </c>
      <c r="U408" s="25">
        <v>5.5399999999999998E-2</v>
      </c>
    </row>
    <row r="409" spans="1:21" hidden="1" x14ac:dyDescent="0.25">
      <c r="A409" t="s">
        <v>142</v>
      </c>
      <c r="B409">
        <v>25.39</v>
      </c>
      <c r="C409">
        <v>8.19</v>
      </c>
      <c r="D409">
        <v>2.2999999999999998</v>
      </c>
      <c r="E409">
        <v>2.246</v>
      </c>
      <c r="F409" s="25">
        <v>2.5999999999999999E-2</v>
      </c>
      <c r="G409">
        <v>1.4179999999999999</v>
      </c>
      <c r="H409">
        <v>3.16</v>
      </c>
      <c r="I409">
        <v>9.19</v>
      </c>
      <c r="J409">
        <v>5.83</v>
      </c>
      <c r="K409">
        <v>9.6300000000000008</v>
      </c>
      <c r="L409">
        <v>7.79</v>
      </c>
      <c r="M409" s="25">
        <v>0.2445</v>
      </c>
      <c r="N409" s="25">
        <v>0.27439999999999998</v>
      </c>
      <c r="O409">
        <v>3.54</v>
      </c>
      <c r="P409" s="25">
        <v>0.16789999999999999</v>
      </c>
      <c r="Q409" s="25">
        <v>0.28050000000000003</v>
      </c>
      <c r="R409" s="26">
        <v>77080300</v>
      </c>
      <c r="S409" s="26">
        <v>2611940000</v>
      </c>
      <c r="T409">
        <v>0.18</v>
      </c>
      <c r="U409" s="25">
        <v>0.24540000000000001</v>
      </c>
    </row>
    <row r="410" spans="1:21" hidden="1" x14ac:dyDescent="0.25">
      <c r="A410" t="s">
        <v>254</v>
      </c>
      <c r="B410">
        <v>0.83</v>
      </c>
      <c r="C410">
        <v>-0.72</v>
      </c>
      <c r="D410">
        <v>0.22</v>
      </c>
      <c r="E410">
        <v>0.28199999999999997</v>
      </c>
      <c r="F410" s="25">
        <v>0</v>
      </c>
      <c r="G410">
        <v>0.114</v>
      </c>
      <c r="H410">
        <v>0.65</v>
      </c>
      <c r="I410">
        <v>12.78</v>
      </c>
      <c r="J410">
        <v>-2.46</v>
      </c>
      <c r="K410">
        <v>13.2</v>
      </c>
      <c r="L410">
        <v>11.31</v>
      </c>
      <c r="M410" s="25">
        <v>2.2100000000000002E-2</v>
      </c>
      <c r="N410" s="25">
        <v>-0.38350000000000001</v>
      </c>
      <c r="O410">
        <v>1.71</v>
      </c>
      <c r="P410" s="25">
        <v>9.7000000000000003E-3</v>
      </c>
      <c r="Q410" s="25">
        <v>-0.312</v>
      </c>
      <c r="R410" s="26">
        <v>24928</v>
      </c>
      <c r="S410" s="26">
        <v>142168000</v>
      </c>
      <c r="T410">
        <v>0.15</v>
      </c>
      <c r="U410" s="25">
        <v>0.2097</v>
      </c>
    </row>
    <row r="411" spans="1:21" hidden="1" x14ac:dyDescent="0.25">
      <c r="A411" t="s">
        <v>152</v>
      </c>
      <c r="B411">
        <v>30.7</v>
      </c>
      <c r="C411">
        <v>17.53</v>
      </c>
      <c r="D411">
        <v>1.47</v>
      </c>
      <c r="E411">
        <v>1.766</v>
      </c>
      <c r="F411" s="25">
        <v>5.2499999999999998E-2</v>
      </c>
      <c r="G411">
        <v>0.79100000000000004</v>
      </c>
      <c r="H411">
        <v>-104.25</v>
      </c>
      <c r="I411">
        <v>11.92</v>
      </c>
      <c r="J411">
        <v>-3.07</v>
      </c>
      <c r="K411">
        <v>13.39</v>
      </c>
      <c r="L411">
        <v>4.9000000000000004</v>
      </c>
      <c r="M411" s="25">
        <v>0.14810000000000001</v>
      </c>
      <c r="N411" s="25">
        <v>0.1009</v>
      </c>
      <c r="O411">
        <v>0.96</v>
      </c>
      <c r="P411" s="25">
        <v>7.7100000000000002E-2</v>
      </c>
      <c r="Q411" s="25">
        <v>8.3900000000000002E-2</v>
      </c>
      <c r="R411" s="26">
        <v>205485000</v>
      </c>
      <c r="S411" s="26">
        <v>68076000000</v>
      </c>
      <c r="T411">
        <v>0.3</v>
      </c>
      <c r="U411" s="25">
        <v>7.4499999999999997E-2</v>
      </c>
    </row>
    <row r="412" spans="1:21" hidden="1" x14ac:dyDescent="0.25">
      <c r="A412" t="s">
        <v>59</v>
      </c>
      <c r="B412">
        <v>22.33</v>
      </c>
      <c r="C412">
        <v>5.96</v>
      </c>
      <c r="D412">
        <v>1.04</v>
      </c>
      <c r="E412">
        <v>0.83499999999999996</v>
      </c>
      <c r="F412" s="25">
        <v>0.1211</v>
      </c>
      <c r="G412">
        <v>0.62</v>
      </c>
      <c r="H412">
        <v>1.86</v>
      </c>
      <c r="I412">
        <v>4.8099999999999996</v>
      </c>
      <c r="J412">
        <v>5.6</v>
      </c>
      <c r="K412">
        <v>4.6900000000000004</v>
      </c>
      <c r="L412">
        <v>3.68</v>
      </c>
      <c r="M412" s="25">
        <v>0.17369999999999999</v>
      </c>
      <c r="N412" s="25">
        <v>0.1401</v>
      </c>
      <c r="O412">
        <v>2.83</v>
      </c>
      <c r="P412" s="25">
        <v>0.1787</v>
      </c>
      <c r="Q412" s="25">
        <v>0.17510000000000001</v>
      </c>
      <c r="R412" s="26">
        <v>7060810</v>
      </c>
      <c r="S412" s="26">
        <v>1750530000</v>
      </c>
      <c r="T412">
        <v>0.34</v>
      </c>
      <c r="U412" s="25">
        <v>1.8200000000000001E-2</v>
      </c>
    </row>
    <row r="413" spans="1:21" hidden="1" x14ac:dyDescent="0.25">
      <c r="A413" t="s">
        <v>261</v>
      </c>
      <c r="B413">
        <v>5.99</v>
      </c>
      <c r="C413">
        <v>-73.06</v>
      </c>
      <c r="D413">
        <v>0.67</v>
      </c>
      <c r="E413">
        <v>0.60599999999999998</v>
      </c>
      <c r="F413" s="25">
        <v>2.0000000000000001E-4</v>
      </c>
      <c r="G413">
        <v>0.41599999999999998</v>
      </c>
      <c r="H413">
        <v>4.8600000000000003</v>
      </c>
      <c r="I413">
        <v>16.350000000000001</v>
      </c>
      <c r="J413">
        <v>-5.07</v>
      </c>
      <c r="K413">
        <v>23.47</v>
      </c>
      <c r="L413">
        <v>4.59</v>
      </c>
      <c r="M413" s="25">
        <v>3.7100000000000001E-2</v>
      </c>
      <c r="N413" s="25">
        <v>-8.3000000000000001E-3</v>
      </c>
      <c r="O413">
        <v>1.41</v>
      </c>
      <c r="P413" s="25">
        <v>2.8400000000000002E-2</v>
      </c>
      <c r="Q413" s="25">
        <v>-9.1000000000000004E-3</v>
      </c>
      <c r="R413" s="26">
        <v>180566</v>
      </c>
      <c r="S413" s="26">
        <v>1029440000</v>
      </c>
      <c r="T413">
        <v>0.33</v>
      </c>
      <c r="U413" s="25">
        <v>0.16880000000000001</v>
      </c>
    </row>
    <row r="414" spans="1:21" hidden="1" x14ac:dyDescent="0.25">
      <c r="A414" t="s">
        <v>459</v>
      </c>
      <c r="B414">
        <v>8.77</v>
      </c>
      <c r="C414">
        <v>3.56</v>
      </c>
      <c r="D414">
        <v>0.45</v>
      </c>
      <c r="E414">
        <v>0.53900000000000003</v>
      </c>
      <c r="F414" s="25">
        <v>2.5000000000000001E-3</v>
      </c>
      <c r="G414">
        <v>0.19800000000000001</v>
      </c>
      <c r="H414">
        <v>2.2999999999999998</v>
      </c>
      <c r="I414">
        <v>1.59</v>
      </c>
      <c r="J414">
        <v>-0.49</v>
      </c>
      <c r="K414">
        <v>4.09</v>
      </c>
      <c r="L414">
        <v>3.16</v>
      </c>
      <c r="M414" s="25">
        <v>0.33910000000000001</v>
      </c>
      <c r="N414" s="25">
        <v>0.1515</v>
      </c>
      <c r="O414">
        <v>2.15</v>
      </c>
      <c r="P414" s="25">
        <v>0.14149999999999999</v>
      </c>
      <c r="Q414" s="25">
        <v>0.1268</v>
      </c>
      <c r="R414" s="26">
        <v>6184850</v>
      </c>
      <c r="S414" s="26">
        <v>2608610000</v>
      </c>
      <c r="T414">
        <v>0.93</v>
      </c>
      <c r="U414" s="25">
        <v>0.1741</v>
      </c>
    </row>
    <row r="415" spans="1:21" hidden="1" x14ac:dyDescent="0.25">
      <c r="A415" t="s">
        <v>190</v>
      </c>
      <c r="B415">
        <v>18.600000000000001</v>
      </c>
      <c r="C415">
        <v>8.73</v>
      </c>
      <c r="D415">
        <v>2.3199999999999998</v>
      </c>
      <c r="E415">
        <v>1.6259999999999999</v>
      </c>
      <c r="F415" s="25">
        <v>8.72E-2</v>
      </c>
      <c r="G415">
        <v>1.7470000000000001</v>
      </c>
      <c r="H415">
        <v>3.41</v>
      </c>
      <c r="I415">
        <v>9.16</v>
      </c>
      <c r="J415">
        <v>3.87</v>
      </c>
      <c r="K415">
        <v>9.18</v>
      </c>
      <c r="L415">
        <v>7.66</v>
      </c>
      <c r="M415" s="25">
        <v>0.17749999999999999</v>
      </c>
      <c r="N415" s="25">
        <v>0.18629999999999999</v>
      </c>
      <c r="O415">
        <v>3.74</v>
      </c>
      <c r="P415" s="25">
        <v>0.22</v>
      </c>
      <c r="Q415" s="25">
        <v>0.26619999999999999</v>
      </c>
      <c r="R415" s="26">
        <v>11889900</v>
      </c>
      <c r="S415" s="26">
        <v>2205960000</v>
      </c>
      <c r="T415">
        <v>0.12</v>
      </c>
      <c r="U415" s="25">
        <v>0.24379999999999999</v>
      </c>
    </row>
    <row r="416" spans="1:21" hidden="1" x14ac:dyDescent="0.25">
      <c r="A416" t="s">
        <v>222</v>
      </c>
      <c r="B416">
        <v>1.1100000000000001</v>
      </c>
      <c r="C416">
        <v>-0.24</v>
      </c>
      <c r="D416">
        <v>0.19</v>
      </c>
      <c r="E416">
        <v>3.1E-2</v>
      </c>
      <c r="F416" s="25">
        <v>0</v>
      </c>
      <c r="G416">
        <v>3.7999999999999999E-2</v>
      </c>
      <c r="H416">
        <v>0.15</v>
      </c>
      <c r="I416">
        <v>-2.35</v>
      </c>
      <c r="J416">
        <v>-0.15</v>
      </c>
      <c r="K416">
        <v>-21.32</v>
      </c>
      <c r="L416">
        <v>19.72</v>
      </c>
      <c r="M416" s="25">
        <v>-1.3299999999999999E-2</v>
      </c>
      <c r="N416" s="25">
        <v>-0.1295</v>
      </c>
      <c r="O416">
        <v>1.85</v>
      </c>
      <c r="P416" s="25">
        <v>-2.3E-2</v>
      </c>
      <c r="Q416" s="25">
        <v>-0.79069999999999996</v>
      </c>
      <c r="R416" s="26">
        <v>830872</v>
      </c>
      <c r="S416" s="26">
        <v>1868630000</v>
      </c>
      <c r="T416">
        <v>2.02</v>
      </c>
      <c r="U416" s="25">
        <v>0.1948</v>
      </c>
    </row>
    <row r="417" spans="1:21" hidden="1" x14ac:dyDescent="0.25">
      <c r="A417" t="s">
        <v>77</v>
      </c>
      <c r="B417">
        <v>38.01</v>
      </c>
      <c r="C417">
        <v>24.89</v>
      </c>
      <c r="D417">
        <v>7.18</v>
      </c>
      <c r="E417">
        <v>3.895</v>
      </c>
      <c r="F417" s="25">
        <v>2.1399999999999999E-2</v>
      </c>
      <c r="G417">
        <v>4.0049999999999999</v>
      </c>
      <c r="H417">
        <v>14.45</v>
      </c>
      <c r="I417">
        <v>17.82</v>
      </c>
      <c r="J417">
        <v>18.53</v>
      </c>
      <c r="K417">
        <v>17.47</v>
      </c>
      <c r="L417">
        <v>15.84</v>
      </c>
      <c r="M417" s="25">
        <v>0.21859999999999999</v>
      </c>
      <c r="N417" s="25">
        <v>0.16500000000000001</v>
      </c>
      <c r="O417">
        <v>1.77</v>
      </c>
      <c r="P417" s="25">
        <v>0.2863</v>
      </c>
      <c r="Q417" s="25">
        <v>0.28860000000000002</v>
      </c>
      <c r="R417" s="26">
        <v>350176000</v>
      </c>
      <c r="S417" s="26">
        <v>22215900000</v>
      </c>
      <c r="T417">
        <v>0.12</v>
      </c>
      <c r="U417" s="25">
        <v>0.17599999999999999</v>
      </c>
    </row>
    <row r="418" spans="1:21" hidden="1" x14ac:dyDescent="0.25">
      <c r="A418" t="s">
        <v>84</v>
      </c>
      <c r="B418">
        <v>3.69</v>
      </c>
      <c r="C418">
        <v>-2.09</v>
      </c>
      <c r="D418">
        <v>0.19</v>
      </c>
      <c r="E418">
        <v>0.25600000000000001</v>
      </c>
      <c r="F418" s="25">
        <v>0</v>
      </c>
      <c r="G418">
        <v>0.13700000000000001</v>
      </c>
      <c r="H418">
        <v>0.36</v>
      </c>
      <c r="I418">
        <v>-0.94</v>
      </c>
      <c r="J418">
        <v>0.43</v>
      </c>
      <c r="K418">
        <v>1.36</v>
      </c>
      <c r="L418">
        <v>2.27</v>
      </c>
      <c r="M418" s="25">
        <v>-0.27200000000000002</v>
      </c>
      <c r="N418" s="25">
        <v>-0.12230000000000001</v>
      </c>
      <c r="O418">
        <v>2.91</v>
      </c>
      <c r="P418" s="25">
        <v>-0.2752</v>
      </c>
      <c r="Q418" s="25">
        <v>-8.8599999999999998E-2</v>
      </c>
      <c r="R418" s="26">
        <v>29836.2</v>
      </c>
      <c r="S418" s="26">
        <v>221569000</v>
      </c>
      <c r="T418">
        <v>0.05</v>
      </c>
      <c r="U418" s="25">
        <v>-0.12529999999999999</v>
      </c>
    </row>
    <row r="419" spans="1:21" hidden="1" x14ac:dyDescent="0.25">
      <c r="A419" t="s">
        <v>460</v>
      </c>
      <c r="B419">
        <v>4.18</v>
      </c>
      <c r="C419">
        <v>7.02</v>
      </c>
      <c r="D419">
        <v>2.29</v>
      </c>
      <c r="E419">
        <v>0.47699999999999998</v>
      </c>
      <c r="F419" s="25">
        <v>0.17180000000000001</v>
      </c>
      <c r="G419">
        <v>0.625</v>
      </c>
      <c r="H419">
        <v>14.81</v>
      </c>
      <c r="I419">
        <v>5.43</v>
      </c>
      <c r="J419">
        <v>-16.34</v>
      </c>
      <c r="K419">
        <v>3.9</v>
      </c>
      <c r="L419">
        <v>3.2</v>
      </c>
      <c r="M419" s="25">
        <v>8.7900000000000006E-2</v>
      </c>
      <c r="N419" s="25">
        <v>6.8099999999999994E-2</v>
      </c>
      <c r="O419">
        <v>1.07</v>
      </c>
      <c r="P419" s="25">
        <v>0.38919999999999999</v>
      </c>
      <c r="Q419" s="25">
        <v>0.32669999999999999</v>
      </c>
      <c r="R419" s="26">
        <v>23869.7</v>
      </c>
      <c r="S419" s="26">
        <v>2738890000</v>
      </c>
      <c r="T419">
        <v>0.41</v>
      </c>
      <c r="U419" s="25">
        <v>5.9700000000000003E-2</v>
      </c>
    </row>
    <row r="420" spans="1:21" hidden="1" x14ac:dyDescent="0.25">
      <c r="A420" t="s">
        <v>13</v>
      </c>
      <c r="B420">
        <v>4.1500000000000004</v>
      </c>
      <c r="C420">
        <v>6.97</v>
      </c>
      <c r="D420">
        <v>2.2799999999999998</v>
      </c>
      <c r="E420">
        <v>0.47399999999999998</v>
      </c>
      <c r="F420" s="25">
        <v>0.19040000000000001</v>
      </c>
      <c r="G420">
        <v>0.62</v>
      </c>
      <c r="H420">
        <v>14.7</v>
      </c>
      <c r="I420">
        <v>5.39</v>
      </c>
      <c r="J420">
        <v>-16.23</v>
      </c>
      <c r="K420">
        <v>3.87</v>
      </c>
      <c r="L420">
        <v>3.17</v>
      </c>
      <c r="M420" s="25">
        <v>8.7900000000000006E-2</v>
      </c>
      <c r="N420" s="25">
        <v>6.8099999999999994E-2</v>
      </c>
      <c r="O420">
        <v>1.07</v>
      </c>
      <c r="P420" s="25">
        <v>0.38919999999999999</v>
      </c>
      <c r="Q420" s="25">
        <v>0.32669999999999999</v>
      </c>
      <c r="R420" s="26">
        <v>141601</v>
      </c>
      <c r="S420" s="26">
        <v>2738890000</v>
      </c>
      <c r="T420">
        <v>0.41</v>
      </c>
      <c r="U420" s="25">
        <v>5.9700000000000003E-2</v>
      </c>
    </row>
    <row r="421" spans="1:21" hidden="1" x14ac:dyDescent="0.25">
      <c r="A421" t="s">
        <v>119</v>
      </c>
      <c r="B421">
        <v>7.19</v>
      </c>
      <c r="C421">
        <v>6.79</v>
      </c>
      <c r="D421">
        <v>1.94</v>
      </c>
      <c r="E421">
        <v>0.88100000000000001</v>
      </c>
      <c r="F421" s="25">
        <v>3.4799999999999998E-2</v>
      </c>
      <c r="G421">
        <v>0.44900000000000001</v>
      </c>
      <c r="H421">
        <v>48.83</v>
      </c>
      <c r="I421">
        <v>1.76</v>
      </c>
      <c r="J421">
        <v>-1.6</v>
      </c>
      <c r="K421">
        <v>1.71</v>
      </c>
      <c r="L421">
        <v>1.45</v>
      </c>
      <c r="M421" s="25">
        <v>0.49940000000000001</v>
      </c>
      <c r="N421" s="25">
        <v>0.2402</v>
      </c>
      <c r="O421">
        <v>1.04</v>
      </c>
      <c r="P421" s="25">
        <v>0.33579999999999999</v>
      </c>
      <c r="Q421" s="25">
        <v>0.28539999999999999</v>
      </c>
      <c r="R421" s="26">
        <v>3202290</v>
      </c>
      <c r="S421" s="26">
        <v>593034000</v>
      </c>
      <c r="T421">
        <v>0.68</v>
      </c>
      <c r="U421" s="25">
        <v>0.12720000000000001</v>
      </c>
    </row>
    <row r="422" spans="1:21" hidden="1" x14ac:dyDescent="0.25">
      <c r="A422" t="s">
        <v>461</v>
      </c>
      <c r="B422">
        <v>24</v>
      </c>
      <c r="C422">
        <v>7.01</v>
      </c>
      <c r="D422">
        <v>1.1000000000000001</v>
      </c>
      <c r="E422">
        <v>0.28599999999999998</v>
      </c>
      <c r="F422" s="25">
        <v>6.1100000000000002E-2</v>
      </c>
      <c r="G422">
        <v>0.61299999999999999</v>
      </c>
      <c r="H422">
        <v>1.79</v>
      </c>
      <c r="I422">
        <v>4.99</v>
      </c>
      <c r="J422">
        <v>4.09</v>
      </c>
      <c r="K422">
        <v>6.92</v>
      </c>
      <c r="L422">
        <v>6.68</v>
      </c>
      <c r="M422" s="25">
        <v>5.7299999999999997E-2</v>
      </c>
      <c r="N422" s="25">
        <v>4.0800000000000003E-2</v>
      </c>
      <c r="O422">
        <v>2.36</v>
      </c>
      <c r="P422" s="25">
        <v>0.1381</v>
      </c>
      <c r="Q422" s="25">
        <v>0.15690000000000001</v>
      </c>
      <c r="R422" s="26">
        <v>1131.19</v>
      </c>
      <c r="S422" s="26">
        <v>794718000</v>
      </c>
      <c r="T422">
        <v>0.53</v>
      </c>
      <c r="U422" s="25">
        <v>0.26329999999999998</v>
      </c>
    </row>
    <row r="423" spans="1:21" hidden="1" x14ac:dyDescent="0.25">
      <c r="A423" t="s">
        <v>462</v>
      </c>
      <c r="B423">
        <v>23.28</v>
      </c>
      <c r="C423">
        <v>6.8</v>
      </c>
      <c r="D423">
        <v>1.07</v>
      </c>
      <c r="E423">
        <v>0.27800000000000002</v>
      </c>
      <c r="F423" s="25">
        <v>6.93E-2</v>
      </c>
      <c r="G423">
        <v>0.59399999999999997</v>
      </c>
      <c r="H423">
        <v>1.74</v>
      </c>
      <c r="I423">
        <v>4.84</v>
      </c>
      <c r="J423">
        <v>3.97</v>
      </c>
      <c r="K423">
        <v>6.77</v>
      </c>
      <c r="L423">
        <v>6.53</v>
      </c>
      <c r="M423" s="25">
        <v>5.7299999999999997E-2</v>
      </c>
      <c r="N423" s="25">
        <v>4.0800000000000003E-2</v>
      </c>
      <c r="O423">
        <v>2.36</v>
      </c>
      <c r="P423" s="25">
        <v>0.1381</v>
      </c>
      <c r="Q423" s="25">
        <v>0.15690000000000001</v>
      </c>
      <c r="R423" s="26">
        <v>45706.8</v>
      </c>
      <c r="S423" s="26">
        <v>794718000</v>
      </c>
      <c r="T423">
        <v>0.53</v>
      </c>
      <c r="U423" s="25">
        <v>0.26329999999999998</v>
      </c>
    </row>
    <row r="424" spans="1:21" hidden="1" x14ac:dyDescent="0.25">
      <c r="A424" t="s">
        <v>206</v>
      </c>
      <c r="B424">
        <v>13.01</v>
      </c>
      <c r="C424">
        <v>11.16</v>
      </c>
      <c r="D424">
        <v>1.1499999999999999</v>
      </c>
      <c r="E424">
        <v>0.66300000000000003</v>
      </c>
      <c r="F424" s="25">
        <v>4.3900000000000002E-2</v>
      </c>
      <c r="G424">
        <v>0.36299999999999999</v>
      </c>
      <c r="H424">
        <v>5.58</v>
      </c>
      <c r="I424">
        <v>4.09</v>
      </c>
      <c r="J424">
        <v>-0.83</v>
      </c>
      <c r="K424" s="26">
        <v>9.19</v>
      </c>
      <c r="L424">
        <v>4.7300000000000004</v>
      </c>
      <c r="M424" s="25">
        <v>0.16200000000000001</v>
      </c>
      <c r="N424" s="25">
        <v>5.9400000000000001E-2</v>
      </c>
      <c r="O424">
        <v>1.36</v>
      </c>
      <c r="P424" s="25">
        <v>0.1003</v>
      </c>
      <c r="Q424" s="25">
        <v>0.10290000000000001</v>
      </c>
      <c r="R424" s="26">
        <v>55159900</v>
      </c>
      <c r="S424" s="26">
        <v>3103980000</v>
      </c>
      <c r="T424">
        <v>1.73</v>
      </c>
      <c r="U424" s="25">
        <v>7.7600000000000002E-2</v>
      </c>
    </row>
    <row r="425" spans="1:21" hidden="1" x14ac:dyDescent="0.25">
      <c r="A425" t="s">
        <v>243</v>
      </c>
      <c r="B425">
        <v>3.48</v>
      </c>
      <c r="C425" s="26">
        <v>-9.83</v>
      </c>
      <c r="D425">
        <v>0.93</v>
      </c>
      <c r="E425">
        <v>0.30199999999999999</v>
      </c>
      <c r="F425" s="25">
        <v>0</v>
      </c>
      <c r="G425">
        <v>0.32600000000000001</v>
      </c>
      <c r="H425">
        <v>11.67</v>
      </c>
      <c r="I425">
        <v>-903.42</v>
      </c>
      <c r="J425">
        <v>-0.78</v>
      </c>
      <c r="K425" s="26">
        <v>-1377.77</v>
      </c>
      <c r="L425">
        <v>4.3899999999999997</v>
      </c>
      <c r="M425" s="25">
        <v>-2.9999999999999997E-4</v>
      </c>
      <c r="N425" s="25">
        <v>-3.0700000000000002E-2</v>
      </c>
      <c r="O425">
        <v>1.1399999999999999</v>
      </c>
      <c r="P425" s="25">
        <v>-4.0000000000000002E-4</v>
      </c>
      <c r="Q425" s="25">
        <v>-9.4799999999999995E-2</v>
      </c>
      <c r="R425" s="26">
        <v>2629240</v>
      </c>
      <c r="S425" s="26">
        <v>1519080000</v>
      </c>
      <c r="T425">
        <v>0.74</v>
      </c>
      <c r="U425" s="25">
        <v>0.2024</v>
      </c>
    </row>
    <row r="426" spans="1:21" x14ac:dyDescent="0.25">
      <c r="C426" s="26"/>
      <c r="F426" s="25"/>
      <c r="K426" s="26"/>
      <c r="M426" s="25"/>
      <c r="N426" s="25"/>
      <c r="P426" s="25"/>
      <c r="Q426" s="25"/>
      <c r="R426" s="26"/>
      <c r="S426" s="26"/>
      <c r="U426" s="25"/>
    </row>
  </sheetData>
  <autoFilter ref="A1:U425" xr:uid="{3BAA95AD-4DCA-4F23-B841-B8419749550B}">
    <filterColumn colId="0">
      <filters>
        <filter val="LAVV3"/>
      </filters>
    </filterColumn>
  </autoFilter>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25D2283-556C-4F35-8238-B84D10EF6A3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Bovespa</vt:lpstr>
      <vt:lpstr>Streamlit</vt:lpstr>
      <vt:lpstr>BDR</vt:lpstr>
      <vt:lpstr>ETF</vt:lpstr>
      <vt:lpstr>FII</vt:lpstr>
      <vt:lpstr>Criptos</vt:lpstr>
      <vt:lpstr>Cotacoes</vt:lpstr>
      <vt:lpstr>Fundamentus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Marcelo Paranhos</dc:creator>
  <cp:lastModifiedBy>Marcelo Paranhos</cp:lastModifiedBy>
  <dcterms:created xsi:type="dcterms:W3CDTF">2015-06-05T18:19:34Z</dcterms:created>
  <dcterms:modified xsi:type="dcterms:W3CDTF">2025-08-16T02:02:16Z</dcterms:modified>
</cp:coreProperties>
</file>