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A010D51A-F829-4627-A3D6-F779F9D3AF95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5.ID" sheetId="4" state="veryHidden" r:id="rId1"/>
    <sheet name="Financial information 1 Pt1" sheetId="55" r:id="rId2"/>
    <sheet name="Pivot Table and Chart Pt1" sheetId="56" r:id="rId3"/>
    <sheet name="SI and regression Pt 2" sheetId="51" r:id="rId4"/>
    <sheet name="Current operations  Pt3 " sheetId="52" r:id="rId5"/>
    <sheet name="Franchise operations  Pt3" sheetId="53" r:id="rId6"/>
    <sheet name="Expected Values Pt4" sheetId="54" r:id="rId7"/>
    <sheet name="Financial information  FT" sheetId="57" r:id="rId8"/>
    <sheet name="Food Truck Demand" sheetId="58" r:id="rId9"/>
    <sheet name="Food Truck  Pt 4" sheetId="59" r:id="rId10"/>
  </sheets>
  <externalReferences>
    <externalReference r:id="rId11"/>
  </externalReference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'SI and regression Pt 2'!$H$7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pivotCaches>
    <pivotCache cacheId="17" r:id="rId12"/>
    <pivotCache cacheId="18" r:id="rId13"/>
    <pivotCache cacheId="13" r:id="rId14"/>
  </pivotCaches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54" l="1"/>
  <c r="N6" i="54"/>
  <c r="M6" i="54"/>
  <c r="L5" i="54"/>
  <c r="K5" i="54"/>
  <c r="J6" i="54"/>
  <c r="I5" i="54"/>
  <c r="G59" i="54"/>
  <c r="F60" i="54"/>
  <c r="F61" i="54"/>
  <c r="F59" i="54"/>
  <c r="C60" i="54"/>
  <c r="D60" i="54"/>
  <c r="E60" i="54"/>
  <c r="C61" i="54"/>
  <c r="D61" i="54"/>
  <c r="E61" i="54"/>
  <c r="D59" i="54"/>
  <c r="E59" i="54"/>
  <c r="C59" i="54"/>
  <c r="C53" i="54"/>
  <c r="F51" i="54"/>
  <c r="D51" i="54"/>
  <c r="E51" i="54"/>
  <c r="C51" i="54"/>
  <c r="G45" i="54"/>
  <c r="F44" i="54"/>
  <c r="F45" i="54"/>
  <c r="F43" i="54"/>
  <c r="C44" i="54"/>
  <c r="D44" i="54"/>
  <c r="E44" i="54"/>
  <c r="C45" i="54"/>
  <c r="D45" i="54"/>
  <c r="E45" i="54"/>
  <c r="D43" i="54"/>
  <c r="E43" i="54"/>
  <c r="C43" i="54"/>
  <c r="D58" i="54"/>
  <c r="E58" i="54"/>
  <c r="D50" i="54"/>
  <c r="E50" i="54"/>
  <c r="C50" i="54"/>
  <c r="C58" i="54" s="1"/>
  <c r="E42" i="54"/>
  <c r="D42" i="54"/>
  <c r="G34" i="54"/>
  <c r="F35" i="54"/>
  <c r="F36" i="54"/>
  <c r="F34" i="54"/>
  <c r="E35" i="54"/>
  <c r="E36" i="54"/>
  <c r="E34" i="54"/>
  <c r="D35" i="54"/>
  <c r="D36" i="54"/>
  <c r="D34" i="54"/>
  <c r="C35" i="54"/>
  <c r="C36" i="54"/>
  <c r="C34" i="54"/>
  <c r="G27" i="54"/>
  <c r="F28" i="54"/>
  <c r="F29" i="54"/>
  <c r="F27" i="54"/>
  <c r="C28" i="54"/>
  <c r="D28" i="54"/>
  <c r="E28" i="54"/>
  <c r="C29" i="54"/>
  <c r="D29" i="54"/>
  <c r="E29" i="54"/>
  <c r="D27" i="54"/>
  <c r="E27" i="54"/>
  <c r="C27" i="54"/>
  <c r="G20" i="54"/>
  <c r="F21" i="54"/>
  <c r="F22" i="54"/>
  <c r="F20" i="54"/>
  <c r="D20" i="54"/>
  <c r="E20" i="54"/>
  <c r="D21" i="54"/>
  <c r="E21" i="54"/>
  <c r="D22" i="54"/>
  <c r="E22" i="54"/>
  <c r="C21" i="54"/>
  <c r="C22" i="54"/>
  <c r="C20" i="54"/>
  <c r="G13" i="54"/>
  <c r="F14" i="54"/>
  <c r="F15" i="54"/>
  <c r="F13" i="54"/>
  <c r="E14" i="54"/>
  <c r="E15" i="54"/>
  <c r="D14" i="54"/>
  <c r="D15" i="54"/>
  <c r="C14" i="54"/>
  <c r="C15" i="54"/>
  <c r="D13" i="54"/>
  <c r="E13" i="54"/>
  <c r="C13" i="54"/>
  <c r="E7" i="54"/>
  <c r="D7" i="54"/>
  <c r="C7" i="54"/>
  <c r="E6" i="54"/>
  <c r="D6" i="54"/>
  <c r="C6" i="54"/>
  <c r="E5" i="54"/>
  <c r="D5" i="54"/>
  <c r="C5" i="54"/>
  <c r="N72" i="59" l="1"/>
  <c r="B65" i="59"/>
  <c r="N62" i="59"/>
  <c r="N58" i="59"/>
  <c r="N57" i="59"/>
  <c r="H55" i="59"/>
  <c r="H60" i="59" s="1"/>
  <c r="L54" i="59"/>
  <c r="J54" i="59"/>
  <c r="D54" i="59"/>
  <c r="B54" i="59"/>
  <c r="N47" i="59"/>
  <c r="C41" i="59"/>
  <c r="C66" i="59" s="1"/>
  <c r="B40" i="59"/>
  <c r="C40" i="59" s="1"/>
  <c r="N37" i="59"/>
  <c r="I36" i="59"/>
  <c r="N33" i="59"/>
  <c r="N32" i="59"/>
  <c r="L31" i="59"/>
  <c r="L36" i="59" s="1"/>
  <c r="D31" i="59"/>
  <c r="D44" i="59" s="1"/>
  <c r="L30" i="59"/>
  <c r="I30" i="59"/>
  <c r="I31" i="59" s="1"/>
  <c r="I44" i="59" s="1"/>
  <c r="D30" i="59"/>
  <c r="M29" i="59"/>
  <c r="M54" i="59" s="1"/>
  <c r="L29" i="59"/>
  <c r="K29" i="59"/>
  <c r="K54" i="59" s="1"/>
  <c r="J29" i="59"/>
  <c r="I29" i="59"/>
  <c r="I54" i="59" s="1"/>
  <c r="H29" i="59"/>
  <c r="H54" i="59" s="1"/>
  <c r="G29" i="59"/>
  <c r="G54" i="59" s="1"/>
  <c r="F29" i="59"/>
  <c r="F54" i="59" s="1"/>
  <c r="E29" i="59"/>
  <c r="E54" i="59" s="1"/>
  <c r="D29" i="59"/>
  <c r="C29" i="59"/>
  <c r="C54" i="59" s="1"/>
  <c r="B29" i="59"/>
  <c r="N22" i="59"/>
  <c r="C20" i="59"/>
  <c r="D16" i="59"/>
  <c r="D15" i="59"/>
  <c r="E15" i="59" s="1"/>
  <c r="C15" i="59"/>
  <c r="C16" i="59" s="1"/>
  <c r="B15" i="59"/>
  <c r="N12" i="59"/>
  <c r="L10" i="59"/>
  <c r="D10" i="59"/>
  <c r="N8" i="59"/>
  <c r="N7" i="59"/>
  <c r="M6" i="59"/>
  <c r="M19" i="59" s="1"/>
  <c r="L6" i="59"/>
  <c r="K6" i="59"/>
  <c r="I6" i="59"/>
  <c r="H6" i="59"/>
  <c r="H11" i="59" s="1"/>
  <c r="D6" i="59"/>
  <c r="C6" i="59"/>
  <c r="C19" i="59" s="1"/>
  <c r="C21" i="59" s="1"/>
  <c r="C23" i="59" s="1"/>
  <c r="M5" i="59"/>
  <c r="M55" i="59" s="1"/>
  <c r="L5" i="59"/>
  <c r="L55" i="59" s="1"/>
  <c r="L60" i="59" s="1"/>
  <c r="K5" i="59"/>
  <c r="K30" i="59" s="1"/>
  <c r="K31" i="59" s="1"/>
  <c r="K36" i="59" s="1"/>
  <c r="J5" i="59"/>
  <c r="I5" i="59"/>
  <c r="I55" i="59" s="1"/>
  <c r="H5" i="59"/>
  <c r="H30" i="59" s="1"/>
  <c r="H31" i="59" s="1"/>
  <c r="G5" i="59"/>
  <c r="G55" i="59" s="1"/>
  <c r="F5" i="59"/>
  <c r="E5" i="59"/>
  <c r="E6" i="59" s="1"/>
  <c r="D5" i="59"/>
  <c r="D55" i="59" s="1"/>
  <c r="D60" i="59" s="1"/>
  <c r="C5" i="59"/>
  <c r="C30" i="59" s="1"/>
  <c r="C31" i="59" s="1"/>
  <c r="C36" i="59" s="1"/>
  <c r="B5" i="59"/>
  <c r="N5" i="59" s="1"/>
  <c r="B28" i="58"/>
  <c r="B27" i="58"/>
  <c r="B26" i="58"/>
  <c r="B25" i="58"/>
  <c r="B24" i="58"/>
  <c r="B23" i="58"/>
  <c r="B22" i="58"/>
  <c r="B21" i="58"/>
  <c r="B20" i="58"/>
  <c r="B19" i="58"/>
  <c r="B18" i="58"/>
  <c r="B17" i="58"/>
  <c r="B31" i="58" s="1"/>
  <c r="N55" i="53"/>
  <c r="C55" i="53"/>
  <c r="D55" i="53"/>
  <c r="E55" i="53"/>
  <c r="F55" i="53"/>
  <c r="G55" i="53"/>
  <c r="H55" i="53"/>
  <c r="I55" i="53"/>
  <c r="J55" i="53"/>
  <c r="K55" i="53"/>
  <c r="L55" i="53"/>
  <c r="M55" i="53"/>
  <c r="B55" i="53"/>
  <c r="C48" i="53"/>
  <c r="D48" i="53"/>
  <c r="E48" i="53"/>
  <c r="F48" i="53"/>
  <c r="G48" i="53"/>
  <c r="H48" i="53"/>
  <c r="I48" i="53"/>
  <c r="J48" i="53"/>
  <c r="K48" i="53"/>
  <c r="L48" i="53"/>
  <c r="M48" i="53"/>
  <c r="B48" i="53"/>
  <c r="C23" i="53"/>
  <c r="D23" i="53"/>
  <c r="E23" i="53"/>
  <c r="F23" i="53"/>
  <c r="G23" i="53"/>
  <c r="H23" i="53"/>
  <c r="I23" i="53"/>
  <c r="J23" i="53"/>
  <c r="K23" i="53"/>
  <c r="L23" i="53"/>
  <c r="M23" i="53"/>
  <c r="B23" i="53"/>
  <c r="C23" i="52"/>
  <c r="D23" i="52"/>
  <c r="E23" i="52"/>
  <c r="F23" i="52"/>
  <c r="G23" i="52"/>
  <c r="H23" i="52"/>
  <c r="I23" i="52"/>
  <c r="J23" i="52"/>
  <c r="K23" i="52"/>
  <c r="L23" i="52"/>
  <c r="M23" i="52"/>
  <c r="B23" i="52"/>
  <c r="C73" i="52"/>
  <c r="D73" i="52"/>
  <c r="E73" i="52"/>
  <c r="F73" i="52"/>
  <c r="G73" i="52"/>
  <c r="H73" i="52"/>
  <c r="I73" i="52"/>
  <c r="J73" i="52"/>
  <c r="K73" i="52"/>
  <c r="L73" i="52"/>
  <c r="M73" i="52"/>
  <c r="B73" i="52"/>
  <c r="C48" i="52"/>
  <c r="D48" i="52"/>
  <c r="E48" i="52"/>
  <c r="F48" i="52"/>
  <c r="G48" i="52"/>
  <c r="H48" i="52"/>
  <c r="I48" i="52"/>
  <c r="J48" i="52"/>
  <c r="K48" i="52"/>
  <c r="L48" i="52"/>
  <c r="M48" i="52"/>
  <c r="B48" i="52"/>
  <c r="C30" i="53"/>
  <c r="D30" i="53"/>
  <c r="E30" i="53"/>
  <c r="F30" i="53"/>
  <c r="G30" i="53"/>
  <c r="H30" i="53"/>
  <c r="I30" i="53"/>
  <c r="J30" i="53"/>
  <c r="K30" i="53"/>
  <c r="L30" i="53"/>
  <c r="M30" i="53"/>
  <c r="B30" i="53"/>
  <c r="L11" i="57"/>
  <c r="L9" i="57"/>
  <c r="L7" i="57"/>
  <c r="L8" i="57"/>
  <c r="L10" i="57"/>
  <c r="I56" i="59" l="1"/>
  <c r="I60" i="59"/>
  <c r="H45" i="59"/>
  <c r="H44" i="59"/>
  <c r="H36" i="59"/>
  <c r="H35" i="59"/>
  <c r="H38" i="59" s="1"/>
  <c r="E19" i="59"/>
  <c r="E21" i="59" s="1"/>
  <c r="E10" i="59"/>
  <c r="E13" i="59" s="1"/>
  <c r="E11" i="59"/>
  <c r="E20" i="59"/>
  <c r="I46" i="59"/>
  <c r="F15" i="59"/>
  <c r="E16" i="59"/>
  <c r="M56" i="59"/>
  <c r="M60" i="59"/>
  <c r="I19" i="59"/>
  <c r="I21" i="59" s="1"/>
  <c r="I20" i="59"/>
  <c r="I11" i="59"/>
  <c r="B30" i="59"/>
  <c r="K10" i="59"/>
  <c r="K13" i="59" s="1"/>
  <c r="K11" i="59"/>
  <c r="I10" i="59"/>
  <c r="C44" i="59"/>
  <c r="D56" i="59"/>
  <c r="L20" i="59"/>
  <c r="L19" i="59"/>
  <c r="L21" i="59" s="1"/>
  <c r="L11" i="59"/>
  <c r="L13" i="59" s="1"/>
  <c r="E30" i="59"/>
  <c r="E31" i="59" s="1"/>
  <c r="I35" i="59"/>
  <c r="I38" i="59" s="1"/>
  <c r="E55" i="59"/>
  <c r="H56" i="59"/>
  <c r="J6" i="59"/>
  <c r="J55" i="59"/>
  <c r="K45" i="59"/>
  <c r="K35" i="59"/>
  <c r="K38" i="59" s="1"/>
  <c r="F6" i="59"/>
  <c r="F30" i="59"/>
  <c r="F31" i="59" s="1"/>
  <c r="B16" i="59"/>
  <c r="H10" i="59"/>
  <c r="H13" i="59" s="1"/>
  <c r="H20" i="59"/>
  <c r="L35" i="59"/>
  <c r="L38" i="59" s="1"/>
  <c r="L45" i="59"/>
  <c r="G56" i="59"/>
  <c r="G60" i="59"/>
  <c r="M10" i="59"/>
  <c r="K20" i="59"/>
  <c r="C65" i="59"/>
  <c r="D40" i="59"/>
  <c r="K44" i="59"/>
  <c r="K46" i="59" s="1"/>
  <c r="L56" i="59"/>
  <c r="D35" i="59"/>
  <c r="D38" i="59" s="1"/>
  <c r="D45" i="59"/>
  <c r="D46" i="59" s="1"/>
  <c r="M11" i="59"/>
  <c r="I45" i="59"/>
  <c r="F55" i="59"/>
  <c r="C10" i="59"/>
  <c r="C11" i="59"/>
  <c r="H19" i="59"/>
  <c r="H21" i="59" s="1"/>
  <c r="J30" i="59"/>
  <c r="J31" i="59" s="1"/>
  <c r="D41" i="59"/>
  <c r="D20" i="59"/>
  <c r="D19" i="59"/>
  <c r="D21" i="59" s="1"/>
  <c r="D23" i="59" s="1"/>
  <c r="M20" i="59"/>
  <c r="M21" i="59" s="1"/>
  <c r="D11" i="59"/>
  <c r="D13" i="59" s="1"/>
  <c r="D25" i="59" s="1"/>
  <c r="K19" i="59"/>
  <c r="M30" i="59"/>
  <c r="M31" i="59" s="1"/>
  <c r="D36" i="59"/>
  <c r="L44" i="59"/>
  <c r="B6" i="59"/>
  <c r="B55" i="59"/>
  <c r="C35" i="59"/>
  <c r="C38" i="59" s="1"/>
  <c r="C45" i="59"/>
  <c r="G30" i="59"/>
  <c r="G31" i="59" s="1"/>
  <c r="C55" i="59"/>
  <c r="K55" i="59"/>
  <c r="G6" i="59"/>
  <c r="C22" i="53"/>
  <c r="D22" i="53"/>
  <c r="E22" i="53"/>
  <c r="F22" i="53"/>
  <c r="G22" i="53"/>
  <c r="H22" i="53"/>
  <c r="I22" i="53"/>
  <c r="J22" i="53"/>
  <c r="K22" i="53"/>
  <c r="L22" i="53"/>
  <c r="M22" i="53"/>
  <c r="B22" i="53"/>
  <c r="D20" i="53"/>
  <c r="E20" i="53"/>
  <c r="F20" i="53" s="1"/>
  <c r="G20" i="53" s="1"/>
  <c r="H20" i="53" s="1"/>
  <c r="I20" i="53" s="1"/>
  <c r="J20" i="53" s="1"/>
  <c r="K20" i="53" s="1"/>
  <c r="L20" i="53" s="1"/>
  <c r="M20" i="53" s="1"/>
  <c r="C20" i="53"/>
  <c r="B20" i="53"/>
  <c r="C5" i="53"/>
  <c r="D5" i="53"/>
  <c r="E5" i="53"/>
  <c r="F5" i="53"/>
  <c r="G5" i="53"/>
  <c r="H5" i="53"/>
  <c r="I5" i="53"/>
  <c r="J5" i="53"/>
  <c r="K5" i="53"/>
  <c r="L5" i="53"/>
  <c r="M5" i="53"/>
  <c r="B5" i="53"/>
  <c r="E2" i="53"/>
  <c r="F11" i="59" l="1"/>
  <c r="F19" i="59"/>
  <c r="F10" i="59"/>
  <c r="F20" i="59"/>
  <c r="E25" i="59"/>
  <c r="B56" i="59"/>
  <c r="B60" i="59"/>
  <c r="N55" i="59"/>
  <c r="N56" i="59" s="1"/>
  <c r="C13" i="59"/>
  <c r="C25" i="59" s="1"/>
  <c r="N30" i="59"/>
  <c r="B31" i="59"/>
  <c r="M69" i="59"/>
  <c r="M61" i="59"/>
  <c r="M70" i="59"/>
  <c r="I69" i="59"/>
  <c r="I71" i="59" s="1"/>
  <c r="I70" i="59"/>
  <c r="I61" i="59"/>
  <c r="B11" i="59"/>
  <c r="N6" i="59"/>
  <c r="B10" i="59"/>
  <c r="B20" i="59"/>
  <c r="B19" i="59"/>
  <c r="F60" i="59"/>
  <c r="F56" i="59"/>
  <c r="D65" i="59"/>
  <c r="E40" i="59"/>
  <c r="E41" i="59"/>
  <c r="E23" i="59"/>
  <c r="G10" i="59"/>
  <c r="G13" i="59" s="1"/>
  <c r="G20" i="59"/>
  <c r="G19" i="59"/>
  <c r="G21" i="59" s="1"/>
  <c r="G11" i="59"/>
  <c r="J56" i="59"/>
  <c r="J60" i="59"/>
  <c r="F16" i="59"/>
  <c r="G15" i="59"/>
  <c r="M63" i="59"/>
  <c r="L46" i="59"/>
  <c r="D70" i="59"/>
  <c r="D69" i="59"/>
  <c r="D71" i="59" s="1"/>
  <c r="D61" i="59"/>
  <c r="D63" i="59" s="1"/>
  <c r="C60" i="59"/>
  <c r="C56" i="59"/>
  <c r="D48" i="59"/>
  <c r="D50" i="59" s="1"/>
  <c r="D66" i="59"/>
  <c r="M13" i="59"/>
  <c r="H69" i="59"/>
  <c r="H70" i="59"/>
  <c r="H61" i="59"/>
  <c r="H63" i="59" s="1"/>
  <c r="C46" i="59"/>
  <c r="C48" i="59" s="1"/>
  <c r="C50" i="59" s="1"/>
  <c r="G35" i="59"/>
  <c r="G36" i="59"/>
  <c r="G44" i="59"/>
  <c r="G46" i="59" s="1"/>
  <c r="G45" i="59"/>
  <c r="M44" i="59"/>
  <c r="M45" i="59"/>
  <c r="M36" i="59"/>
  <c r="M35" i="59"/>
  <c r="M38" i="59" s="1"/>
  <c r="J36" i="59"/>
  <c r="J44" i="59"/>
  <c r="J46" i="59" s="1"/>
  <c r="J35" i="59"/>
  <c r="J45" i="59"/>
  <c r="G63" i="59"/>
  <c r="B41" i="59"/>
  <c r="E56" i="59"/>
  <c r="E60" i="59"/>
  <c r="I13" i="59"/>
  <c r="H46" i="59"/>
  <c r="L70" i="59"/>
  <c r="L69" i="59"/>
  <c r="L61" i="59"/>
  <c r="L63" i="59" s="1"/>
  <c r="E44" i="59"/>
  <c r="E45" i="59"/>
  <c r="E36" i="59"/>
  <c r="E35" i="59"/>
  <c r="I63" i="59"/>
  <c r="K60" i="59"/>
  <c r="K56" i="59"/>
  <c r="J11" i="59"/>
  <c r="J19" i="59"/>
  <c r="J20" i="59"/>
  <c r="J10" i="59"/>
  <c r="K21" i="59"/>
  <c r="G70" i="59"/>
  <c r="G61" i="59"/>
  <c r="G69" i="59"/>
  <c r="F36" i="59"/>
  <c r="F44" i="59"/>
  <c r="F46" i="59" s="1"/>
  <c r="F45" i="59"/>
  <c r="F35" i="59"/>
  <c r="C6" i="53"/>
  <c r="D6" i="53"/>
  <c r="E6" i="53"/>
  <c r="F6" i="53"/>
  <c r="G6" i="53"/>
  <c r="H6" i="53"/>
  <c r="I6" i="53"/>
  <c r="J6" i="53"/>
  <c r="K6" i="53"/>
  <c r="L6" i="53"/>
  <c r="M6" i="53"/>
  <c r="B6" i="53"/>
  <c r="C66" i="53"/>
  <c r="D66" i="53"/>
  <c r="E66" i="53"/>
  <c r="F66" i="53"/>
  <c r="G66" i="53"/>
  <c r="H66" i="53"/>
  <c r="I66" i="53"/>
  <c r="J66" i="53"/>
  <c r="K66" i="53"/>
  <c r="L66" i="53"/>
  <c r="M66" i="53"/>
  <c r="N66" i="53"/>
  <c r="B66" i="53"/>
  <c r="C65" i="53"/>
  <c r="D65" i="53"/>
  <c r="E65" i="53"/>
  <c r="F65" i="53"/>
  <c r="G65" i="53"/>
  <c r="H65" i="53"/>
  <c r="I65" i="53"/>
  <c r="J65" i="53"/>
  <c r="K65" i="53"/>
  <c r="L65" i="53"/>
  <c r="M65" i="53"/>
  <c r="N65" i="53"/>
  <c r="B65" i="53"/>
  <c r="C36" i="53"/>
  <c r="K36" i="53"/>
  <c r="K35" i="53"/>
  <c r="L35" i="53"/>
  <c r="L60" i="53"/>
  <c r="L63" i="53" s="1"/>
  <c r="C57" i="53"/>
  <c r="C62" i="53" s="1"/>
  <c r="D57" i="53"/>
  <c r="D62" i="53" s="1"/>
  <c r="E57" i="53"/>
  <c r="E62" i="53" s="1"/>
  <c r="F57" i="53"/>
  <c r="F62" i="53" s="1"/>
  <c r="G57" i="53"/>
  <c r="G62" i="53" s="1"/>
  <c r="H57" i="53"/>
  <c r="H62" i="53" s="1"/>
  <c r="I57" i="53"/>
  <c r="I62" i="53" s="1"/>
  <c r="J57" i="53"/>
  <c r="J62" i="53" s="1"/>
  <c r="K57" i="53"/>
  <c r="K62" i="53" s="1"/>
  <c r="L57" i="53"/>
  <c r="L62" i="53" s="1"/>
  <c r="M57" i="53"/>
  <c r="M62" i="53" s="1"/>
  <c r="B57" i="53"/>
  <c r="C56" i="53"/>
  <c r="C60" i="53" s="1"/>
  <c r="D56" i="53"/>
  <c r="D60" i="53" s="1"/>
  <c r="E56" i="53"/>
  <c r="E61" i="53" s="1"/>
  <c r="F56" i="53"/>
  <c r="F61" i="53" s="1"/>
  <c r="G56" i="53"/>
  <c r="G61" i="53" s="1"/>
  <c r="H56" i="53"/>
  <c r="H61" i="53" s="1"/>
  <c r="I56" i="53"/>
  <c r="J56" i="53"/>
  <c r="J60" i="53" s="1"/>
  <c r="K56" i="53"/>
  <c r="K60" i="53" s="1"/>
  <c r="L56" i="53"/>
  <c r="L61" i="53" s="1"/>
  <c r="M56" i="53"/>
  <c r="M61" i="53" s="1"/>
  <c r="B56" i="53"/>
  <c r="B60" i="53" s="1"/>
  <c r="J47" i="53"/>
  <c r="B45" i="53"/>
  <c r="B70" i="53" s="1"/>
  <c r="B40" i="53"/>
  <c r="B15" i="53"/>
  <c r="B15" i="52"/>
  <c r="C45" i="53"/>
  <c r="C70" i="53" s="1"/>
  <c r="B19" i="53"/>
  <c r="C19" i="53" s="1"/>
  <c r="D19" i="53" s="1"/>
  <c r="N30" i="53"/>
  <c r="C33" i="53"/>
  <c r="C47" i="53" s="1"/>
  <c r="D33" i="53"/>
  <c r="D47" i="53" s="1"/>
  <c r="E33" i="53"/>
  <c r="E47" i="53" s="1"/>
  <c r="F33" i="53"/>
  <c r="F47" i="53" s="1"/>
  <c r="G33" i="53"/>
  <c r="G47" i="53" s="1"/>
  <c r="H33" i="53"/>
  <c r="H47" i="53" s="1"/>
  <c r="I33" i="53"/>
  <c r="J33" i="53"/>
  <c r="K33" i="53"/>
  <c r="K47" i="53" s="1"/>
  <c r="L33" i="53"/>
  <c r="L47" i="53" s="1"/>
  <c r="M33" i="53"/>
  <c r="M47" i="53" s="1"/>
  <c r="B33" i="53"/>
  <c r="B47" i="53" s="1"/>
  <c r="C32" i="53"/>
  <c r="C37" i="53" s="1"/>
  <c r="D32" i="53"/>
  <c r="D37" i="53" s="1"/>
  <c r="E32" i="53"/>
  <c r="E37" i="53" s="1"/>
  <c r="F32" i="53"/>
  <c r="F37" i="53" s="1"/>
  <c r="G32" i="53"/>
  <c r="G37" i="53" s="1"/>
  <c r="H32" i="53"/>
  <c r="H37" i="53" s="1"/>
  <c r="I32" i="53"/>
  <c r="I37" i="53" s="1"/>
  <c r="J32" i="53"/>
  <c r="J37" i="53" s="1"/>
  <c r="K32" i="53"/>
  <c r="K37" i="53" s="1"/>
  <c r="L32" i="53"/>
  <c r="L37" i="53" s="1"/>
  <c r="M32" i="53"/>
  <c r="M37" i="53" s="1"/>
  <c r="B32" i="53"/>
  <c r="C31" i="53"/>
  <c r="C35" i="53" s="1"/>
  <c r="D31" i="53"/>
  <c r="D36" i="53" s="1"/>
  <c r="E31" i="53"/>
  <c r="E35" i="53" s="1"/>
  <c r="F31" i="53"/>
  <c r="F35" i="53" s="1"/>
  <c r="G31" i="53"/>
  <c r="G36" i="53" s="1"/>
  <c r="H31" i="53"/>
  <c r="H35" i="53" s="1"/>
  <c r="I31" i="53"/>
  <c r="J31" i="53"/>
  <c r="K31" i="53"/>
  <c r="L31" i="53"/>
  <c r="L36" i="53" s="1"/>
  <c r="M31" i="53"/>
  <c r="M35" i="53" s="1"/>
  <c r="B31" i="53"/>
  <c r="B35" i="53" s="1"/>
  <c r="E63" i="59" l="1"/>
  <c r="J21" i="59"/>
  <c r="G38" i="59"/>
  <c r="N19" i="59"/>
  <c r="B21" i="59"/>
  <c r="G71" i="59"/>
  <c r="N20" i="59"/>
  <c r="N60" i="59"/>
  <c r="K70" i="59"/>
  <c r="K61" i="59"/>
  <c r="K63" i="59" s="1"/>
  <c r="K69" i="59"/>
  <c r="K71" i="59" s="1"/>
  <c r="L71" i="59"/>
  <c r="H15" i="59"/>
  <c r="G16" i="59"/>
  <c r="B13" i="59"/>
  <c r="N10" i="59"/>
  <c r="M71" i="59"/>
  <c r="B61" i="59"/>
  <c r="B63" i="59" s="1"/>
  <c r="B69" i="59"/>
  <c r="B70" i="59"/>
  <c r="E69" i="59"/>
  <c r="E70" i="59"/>
  <c r="E61" i="59"/>
  <c r="M46" i="59"/>
  <c r="F38" i="59"/>
  <c r="E38" i="59"/>
  <c r="J61" i="59"/>
  <c r="J70" i="59"/>
  <c r="J69" i="59"/>
  <c r="J71" i="59" s="1"/>
  <c r="F13" i="59"/>
  <c r="E46" i="59"/>
  <c r="C70" i="59"/>
  <c r="C61" i="59"/>
  <c r="C63" i="59" s="1"/>
  <c r="C75" i="59" s="1"/>
  <c r="C69" i="59"/>
  <c r="C71" i="59" s="1"/>
  <c r="C73" i="59" s="1"/>
  <c r="B66" i="59"/>
  <c r="D75" i="59"/>
  <c r="F41" i="59"/>
  <c r="E48" i="59"/>
  <c r="E66" i="59"/>
  <c r="B36" i="59"/>
  <c r="N36" i="59" s="1"/>
  <c r="N31" i="59"/>
  <c r="B44" i="59"/>
  <c r="B35" i="59"/>
  <c r="B45" i="59"/>
  <c r="N45" i="59" s="1"/>
  <c r="H71" i="59"/>
  <c r="J63" i="59"/>
  <c r="E65" i="59"/>
  <c r="F40" i="59"/>
  <c r="N11" i="59"/>
  <c r="J13" i="59"/>
  <c r="J38" i="59"/>
  <c r="D73" i="59"/>
  <c r="F61" i="59"/>
  <c r="F63" i="59" s="1"/>
  <c r="F69" i="59"/>
  <c r="F70" i="59"/>
  <c r="F21" i="59"/>
  <c r="F23" i="59" s="1"/>
  <c r="G60" i="53"/>
  <c r="F60" i="53"/>
  <c r="F63" i="53" s="1"/>
  <c r="D61" i="53"/>
  <c r="D63" i="53" s="1"/>
  <c r="C61" i="53"/>
  <c r="C63" i="53"/>
  <c r="K61" i="53"/>
  <c r="K63" i="53" s="1"/>
  <c r="E60" i="53"/>
  <c r="E63" i="53" s="1"/>
  <c r="M60" i="53"/>
  <c r="M63" i="53" s="1"/>
  <c r="J61" i="53"/>
  <c r="J63" i="53" s="1"/>
  <c r="D35" i="53"/>
  <c r="N33" i="53"/>
  <c r="D44" i="53"/>
  <c r="D69" i="53" s="1"/>
  <c r="E19" i="53"/>
  <c r="N6" i="53"/>
  <c r="C21" i="53"/>
  <c r="C46" i="53" s="1"/>
  <c r="C71" i="53" s="1"/>
  <c r="C44" i="53"/>
  <c r="C69" i="53" s="1"/>
  <c r="I47" i="53"/>
  <c r="N47" i="53" s="1"/>
  <c r="H60" i="53"/>
  <c r="H63" i="53" s="1"/>
  <c r="J36" i="53"/>
  <c r="J35" i="53"/>
  <c r="N32" i="53"/>
  <c r="B37" i="53"/>
  <c r="N37" i="53" s="1"/>
  <c r="N56" i="53"/>
  <c r="G63" i="53"/>
  <c r="B62" i="53"/>
  <c r="N62" i="53" s="1"/>
  <c r="N57" i="53"/>
  <c r="I60" i="53"/>
  <c r="I61" i="53"/>
  <c r="I36" i="53"/>
  <c r="I35" i="53"/>
  <c r="H36" i="53"/>
  <c r="B21" i="53"/>
  <c r="B44" i="53"/>
  <c r="B69" i="53" s="1"/>
  <c r="G35" i="53"/>
  <c r="B36" i="53"/>
  <c r="B38" i="53" s="1"/>
  <c r="F36" i="53"/>
  <c r="N31" i="53"/>
  <c r="B61" i="53"/>
  <c r="M36" i="53"/>
  <c r="E36" i="53"/>
  <c r="C38" i="53"/>
  <c r="C40" i="53"/>
  <c r="N63" i="59" l="1"/>
  <c r="B38" i="59"/>
  <c r="N35" i="59"/>
  <c r="B46" i="59"/>
  <c r="N44" i="59"/>
  <c r="G40" i="59"/>
  <c r="F65" i="59"/>
  <c r="B25" i="59"/>
  <c r="N13" i="59"/>
  <c r="F71" i="59"/>
  <c r="E71" i="59"/>
  <c r="E73" i="59" s="1"/>
  <c r="E75" i="59" s="1"/>
  <c r="N21" i="59"/>
  <c r="B23" i="59"/>
  <c r="F66" i="59"/>
  <c r="F48" i="59"/>
  <c r="F50" i="59"/>
  <c r="N69" i="59"/>
  <c r="B71" i="59"/>
  <c r="F25" i="59"/>
  <c r="B73" i="59"/>
  <c r="B75" i="59" s="1"/>
  <c r="G41" i="59"/>
  <c r="G23" i="59"/>
  <c r="G25" i="59" s="1"/>
  <c r="E50" i="59"/>
  <c r="N70" i="59"/>
  <c r="H16" i="59"/>
  <c r="I15" i="59"/>
  <c r="N61" i="59"/>
  <c r="B63" i="53"/>
  <c r="N60" i="53"/>
  <c r="E44" i="53"/>
  <c r="E69" i="53" s="1"/>
  <c r="F19" i="53"/>
  <c r="D45" i="53"/>
  <c r="D70" i="53" s="1"/>
  <c r="E21" i="53"/>
  <c r="E46" i="53" s="1"/>
  <c r="I63" i="53"/>
  <c r="B46" i="53"/>
  <c r="N61" i="53"/>
  <c r="C50" i="53"/>
  <c r="D21" i="53"/>
  <c r="D46" i="53" s="1"/>
  <c r="N36" i="53"/>
  <c r="D38" i="53"/>
  <c r="D40" i="53"/>
  <c r="B41" i="53"/>
  <c r="N46" i="59" l="1"/>
  <c r="B48" i="59"/>
  <c r="G66" i="59"/>
  <c r="G73" i="59" s="1"/>
  <c r="G75" i="59" s="1"/>
  <c r="G48" i="59"/>
  <c r="G50" i="59" s="1"/>
  <c r="F73" i="59"/>
  <c r="F75" i="59" s="1"/>
  <c r="I16" i="59"/>
  <c r="J15" i="59"/>
  <c r="N38" i="59"/>
  <c r="B50" i="59"/>
  <c r="H41" i="59"/>
  <c r="H23" i="59"/>
  <c r="H25" i="59" s="1"/>
  <c r="N71" i="59"/>
  <c r="G65" i="59"/>
  <c r="H40" i="59"/>
  <c r="E71" i="53"/>
  <c r="D58" i="53"/>
  <c r="D72" i="53" s="1"/>
  <c r="D73" i="53" s="1"/>
  <c r="L58" i="53"/>
  <c r="L72" i="53" s="1"/>
  <c r="L73" i="53" s="1"/>
  <c r="H58" i="53"/>
  <c r="H72" i="53" s="1"/>
  <c r="H73" i="53" s="1"/>
  <c r="E58" i="53"/>
  <c r="E72" i="53" s="1"/>
  <c r="E73" i="53" s="1"/>
  <c r="M58" i="53"/>
  <c r="M72" i="53" s="1"/>
  <c r="M73" i="53" s="1"/>
  <c r="G58" i="53"/>
  <c r="G72" i="53" s="1"/>
  <c r="G73" i="53" s="1"/>
  <c r="F58" i="53"/>
  <c r="F72" i="53" s="1"/>
  <c r="F73" i="53" s="1"/>
  <c r="B58" i="53"/>
  <c r="I58" i="53"/>
  <c r="I72" i="53" s="1"/>
  <c r="I73" i="53" s="1"/>
  <c r="J58" i="53"/>
  <c r="J72" i="53" s="1"/>
  <c r="J73" i="53" s="1"/>
  <c r="C58" i="53"/>
  <c r="C72" i="53" s="1"/>
  <c r="K58" i="53"/>
  <c r="K72" i="53" s="1"/>
  <c r="K73" i="53" s="1"/>
  <c r="F21" i="53"/>
  <c r="E45" i="53"/>
  <c r="E70" i="53" s="1"/>
  <c r="D71" i="53"/>
  <c r="D75" i="53" s="1"/>
  <c r="D50" i="53"/>
  <c r="B71" i="53"/>
  <c r="F44" i="53"/>
  <c r="F69" i="53" s="1"/>
  <c r="G19" i="53"/>
  <c r="N63" i="53"/>
  <c r="E38" i="53"/>
  <c r="C41" i="53"/>
  <c r="E40" i="53"/>
  <c r="C11" i="53"/>
  <c r="D11" i="53"/>
  <c r="E11" i="53"/>
  <c r="F11" i="53"/>
  <c r="G11" i="53"/>
  <c r="H11" i="53"/>
  <c r="I11" i="53"/>
  <c r="J11" i="53"/>
  <c r="K11" i="53"/>
  <c r="L11" i="53"/>
  <c r="M11" i="53"/>
  <c r="B11" i="53"/>
  <c r="C10" i="53"/>
  <c r="D10" i="53"/>
  <c r="E10" i="53"/>
  <c r="F10" i="53"/>
  <c r="G10" i="53"/>
  <c r="H10" i="53"/>
  <c r="I10" i="53"/>
  <c r="J10" i="53"/>
  <c r="K10" i="53"/>
  <c r="L10" i="53"/>
  <c r="M10" i="53"/>
  <c r="B10" i="53"/>
  <c r="C8" i="53"/>
  <c r="D8" i="53"/>
  <c r="E8" i="53"/>
  <c r="F8" i="53"/>
  <c r="G8" i="53"/>
  <c r="H8" i="53"/>
  <c r="I8" i="53"/>
  <c r="J8" i="53"/>
  <c r="K8" i="53"/>
  <c r="L8" i="53"/>
  <c r="M8" i="53"/>
  <c r="B8" i="53"/>
  <c r="C7" i="53"/>
  <c r="C12" i="53" s="1"/>
  <c r="D7" i="53"/>
  <c r="D12" i="53" s="1"/>
  <c r="E7" i="53"/>
  <c r="E12" i="53" s="1"/>
  <c r="F7" i="53"/>
  <c r="F12" i="53" s="1"/>
  <c r="G7" i="53"/>
  <c r="G12" i="53" s="1"/>
  <c r="H7" i="53"/>
  <c r="H12" i="53" s="1"/>
  <c r="I7" i="53"/>
  <c r="I12" i="53" s="1"/>
  <c r="J7" i="53"/>
  <c r="J12" i="53" s="1"/>
  <c r="K7" i="53"/>
  <c r="K12" i="53" s="1"/>
  <c r="L7" i="53"/>
  <c r="L12" i="53" s="1"/>
  <c r="M7" i="53"/>
  <c r="M12" i="53" s="1"/>
  <c r="B7" i="53"/>
  <c r="B12" i="53" s="1"/>
  <c r="N5" i="53"/>
  <c r="B16" i="53"/>
  <c r="C15" i="53"/>
  <c r="D15" i="53" s="1"/>
  <c r="G2" i="53"/>
  <c r="F2" i="53"/>
  <c r="N72" i="52"/>
  <c r="C72" i="52"/>
  <c r="D72" i="52"/>
  <c r="E72" i="52"/>
  <c r="F72" i="52"/>
  <c r="G72" i="52"/>
  <c r="H72" i="52"/>
  <c r="I72" i="52"/>
  <c r="J72" i="52"/>
  <c r="K72" i="52"/>
  <c r="L72" i="52"/>
  <c r="M72" i="52"/>
  <c r="B72" i="52"/>
  <c r="C71" i="52"/>
  <c r="D71" i="52"/>
  <c r="E71" i="52"/>
  <c r="F71" i="52"/>
  <c r="G71" i="52"/>
  <c r="H71" i="52"/>
  <c r="I71" i="52"/>
  <c r="J71" i="52"/>
  <c r="K71" i="52"/>
  <c r="L71" i="52"/>
  <c r="M71" i="52"/>
  <c r="N71" i="52"/>
  <c r="B71" i="52"/>
  <c r="C70" i="52"/>
  <c r="D70" i="52"/>
  <c r="E70" i="52"/>
  <c r="F70" i="52"/>
  <c r="G70" i="52"/>
  <c r="H70" i="52"/>
  <c r="I70" i="52"/>
  <c r="J70" i="52"/>
  <c r="K70" i="52"/>
  <c r="L70" i="52"/>
  <c r="M70" i="52"/>
  <c r="N70" i="52"/>
  <c r="B70" i="52"/>
  <c r="C69" i="52"/>
  <c r="D69" i="52"/>
  <c r="E69" i="52"/>
  <c r="F69" i="52"/>
  <c r="G69" i="52"/>
  <c r="H69" i="52"/>
  <c r="I69" i="52"/>
  <c r="J69" i="52"/>
  <c r="K69" i="52"/>
  <c r="L69" i="52"/>
  <c r="M69" i="52"/>
  <c r="N69" i="52"/>
  <c r="B69" i="52"/>
  <c r="N61" i="52"/>
  <c r="N62" i="52"/>
  <c r="N63" i="52"/>
  <c r="N60" i="52"/>
  <c r="C63" i="52"/>
  <c r="D63" i="52"/>
  <c r="E63" i="52"/>
  <c r="F63" i="52"/>
  <c r="G63" i="52"/>
  <c r="H63" i="52"/>
  <c r="I63" i="52"/>
  <c r="J63" i="52"/>
  <c r="K63" i="52"/>
  <c r="L63" i="52"/>
  <c r="M63" i="52"/>
  <c r="B63" i="52"/>
  <c r="C62" i="52"/>
  <c r="D62" i="52"/>
  <c r="E62" i="52"/>
  <c r="F62" i="52"/>
  <c r="G62" i="52"/>
  <c r="H62" i="52"/>
  <c r="I62" i="52"/>
  <c r="J62" i="52"/>
  <c r="K62" i="52"/>
  <c r="L62" i="52"/>
  <c r="M62" i="52"/>
  <c r="B62" i="52"/>
  <c r="C61" i="52"/>
  <c r="D61" i="52"/>
  <c r="E61" i="52"/>
  <c r="F61" i="52"/>
  <c r="G61" i="52"/>
  <c r="H61" i="52"/>
  <c r="I61" i="52"/>
  <c r="J61" i="52"/>
  <c r="K61" i="52"/>
  <c r="L61" i="52"/>
  <c r="M61" i="52"/>
  <c r="B61" i="52"/>
  <c r="C60" i="52"/>
  <c r="D60" i="52"/>
  <c r="E60" i="52"/>
  <c r="F60" i="52"/>
  <c r="G60" i="52"/>
  <c r="H60" i="52"/>
  <c r="I60" i="52"/>
  <c r="J60" i="52"/>
  <c r="K60" i="52"/>
  <c r="L60" i="52"/>
  <c r="M60" i="52"/>
  <c r="B60" i="52"/>
  <c r="N58" i="52"/>
  <c r="N57" i="52"/>
  <c r="C58" i="52"/>
  <c r="D58" i="52"/>
  <c r="E58" i="52"/>
  <c r="F58" i="52"/>
  <c r="G58" i="52"/>
  <c r="H58" i="52"/>
  <c r="I58" i="52"/>
  <c r="J58" i="52"/>
  <c r="K58" i="52"/>
  <c r="L58" i="52"/>
  <c r="M58" i="52"/>
  <c r="B58" i="52"/>
  <c r="C57" i="52"/>
  <c r="D57" i="52"/>
  <c r="E57" i="52"/>
  <c r="F57" i="52"/>
  <c r="G57" i="52"/>
  <c r="H57" i="52"/>
  <c r="I57" i="52"/>
  <c r="J57" i="52"/>
  <c r="K57" i="52"/>
  <c r="L57" i="52"/>
  <c r="M57" i="52"/>
  <c r="B57" i="52"/>
  <c r="N47" i="52"/>
  <c r="C47" i="52"/>
  <c r="D47" i="52"/>
  <c r="E47" i="52"/>
  <c r="F47" i="52"/>
  <c r="G47" i="52"/>
  <c r="H47" i="52"/>
  <c r="I47" i="52"/>
  <c r="J47" i="52"/>
  <c r="K47" i="52"/>
  <c r="L47" i="52"/>
  <c r="M47" i="52"/>
  <c r="B47" i="52"/>
  <c r="C46" i="52"/>
  <c r="D46" i="52"/>
  <c r="E46" i="52"/>
  <c r="F46" i="52"/>
  <c r="G46" i="52"/>
  <c r="H46" i="52"/>
  <c r="I46" i="52"/>
  <c r="J46" i="52"/>
  <c r="K46" i="52"/>
  <c r="L46" i="52"/>
  <c r="M46" i="52"/>
  <c r="N46" i="52"/>
  <c r="B46" i="52"/>
  <c r="C45" i="52"/>
  <c r="D45" i="52"/>
  <c r="E45" i="52"/>
  <c r="F45" i="52"/>
  <c r="G45" i="52"/>
  <c r="H45" i="52"/>
  <c r="I45" i="52"/>
  <c r="J45" i="52"/>
  <c r="K45" i="52"/>
  <c r="L45" i="52"/>
  <c r="M45" i="52"/>
  <c r="N45" i="52"/>
  <c r="B45" i="52"/>
  <c r="C44" i="52"/>
  <c r="D44" i="52"/>
  <c r="E44" i="52"/>
  <c r="F44" i="52"/>
  <c r="G44" i="52"/>
  <c r="H44" i="52"/>
  <c r="I44" i="52"/>
  <c r="J44" i="52"/>
  <c r="K44" i="52"/>
  <c r="L44" i="52"/>
  <c r="M44" i="52"/>
  <c r="N44" i="52"/>
  <c r="B44" i="52"/>
  <c r="B40" i="52"/>
  <c r="B50" i="52" s="1"/>
  <c r="N38" i="52"/>
  <c r="C38" i="52"/>
  <c r="D38" i="52"/>
  <c r="E38" i="52"/>
  <c r="F38" i="52"/>
  <c r="G38" i="52"/>
  <c r="H38" i="52"/>
  <c r="I38" i="52"/>
  <c r="J38" i="52"/>
  <c r="K38" i="52"/>
  <c r="L38" i="52"/>
  <c r="M38" i="52"/>
  <c r="B38" i="52"/>
  <c r="N36" i="52"/>
  <c r="N37" i="52"/>
  <c r="N35" i="52"/>
  <c r="C37" i="52"/>
  <c r="D37" i="52"/>
  <c r="E37" i="52"/>
  <c r="F37" i="52"/>
  <c r="G37" i="52"/>
  <c r="H37" i="52"/>
  <c r="I37" i="52"/>
  <c r="J37" i="52"/>
  <c r="K37" i="52"/>
  <c r="L37" i="52"/>
  <c r="M37" i="52"/>
  <c r="B37" i="52"/>
  <c r="C36" i="52"/>
  <c r="D36" i="52"/>
  <c r="E36" i="52"/>
  <c r="F36" i="52"/>
  <c r="G36" i="52"/>
  <c r="H36" i="52"/>
  <c r="I36" i="52"/>
  <c r="J36" i="52"/>
  <c r="K36" i="52"/>
  <c r="L36" i="52"/>
  <c r="M36" i="52"/>
  <c r="B36" i="52"/>
  <c r="C35" i="52"/>
  <c r="D35" i="52"/>
  <c r="E35" i="52"/>
  <c r="F35" i="52"/>
  <c r="G35" i="52"/>
  <c r="H35" i="52"/>
  <c r="I35" i="52"/>
  <c r="J35" i="52"/>
  <c r="K35" i="52"/>
  <c r="L35" i="52"/>
  <c r="M35" i="52"/>
  <c r="B35" i="52"/>
  <c r="N31" i="52"/>
  <c r="N32" i="52"/>
  <c r="N33" i="52"/>
  <c r="N30" i="52"/>
  <c r="C33" i="52"/>
  <c r="D33" i="52"/>
  <c r="E33" i="52"/>
  <c r="F33" i="52"/>
  <c r="G33" i="52"/>
  <c r="H33" i="52"/>
  <c r="I33" i="52"/>
  <c r="J33" i="52"/>
  <c r="K33" i="52"/>
  <c r="L33" i="52"/>
  <c r="M33" i="52"/>
  <c r="B33" i="52"/>
  <c r="C32" i="52"/>
  <c r="D32" i="52"/>
  <c r="E32" i="52"/>
  <c r="F32" i="52"/>
  <c r="G32" i="52"/>
  <c r="H32" i="52"/>
  <c r="I32" i="52"/>
  <c r="J32" i="52"/>
  <c r="K32" i="52"/>
  <c r="L32" i="52"/>
  <c r="M32" i="52"/>
  <c r="B32" i="52"/>
  <c r="N56" i="52"/>
  <c r="C56" i="52"/>
  <c r="D56" i="52"/>
  <c r="E56" i="52"/>
  <c r="F56" i="52"/>
  <c r="G56" i="52"/>
  <c r="H56" i="52"/>
  <c r="I56" i="52"/>
  <c r="J56" i="52"/>
  <c r="K56" i="52"/>
  <c r="L56" i="52"/>
  <c r="M56" i="52"/>
  <c r="B56" i="52"/>
  <c r="N55" i="52"/>
  <c r="C55" i="52"/>
  <c r="D55" i="52"/>
  <c r="E55" i="52"/>
  <c r="F55" i="52"/>
  <c r="G55" i="52"/>
  <c r="H55" i="52"/>
  <c r="I55" i="52"/>
  <c r="J55" i="52"/>
  <c r="K55" i="52"/>
  <c r="L55" i="52"/>
  <c r="M55" i="52"/>
  <c r="B55" i="52"/>
  <c r="M30" i="52"/>
  <c r="C30" i="52"/>
  <c r="D30" i="52"/>
  <c r="E30" i="52"/>
  <c r="E31" i="52" s="1"/>
  <c r="F30" i="52"/>
  <c r="F31" i="52" s="1"/>
  <c r="G30" i="52"/>
  <c r="G31" i="52" s="1"/>
  <c r="H30" i="52"/>
  <c r="H31" i="52" s="1"/>
  <c r="I30" i="52"/>
  <c r="I31" i="52" s="1"/>
  <c r="J30" i="52"/>
  <c r="J31" i="52" s="1"/>
  <c r="K30" i="52"/>
  <c r="L30" i="52"/>
  <c r="B30" i="52"/>
  <c r="B31" i="52" s="1"/>
  <c r="N22" i="52"/>
  <c r="C31" i="52"/>
  <c r="D31" i="52"/>
  <c r="K31" i="52"/>
  <c r="L31" i="52"/>
  <c r="M31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B13" i="52"/>
  <c r="C22" i="52"/>
  <c r="D22" i="52"/>
  <c r="E22" i="52"/>
  <c r="F22" i="52"/>
  <c r="G22" i="52"/>
  <c r="H22" i="52"/>
  <c r="I22" i="52"/>
  <c r="J22" i="52"/>
  <c r="K22" i="52"/>
  <c r="L22" i="52"/>
  <c r="M22" i="52"/>
  <c r="B22" i="52"/>
  <c r="B20" i="52"/>
  <c r="C20" i="52" s="1"/>
  <c r="N19" i="52"/>
  <c r="E19" i="52"/>
  <c r="F19" i="52"/>
  <c r="G19" i="52"/>
  <c r="H19" i="52"/>
  <c r="I19" i="52" s="1"/>
  <c r="J19" i="52" s="1"/>
  <c r="K19" i="52" s="1"/>
  <c r="L19" i="52" s="1"/>
  <c r="M19" i="52" s="1"/>
  <c r="D19" i="52"/>
  <c r="C19" i="52"/>
  <c r="B19" i="52"/>
  <c r="B16" i="52"/>
  <c r="B25" i="52" s="1"/>
  <c r="C16" i="52"/>
  <c r="C25" i="52" s="1"/>
  <c r="C15" i="52"/>
  <c r="C40" i="52" s="1"/>
  <c r="C12" i="52"/>
  <c r="D12" i="52"/>
  <c r="E12" i="52"/>
  <c r="F12" i="52"/>
  <c r="G12" i="52"/>
  <c r="H12" i="52"/>
  <c r="I12" i="52"/>
  <c r="J12" i="52"/>
  <c r="K12" i="52"/>
  <c r="L12" i="52"/>
  <c r="M12" i="52"/>
  <c r="B12" i="52"/>
  <c r="N11" i="52"/>
  <c r="N10" i="52"/>
  <c r="C11" i="52"/>
  <c r="D11" i="52"/>
  <c r="E11" i="52"/>
  <c r="F11" i="52"/>
  <c r="G11" i="52"/>
  <c r="H11" i="52"/>
  <c r="I11" i="52"/>
  <c r="J11" i="52"/>
  <c r="K11" i="52"/>
  <c r="L11" i="52"/>
  <c r="M11" i="52"/>
  <c r="B11" i="52"/>
  <c r="C10" i="52"/>
  <c r="D10" i="52"/>
  <c r="E10" i="52"/>
  <c r="F10" i="52"/>
  <c r="G10" i="52"/>
  <c r="H10" i="52"/>
  <c r="I10" i="52"/>
  <c r="J10" i="52"/>
  <c r="K10" i="52"/>
  <c r="L10" i="52"/>
  <c r="M10" i="52"/>
  <c r="B10" i="52"/>
  <c r="J9" i="55"/>
  <c r="J8" i="55"/>
  <c r="J6" i="55"/>
  <c r="J7" i="55"/>
  <c r="N8" i="52"/>
  <c r="C8" i="52"/>
  <c r="D8" i="52"/>
  <c r="E8" i="52"/>
  <c r="F8" i="52"/>
  <c r="G8" i="52"/>
  <c r="H8" i="52"/>
  <c r="I8" i="52"/>
  <c r="J8" i="52"/>
  <c r="K8" i="52"/>
  <c r="L8" i="52"/>
  <c r="M8" i="52"/>
  <c r="B8" i="52"/>
  <c r="N7" i="52"/>
  <c r="C7" i="52"/>
  <c r="D7" i="52"/>
  <c r="E7" i="52"/>
  <c r="F7" i="52"/>
  <c r="G7" i="52"/>
  <c r="H7" i="52"/>
  <c r="I7" i="52"/>
  <c r="J7" i="52"/>
  <c r="K7" i="52"/>
  <c r="L7" i="52"/>
  <c r="M7" i="52"/>
  <c r="B7" i="52"/>
  <c r="N6" i="52"/>
  <c r="C6" i="52"/>
  <c r="D6" i="52"/>
  <c r="E6" i="52"/>
  <c r="F6" i="52"/>
  <c r="G6" i="52"/>
  <c r="H6" i="52"/>
  <c r="I6" i="52"/>
  <c r="J6" i="52"/>
  <c r="K6" i="52"/>
  <c r="L6" i="52"/>
  <c r="M6" i="52"/>
  <c r="B6" i="52"/>
  <c r="G2" i="52"/>
  <c r="F2" i="52"/>
  <c r="E2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J5" i="55"/>
  <c r="I23" i="59" l="1"/>
  <c r="I25" i="59" s="1"/>
  <c r="I41" i="59"/>
  <c r="H48" i="59"/>
  <c r="H50" i="59" s="1"/>
  <c r="H66" i="59"/>
  <c r="H73" i="59" s="1"/>
  <c r="H75" i="59" s="1"/>
  <c r="H65" i="59"/>
  <c r="I40" i="59"/>
  <c r="K15" i="59"/>
  <c r="J16" i="59"/>
  <c r="C73" i="53"/>
  <c r="C75" i="53" s="1"/>
  <c r="E75" i="53"/>
  <c r="E50" i="53"/>
  <c r="G13" i="53"/>
  <c r="F13" i="53"/>
  <c r="B13" i="53"/>
  <c r="F46" i="53"/>
  <c r="N12" i="53"/>
  <c r="N7" i="53"/>
  <c r="K13" i="53"/>
  <c r="B50" i="53"/>
  <c r="J13" i="53"/>
  <c r="N11" i="53"/>
  <c r="N22" i="53"/>
  <c r="I13" i="53"/>
  <c r="M13" i="53"/>
  <c r="E13" i="53"/>
  <c r="G44" i="53"/>
  <c r="G69" i="53" s="1"/>
  <c r="H19" i="53"/>
  <c r="F45" i="53"/>
  <c r="F70" i="53" s="1"/>
  <c r="N8" i="53"/>
  <c r="H13" i="53"/>
  <c r="L13" i="53"/>
  <c r="D13" i="53"/>
  <c r="N13" i="53" s="1"/>
  <c r="B72" i="53"/>
  <c r="N58" i="53"/>
  <c r="C13" i="53"/>
  <c r="N10" i="53"/>
  <c r="F38" i="53"/>
  <c r="D41" i="53"/>
  <c r="F40" i="53"/>
  <c r="E15" i="53"/>
  <c r="F15" i="53" s="1"/>
  <c r="D16" i="53"/>
  <c r="C16" i="53"/>
  <c r="C25" i="53" s="1"/>
  <c r="B65" i="52"/>
  <c r="B41" i="52"/>
  <c r="B66" i="52" s="1"/>
  <c r="B75" i="52" s="1"/>
  <c r="C41" i="52"/>
  <c r="C66" i="52" s="1"/>
  <c r="C75" i="52" s="1"/>
  <c r="C65" i="52"/>
  <c r="C50" i="52"/>
  <c r="D15" i="52"/>
  <c r="C21" i="52"/>
  <c r="D20" i="52"/>
  <c r="B21" i="52"/>
  <c r="N12" i="52"/>
  <c r="K16" i="59" l="1"/>
  <c r="L15" i="59"/>
  <c r="I48" i="59"/>
  <c r="I66" i="59"/>
  <c r="I73" i="59" s="1"/>
  <c r="I75" i="59" s="1"/>
  <c r="J41" i="59"/>
  <c r="J23" i="59"/>
  <c r="J25" i="59" s="1"/>
  <c r="J40" i="59"/>
  <c r="I65" i="59"/>
  <c r="N72" i="53"/>
  <c r="B73" i="53"/>
  <c r="B25" i="53"/>
  <c r="B75" i="53"/>
  <c r="H44" i="53"/>
  <c r="H69" i="53" s="1"/>
  <c r="I19" i="53"/>
  <c r="G45" i="53"/>
  <c r="G70" i="53" s="1"/>
  <c r="G21" i="53"/>
  <c r="F71" i="53"/>
  <c r="F75" i="53" s="1"/>
  <c r="G38" i="53"/>
  <c r="G40" i="53"/>
  <c r="E41" i="53"/>
  <c r="D25" i="53"/>
  <c r="E16" i="53"/>
  <c r="E25" i="53" s="1"/>
  <c r="G15" i="53"/>
  <c r="F16" i="53"/>
  <c r="D40" i="52"/>
  <c r="D16" i="52"/>
  <c r="E15" i="52"/>
  <c r="D21" i="52"/>
  <c r="E20" i="52"/>
  <c r="J48" i="59" l="1"/>
  <c r="J50" i="59" s="1"/>
  <c r="J66" i="59"/>
  <c r="J73" i="59" s="1"/>
  <c r="I50" i="59"/>
  <c r="L16" i="59"/>
  <c r="M15" i="59"/>
  <c r="J65" i="59"/>
  <c r="K40" i="59"/>
  <c r="K41" i="59"/>
  <c r="K23" i="59"/>
  <c r="K25" i="59" s="1"/>
  <c r="H45" i="53"/>
  <c r="H70" i="53" s="1"/>
  <c r="F50" i="53"/>
  <c r="G46" i="53"/>
  <c r="I44" i="53"/>
  <c r="I69" i="53" s="1"/>
  <c r="J19" i="53"/>
  <c r="I21" i="53"/>
  <c r="I46" i="53" s="1"/>
  <c r="H21" i="53"/>
  <c r="H46" i="53" s="1"/>
  <c r="H38" i="53"/>
  <c r="H40" i="53"/>
  <c r="F41" i="53"/>
  <c r="F25" i="53"/>
  <c r="G16" i="53"/>
  <c r="G25" i="53" s="1"/>
  <c r="H15" i="53"/>
  <c r="D65" i="52"/>
  <c r="D41" i="52"/>
  <c r="E40" i="52"/>
  <c r="E16" i="52"/>
  <c r="E25" i="52" s="1"/>
  <c r="F15" i="52"/>
  <c r="F20" i="52"/>
  <c r="E21" i="52"/>
  <c r="K65" i="59" l="1"/>
  <c r="L40" i="59"/>
  <c r="K66" i="59"/>
  <c r="K73" i="59" s="1"/>
  <c r="K75" i="59" s="1"/>
  <c r="K48" i="59"/>
  <c r="K50" i="59" s="1"/>
  <c r="J75" i="59"/>
  <c r="M16" i="59"/>
  <c r="N15" i="59"/>
  <c r="L23" i="59"/>
  <c r="L25" i="59" s="1"/>
  <c r="L41" i="59"/>
  <c r="H71" i="53"/>
  <c r="H75" i="53" s="1"/>
  <c r="I71" i="53"/>
  <c r="J44" i="53"/>
  <c r="J69" i="53" s="1"/>
  <c r="K19" i="53"/>
  <c r="J21" i="53"/>
  <c r="I45" i="53"/>
  <c r="I70" i="53" s="1"/>
  <c r="I75" i="53" s="1"/>
  <c r="G71" i="53"/>
  <c r="H50" i="53"/>
  <c r="I38" i="53"/>
  <c r="I40" i="53"/>
  <c r="G41" i="53"/>
  <c r="H16" i="53"/>
  <c r="I15" i="53"/>
  <c r="F40" i="52"/>
  <c r="F16" i="52"/>
  <c r="F25" i="52" s="1"/>
  <c r="G15" i="52"/>
  <c r="E65" i="52"/>
  <c r="E41" i="52"/>
  <c r="E66" i="52" s="1"/>
  <c r="E75" i="52" s="1"/>
  <c r="E50" i="52"/>
  <c r="D50" i="52"/>
  <c r="D25" i="52"/>
  <c r="D66" i="52"/>
  <c r="G20" i="52"/>
  <c r="F21" i="52"/>
  <c r="I50" i="51"/>
  <c r="I40" i="51"/>
  <c r="I49" i="51"/>
  <c r="I39" i="51"/>
  <c r="I41" i="51"/>
  <c r="I42" i="51"/>
  <c r="I43" i="51"/>
  <c r="I44" i="51"/>
  <c r="I45" i="51"/>
  <c r="I46" i="51"/>
  <c r="I47" i="51"/>
  <c r="I48" i="51"/>
  <c r="I38" i="51"/>
  <c r="H38" i="51"/>
  <c r="H39" i="51"/>
  <c r="H40" i="51"/>
  <c r="H41" i="51"/>
  <c r="H42" i="51"/>
  <c r="H43" i="51"/>
  <c r="H44" i="51"/>
  <c r="H45" i="51"/>
  <c r="H46" i="51"/>
  <c r="H47" i="51"/>
  <c r="H48" i="51"/>
  <c r="H49" i="51"/>
  <c r="M23" i="59" l="1"/>
  <c r="M41" i="59"/>
  <c r="N16" i="59"/>
  <c r="N41" i="59" s="1"/>
  <c r="N66" i="59" s="1"/>
  <c r="L48" i="59"/>
  <c r="L66" i="59"/>
  <c r="L73" i="59" s="1"/>
  <c r="L75" i="59" s="1"/>
  <c r="M40" i="59"/>
  <c r="L65" i="59"/>
  <c r="L19" i="53"/>
  <c r="K44" i="53"/>
  <c r="K69" i="53" s="1"/>
  <c r="G50" i="53"/>
  <c r="I50" i="53"/>
  <c r="G75" i="53"/>
  <c r="J46" i="53"/>
  <c r="J45" i="53"/>
  <c r="J70" i="53" s="1"/>
  <c r="J38" i="53"/>
  <c r="H41" i="53"/>
  <c r="J40" i="53"/>
  <c r="I16" i="53"/>
  <c r="I25" i="53" s="1"/>
  <c r="J15" i="53"/>
  <c r="D75" i="52"/>
  <c r="H15" i="52"/>
  <c r="G40" i="52"/>
  <c r="G16" i="52"/>
  <c r="F65" i="52"/>
  <c r="F50" i="52"/>
  <c r="F41" i="52"/>
  <c r="H20" i="52"/>
  <c r="G21" i="52"/>
  <c r="E27" i="51"/>
  <c r="E28" i="51"/>
  <c r="E29" i="51"/>
  <c r="E30" i="51"/>
  <c r="E31" i="51"/>
  <c r="E32" i="51"/>
  <c r="E33" i="51"/>
  <c r="E34" i="51"/>
  <c r="E35" i="51"/>
  <c r="E36" i="51"/>
  <c r="E37" i="51"/>
  <c r="E26" i="51"/>
  <c r="E15" i="51"/>
  <c r="E16" i="51"/>
  <c r="E17" i="51"/>
  <c r="E18" i="51"/>
  <c r="E19" i="51"/>
  <c r="E20" i="51"/>
  <c r="E21" i="51"/>
  <c r="E22" i="51"/>
  <c r="E23" i="51"/>
  <c r="E24" i="51"/>
  <c r="E25" i="51"/>
  <c r="E14" i="51"/>
  <c r="E2" i="51"/>
  <c r="C53" i="51"/>
  <c r="B3" i="51"/>
  <c r="B4" i="51"/>
  <c r="C8" i="51" s="1"/>
  <c r="D8" i="51" s="1"/>
  <c r="B5" i="51"/>
  <c r="B6" i="51"/>
  <c r="B7" i="51"/>
  <c r="B8" i="51"/>
  <c r="B9" i="51"/>
  <c r="B10" i="51"/>
  <c r="B11" i="51"/>
  <c r="B12" i="51"/>
  <c r="B13" i="51"/>
  <c r="B14" i="51"/>
  <c r="C17" i="51" s="1"/>
  <c r="B15" i="51"/>
  <c r="C16" i="51" s="1"/>
  <c r="D16" i="51" s="1"/>
  <c r="B16" i="51"/>
  <c r="B17" i="51"/>
  <c r="D17" i="51" s="1"/>
  <c r="B18" i="51"/>
  <c r="B19" i="51"/>
  <c r="B20" i="51"/>
  <c r="B21" i="51"/>
  <c r="B22" i="51"/>
  <c r="B23" i="51"/>
  <c r="B24" i="51"/>
  <c r="B25" i="51"/>
  <c r="B26" i="51"/>
  <c r="C33" i="51" s="1"/>
  <c r="D33" i="51" s="1"/>
  <c r="B27" i="51"/>
  <c r="B28" i="51"/>
  <c r="C32" i="51" s="1"/>
  <c r="D32" i="51" s="1"/>
  <c r="B29" i="51"/>
  <c r="B30" i="51"/>
  <c r="B31" i="51"/>
  <c r="B32" i="51"/>
  <c r="B33" i="51"/>
  <c r="B34" i="51"/>
  <c r="B35" i="51"/>
  <c r="B36" i="51"/>
  <c r="B37" i="51"/>
  <c r="B2" i="51"/>
  <c r="C54" i="53"/>
  <c r="D54" i="53"/>
  <c r="E54" i="53"/>
  <c r="F54" i="53"/>
  <c r="G54" i="53"/>
  <c r="H54" i="53"/>
  <c r="I54" i="53"/>
  <c r="J54" i="53"/>
  <c r="K54" i="53"/>
  <c r="L54" i="53"/>
  <c r="M54" i="53"/>
  <c r="B54" i="53"/>
  <c r="C29" i="53"/>
  <c r="D29" i="53"/>
  <c r="E29" i="53"/>
  <c r="F29" i="53"/>
  <c r="G29" i="53"/>
  <c r="H29" i="53"/>
  <c r="I29" i="53"/>
  <c r="J29" i="53"/>
  <c r="K29" i="53"/>
  <c r="L29" i="53"/>
  <c r="M29" i="53"/>
  <c r="B29" i="53"/>
  <c r="C54" i="52"/>
  <c r="D54" i="52"/>
  <c r="E54" i="52"/>
  <c r="F54" i="52"/>
  <c r="G54" i="52"/>
  <c r="H54" i="52"/>
  <c r="I54" i="52"/>
  <c r="J54" i="52"/>
  <c r="K54" i="52"/>
  <c r="L54" i="52"/>
  <c r="M54" i="52"/>
  <c r="B54" i="52"/>
  <c r="C29" i="52"/>
  <c r="D29" i="52"/>
  <c r="E29" i="52"/>
  <c r="F29" i="52"/>
  <c r="G29" i="52"/>
  <c r="H29" i="52"/>
  <c r="I29" i="52"/>
  <c r="J29" i="52"/>
  <c r="K29" i="52"/>
  <c r="L29" i="52"/>
  <c r="M29" i="52"/>
  <c r="B29" i="52"/>
  <c r="H4" i="54"/>
  <c r="M65" i="59" l="1"/>
  <c r="N40" i="59"/>
  <c r="N65" i="59" s="1"/>
  <c r="L50" i="59"/>
  <c r="M48" i="59"/>
  <c r="M50" i="59" s="1"/>
  <c r="N50" i="59" s="1"/>
  <c r="M66" i="59"/>
  <c r="M73" i="59" s="1"/>
  <c r="M25" i="59"/>
  <c r="N25" i="59" s="1"/>
  <c r="N23" i="59"/>
  <c r="K45" i="53"/>
  <c r="K70" i="53" s="1"/>
  <c r="K21" i="53"/>
  <c r="K46" i="53" s="1"/>
  <c r="J71" i="53"/>
  <c r="J50" i="53"/>
  <c r="M19" i="53"/>
  <c r="L44" i="53"/>
  <c r="L69" i="53" s="1"/>
  <c r="N19" i="53"/>
  <c r="N44" i="53" s="1"/>
  <c r="N69" i="53" s="1"/>
  <c r="K38" i="53"/>
  <c r="I41" i="53"/>
  <c r="K40" i="53"/>
  <c r="J16" i="53"/>
  <c r="K15" i="53"/>
  <c r="H25" i="53"/>
  <c r="G41" i="52"/>
  <c r="G66" i="52" s="1"/>
  <c r="G75" i="52" s="1"/>
  <c r="G65" i="52"/>
  <c r="F66" i="52"/>
  <c r="I15" i="52"/>
  <c r="H40" i="52"/>
  <c r="H16" i="52"/>
  <c r="H25" i="52" s="1"/>
  <c r="I20" i="52"/>
  <c r="H21" i="52"/>
  <c r="D25" i="51"/>
  <c r="D31" i="51"/>
  <c r="D2" i="51"/>
  <c r="D22" i="51"/>
  <c r="D12" i="51"/>
  <c r="D9" i="51"/>
  <c r="C3" i="51"/>
  <c r="D3" i="51" s="1"/>
  <c r="C7" i="51"/>
  <c r="C23" i="51"/>
  <c r="C15" i="51"/>
  <c r="D15" i="51" s="1"/>
  <c r="C31" i="51"/>
  <c r="D14" i="51"/>
  <c r="D20" i="51"/>
  <c r="E8" i="51" s="1"/>
  <c r="C2" i="51"/>
  <c r="C6" i="51"/>
  <c r="D6" i="51" s="1"/>
  <c r="C22" i="51"/>
  <c r="C26" i="51"/>
  <c r="C30" i="51"/>
  <c r="D30" i="51" s="1"/>
  <c r="F2" i="51"/>
  <c r="C11" i="51"/>
  <c r="D11" i="51" s="1"/>
  <c r="C27" i="51"/>
  <c r="C29" i="51"/>
  <c r="D29" i="51" s="1"/>
  <c r="C35" i="51"/>
  <c r="D35" i="51" s="1"/>
  <c r="C13" i="51"/>
  <c r="C5" i="51"/>
  <c r="D5" i="51" s="1"/>
  <c r="C21" i="51"/>
  <c r="D21" i="51" s="1"/>
  <c r="C37" i="51"/>
  <c r="D27" i="51"/>
  <c r="C12" i="51"/>
  <c r="C4" i="51"/>
  <c r="D4" i="51" s="1"/>
  <c r="C20" i="51"/>
  <c r="C36" i="51"/>
  <c r="D36" i="51" s="1"/>
  <c r="C28" i="51"/>
  <c r="D28" i="51" s="1"/>
  <c r="D7" i="51"/>
  <c r="D26" i="51"/>
  <c r="F14" i="51"/>
  <c r="C10" i="51"/>
  <c r="D10" i="51" s="1"/>
  <c r="C14" i="51"/>
  <c r="C18" i="51"/>
  <c r="D18" i="51" s="1"/>
  <c r="C34" i="51"/>
  <c r="D34" i="51" s="1"/>
  <c r="D23" i="51"/>
  <c r="C9" i="51"/>
  <c r="C25" i="51"/>
  <c r="C19" i="51"/>
  <c r="D19" i="51" s="1"/>
  <c r="C24" i="51"/>
  <c r="D24" i="51" s="1"/>
  <c r="M75" i="59" l="1"/>
  <c r="N75" i="59" s="1"/>
  <c r="N73" i="59"/>
  <c r="N48" i="59"/>
  <c r="J75" i="53"/>
  <c r="K71" i="53"/>
  <c r="K75" i="53" s="1"/>
  <c r="K50" i="53"/>
  <c r="L45" i="53"/>
  <c r="L70" i="53" s="1"/>
  <c r="L21" i="53"/>
  <c r="L46" i="53" s="1"/>
  <c r="M44" i="53"/>
  <c r="M69" i="53" s="1"/>
  <c r="L38" i="53"/>
  <c r="J41" i="53"/>
  <c r="L40" i="53"/>
  <c r="L15" i="53"/>
  <c r="K16" i="53"/>
  <c r="K25" i="53" s="1"/>
  <c r="H65" i="52"/>
  <c r="H50" i="52"/>
  <c r="H41" i="52"/>
  <c r="F75" i="52"/>
  <c r="G50" i="52"/>
  <c r="J15" i="52"/>
  <c r="I16" i="52"/>
  <c r="I25" i="52" s="1"/>
  <c r="I40" i="52"/>
  <c r="G25" i="52"/>
  <c r="J20" i="52"/>
  <c r="I21" i="52"/>
  <c r="E4" i="51"/>
  <c r="F8" i="51"/>
  <c r="F32" i="51"/>
  <c r="F20" i="51"/>
  <c r="E9" i="51"/>
  <c r="E7" i="51"/>
  <c r="E11" i="51"/>
  <c r="E6" i="51"/>
  <c r="F26" i="51"/>
  <c r="E5" i="51"/>
  <c r="C51" i="51"/>
  <c r="D13" i="51"/>
  <c r="C55" i="51"/>
  <c r="E12" i="51"/>
  <c r="E10" i="51"/>
  <c r="E3" i="51"/>
  <c r="D37" i="51"/>
  <c r="M45" i="53" l="1"/>
  <c r="M70" i="53" s="1"/>
  <c r="N20" i="53"/>
  <c r="N45" i="53" s="1"/>
  <c r="N70" i="53" s="1"/>
  <c r="M21" i="53"/>
  <c r="L71" i="53"/>
  <c r="L50" i="53"/>
  <c r="M38" i="53"/>
  <c r="N35" i="53"/>
  <c r="M40" i="53"/>
  <c r="K41" i="53"/>
  <c r="J25" i="53"/>
  <c r="M15" i="53"/>
  <c r="N15" i="53" s="1"/>
  <c r="L16" i="53"/>
  <c r="I50" i="52"/>
  <c r="I41" i="52"/>
  <c r="I66" i="52" s="1"/>
  <c r="I75" i="52" s="1"/>
  <c r="I65" i="52"/>
  <c r="H66" i="52"/>
  <c r="K15" i="52"/>
  <c r="J40" i="52"/>
  <c r="J16" i="52"/>
  <c r="J25" i="52" s="1"/>
  <c r="K20" i="52"/>
  <c r="J21" i="52"/>
  <c r="F23" i="51"/>
  <c r="F35" i="51"/>
  <c r="F11" i="51"/>
  <c r="F24" i="51"/>
  <c r="F36" i="51"/>
  <c r="F12" i="51"/>
  <c r="F30" i="51"/>
  <c r="F6" i="51"/>
  <c r="F18" i="51"/>
  <c r="F16" i="51"/>
  <c r="F28" i="51"/>
  <c r="F4" i="51"/>
  <c r="E13" i="51"/>
  <c r="F19" i="51"/>
  <c r="F31" i="51"/>
  <c r="F7" i="51"/>
  <c r="F34" i="51"/>
  <c r="F10" i="51"/>
  <c r="F22" i="51"/>
  <c r="F9" i="51"/>
  <c r="F21" i="51"/>
  <c r="F33" i="51"/>
  <c r="F15" i="51"/>
  <c r="F27" i="51"/>
  <c r="F3" i="51"/>
  <c r="F29" i="51"/>
  <c r="F5" i="51"/>
  <c r="F17" i="51"/>
  <c r="L75" i="53" l="1"/>
  <c r="M46" i="53"/>
  <c r="N21" i="53"/>
  <c r="N46" i="53" s="1"/>
  <c r="N71" i="53" s="1"/>
  <c r="N38" i="53"/>
  <c r="M41" i="53"/>
  <c r="L41" i="53"/>
  <c r="N40" i="53"/>
  <c r="L25" i="53"/>
  <c r="M16" i="53"/>
  <c r="J65" i="52"/>
  <c r="J41" i="52"/>
  <c r="J66" i="52" s="1"/>
  <c r="J75" i="52" s="1"/>
  <c r="J50" i="52"/>
  <c r="L15" i="52"/>
  <c r="K40" i="52"/>
  <c r="K16" i="52"/>
  <c r="H75" i="52"/>
  <c r="L20" i="52"/>
  <c r="K21" i="52"/>
  <c r="F37" i="51"/>
  <c r="F53" i="51" s="1"/>
  <c r="F25" i="51"/>
  <c r="F13" i="51"/>
  <c r="E51" i="51"/>
  <c r="M71" i="53" l="1"/>
  <c r="N41" i="53"/>
  <c r="N23" i="53"/>
  <c r="N16" i="53"/>
  <c r="K25" i="52"/>
  <c r="K50" i="52"/>
  <c r="K65" i="52"/>
  <c r="K41" i="52"/>
  <c r="K66" i="52" s="1"/>
  <c r="K75" i="52" s="1"/>
  <c r="M15" i="52"/>
  <c r="L40" i="52"/>
  <c r="L16" i="52"/>
  <c r="L25" i="52" s="1"/>
  <c r="M20" i="52"/>
  <c r="L21" i="52"/>
  <c r="F51" i="51"/>
  <c r="N48" i="53" l="1"/>
  <c r="M50" i="53"/>
  <c r="N50" i="53" s="1"/>
  <c r="M75" i="53"/>
  <c r="N75" i="53" s="1"/>
  <c r="N73" i="53"/>
  <c r="M25" i="53"/>
  <c r="N25" i="53" s="1"/>
  <c r="L50" i="52"/>
  <c r="L41" i="52"/>
  <c r="L66" i="52" s="1"/>
  <c r="L75" i="52" s="1"/>
  <c r="L65" i="52"/>
  <c r="M40" i="52"/>
  <c r="M16" i="52"/>
  <c r="N15" i="52"/>
  <c r="M21" i="52"/>
  <c r="N21" i="52" s="1"/>
  <c r="N20" i="52"/>
  <c r="N16" i="52" l="1"/>
  <c r="M65" i="52"/>
  <c r="M41" i="52"/>
  <c r="N40" i="52"/>
  <c r="N65" i="52" s="1"/>
  <c r="M66" i="52" l="1"/>
  <c r="N41" i="52"/>
  <c r="N66" i="52" s="1"/>
  <c r="M50" i="52"/>
  <c r="N50" i="52" s="1"/>
  <c r="N48" i="52"/>
  <c r="M25" i="52"/>
  <c r="N25" i="52" s="1"/>
  <c r="N23" i="52"/>
  <c r="M75" i="52" l="1"/>
  <c r="N75" i="52" s="1"/>
  <c r="N73" i="52"/>
</calcChain>
</file>

<file path=xl/sharedStrings.xml><?xml version="1.0" encoding="utf-8"?>
<sst xmlns="http://schemas.openxmlformats.org/spreadsheetml/2006/main" count="607" uniqueCount="229">
  <si>
    <t>Name</t>
  </si>
  <si>
    <t>Panther ID</t>
  </si>
  <si>
    <t>Do Not Alter or Delete this Worksheet or you submission cannot be graded!</t>
  </si>
  <si>
    <t>Action</t>
  </si>
  <si>
    <t>Date/Time</t>
  </si>
  <si>
    <t>Starter Sheet</t>
  </si>
  <si>
    <t>None</t>
  </si>
  <si>
    <t xml:space="preserve">Month </t>
  </si>
  <si>
    <t xml:space="preserve">Summer 2020 </t>
  </si>
  <si>
    <t xml:space="preserve">Donut Information </t>
  </si>
  <si>
    <r>
      <t xml:space="preserve">Based on the below data, create the profit model for </t>
    </r>
    <r>
      <rPr>
        <b/>
        <i/>
        <sz val="12"/>
        <color theme="1"/>
        <rFont val="Calibri"/>
        <family val="2"/>
        <scheme val="minor"/>
      </rPr>
      <t>Donuts to Go.</t>
    </r>
  </si>
  <si>
    <t>Assume that each customer will buy one donut and one cup of coffee</t>
  </si>
  <si>
    <t xml:space="preserve"> </t>
  </si>
  <si>
    <t>Time period</t>
  </si>
  <si>
    <t>Revenue: Cup of Coffee</t>
  </si>
  <si>
    <t>Revenue: Donut</t>
  </si>
  <si>
    <t>Donut ingredients per donunt)</t>
  </si>
  <si>
    <t>Insurance</t>
  </si>
  <si>
    <t>Maintenance &amp; Repairs to equipment</t>
  </si>
  <si>
    <t>Marketing &amp; Promotion: Advertising</t>
  </si>
  <si>
    <t xml:space="preserve">Coffee </t>
  </si>
  <si>
    <t xml:space="preserve">Coffee cups </t>
  </si>
  <si>
    <t>Payroll:  Wages (Owner/ Manager)</t>
  </si>
  <si>
    <t>Payroll:  Wages (per Employees)</t>
  </si>
  <si>
    <t xml:space="preserve">Donut and Coffee equipment rent </t>
  </si>
  <si>
    <t>Professional Fees: Accounting</t>
  </si>
  <si>
    <t>Professional Fees: Legal</t>
  </si>
  <si>
    <t>Powdered and Liquid Beverages</t>
  </si>
  <si>
    <t>Rent</t>
  </si>
  <si>
    <t>Supplies: Office</t>
  </si>
  <si>
    <t>Utilities</t>
  </si>
  <si>
    <t>Additional Data</t>
  </si>
  <si>
    <t>Monthly Production</t>
  </si>
  <si>
    <t>Lost Sales</t>
  </si>
  <si>
    <t>Day old revenue</t>
  </si>
  <si>
    <t>High demand, % above Average</t>
  </si>
  <si>
    <t>Low Demand, % below average</t>
  </si>
  <si>
    <t>Average demand</t>
  </si>
  <si>
    <t>Month</t>
  </si>
  <si>
    <t>Demand</t>
  </si>
  <si>
    <t>Yearly average</t>
  </si>
  <si>
    <t>Seasonal Index</t>
  </si>
  <si>
    <t>Average SI</t>
  </si>
  <si>
    <t>Deseasonalized</t>
  </si>
  <si>
    <t>Regression Output</t>
  </si>
  <si>
    <t>Deseasonalized forecast</t>
  </si>
  <si>
    <t>Seasonalized forecast</t>
  </si>
  <si>
    <t>CURRENT OPERATIONS</t>
  </si>
  <si>
    <t>AVERAGE DEMAND</t>
  </si>
  <si>
    <t>satisfied demand</t>
  </si>
  <si>
    <t xml:space="preserve">Extra donuts(over) </t>
  </si>
  <si>
    <t>Unsatisfied customers (short)</t>
  </si>
  <si>
    <t>Revenue</t>
  </si>
  <si>
    <t xml:space="preserve">coffee </t>
  </si>
  <si>
    <t>donut</t>
  </si>
  <si>
    <t xml:space="preserve">Revenue from day old sales </t>
  </si>
  <si>
    <t>Total Revenue</t>
  </si>
  <si>
    <t>Expenses</t>
  </si>
  <si>
    <t>Fixed Expenses</t>
  </si>
  <si>
    <t>Total Fixed Expense</t>
  </si>
  <si>
    <t>Variable Expenses</t>
  </si>
  <si>
    <t>Coffee Variable expense</t>
  </si>
  <si>
    <t>Donut Variable expense</t>
  </si>
  <si>
    <t>Total Variable Expenses</t>
  </si>
  <si>
    <t>Expenses: due to lost sales</t>
  </si>
  <si>
    <t>Total  Expenses</t>
  </si>
  <si>
    <t>Profit Donuts and Coffee</t>
  </si>
  <si>
    <t>HIGH DEMAND</t>
  </si>
  <si>
    <t>LOW DEMAND</t>
  </si>
  <si>
    <t>PAYOFF TABLE</t>
  </si>
  <si>
    <t>State of Nature</t>
  </si>
  <si>
    <t xml:space="preserve">Summary of Results </t>
  </si>
  <si>
    <t xml:space="preserve">Methods </t>
  </si>
  <si>
    <t>Decision Alternatives</t>
  </si>
  <si>
    <t xml:space="preserve">Low </t>
  </si>
  <si>
    <t xml:space="preserve">Average </t>
  </si>
  <si>
    <t xml:space="preserve">High </t>
  </si>
  <si>
    <t>Maximin</t>
  </si>
  <si>
    <t>MaxiMax</t>
  </si>
  <si>
    <t xml:space="preserve">Laplace </t>
  </si>
  <si>
    <t>MinMax regret</t>
  </si>
  <si>
    <t>EVUII</t>
  </si>
  <si>
    <t>EOL</t>
  </si>
  <si>
    <t>DM UNDER IGNORANCE</t>
  </si>
  <si>
    <t>Kiana should choose to:</t>
  </si>
  <si>
    <t>Maximax</t>
  </si>
  <si>
    <t>Laplace</t>
  </si>
  <si>
    <t>Minimax Regret</t>
  </si>
  <si>
    <t>Regret table</t>
  </si>
  <si>
    <t>DM UNDER RISK</t>
  </si>
  <si>
    <t>Probability</t>
  </si>
  <si>
    <t>EVUPI</t>
  </si>
  <si>
    <t>EVPI</t>
  </si>
  <si>
    <t xml:space="preserve">Total </t>
  </si>
  <si>
    <t>Monthly Fixed Expense increase</t>
  </si>
  <si>
    <t>Monthly Production Increase</t>
  </si>
  <si>
    <t>Monthly demand increase</t>
  </si>
  <si>
    <t xml:space="preserve">States of Natures </t>
  </si>
  <si>
    <r>
      <t xml:space="preserve">CLICK CELL J2 as </t>
    </r>
    <r>
      <rPr>
        <b/>
        <sz val="11"/>
        <color theme="1"/>
        <rFont val="Calibri"/>
        <family val="2"/>
        <scheme val="minor"/>
      </rPr>
      <t>output cell</t>
    </r>
    <r>
      <rPr>
        <sz val="11"/>
        <color theme="1"/>
        <rFont val="Calibri"/>
        <family val="2"/>
        <scheme val="minor"/>
      </rPr>
      <t xml:space="preserve"> for regression</t>
    </r>
  </si>
  <si>
    <t>When you move your forecast to the profit models, you must use an equation, not just copy the values</t>
  </si>
  <si>
    <t>test</t>
  </si>
  <si>
    <t>Part 2</t>
  </si>
  <si>
    <t xml:space="preserve">Yearly Total </t>
  </si>
  <si>
    <t>Part 3</t>
  </si>
  <si>
    <t>You should be able to copy from average to high and low and then just make some modifications</t>
  </si>
  <si>
    <t>FRANCHISE</t>
  </si>
  <si>
    <t>Spring 2021</t>
  </si>
  <si>
    <t>Ahadu Solomon</t>
  </si>
  <si>
    <t>DirVer</t>
  </si>
  <si>
    <t>Welcome to Microsoft Excel version 16.53 build 912 running on Macintosh (Intel) Version 11.2.3 (Build 20D91)!</t>
  </si>
  <si>
    <t>Microsoft Office User</t>
  </si>
  <si>
    <t>S01</t>
  </si>
  <si>
    <t>Start S01</t>
  </si>
  <si>
    <t>Put yearly average in cell I50</t>
  </si>
  <si>
    <t>Total 3 year demand</t>
  </si>
  <si>
    <t>Total 3 year deseasonalized demand</t>
  </si>
  <si>
    <t>Average 3 year deseasonalized demand</t>
  </si>
  <si>
    <t>Highest Average SI</t>
  </si>
  <si>
    <t>Franchise  Operations</t>
  </si>
  <si>
    <t>Highest yearly average</t>
  </si>
  <si>
    <t>Payoff</t>
  </si>
  <si>
    <t>Operations</t>
  </si>
  <si>
    <t>Reminder: Format Cells to show 2 decimal places</t>
  </si>
  <si>
    <t xml:space="preserve">probabilities </t>
  </si>
  <si>
    <t>Low</t>
  </si>
  <si>
    <t xml:space="preserve">High    </t>
  </si>
  <si>
    <t>Fill in the space below for each method solved under each Decision Alternative.  This is just a summary of the results on the left.</t>
  </si>
  <si>
    <t>Item</t>
  </si>
  <si>
    <t>Profit Model label</t>
  </si>
  <si>
    <t>Expense/revenue</t>
  </si>
  <si>
    <t>Rev: Coffee</t>
  </si>
  <si>
    <t>Rev: Donut</t>
  </si>
  <si>
    <t>Fixed Expense</t>
  </si>
  <si>
    <t>paper products: napkins, plates etc per Donut</t>
  </si>
  <si>
    <t>Do not need to fill in these spaces</t>
  </si>
  <si>
    <t>Average Monthly demand using the 3 year demand</t>
  </si>
  <si>
    <t xml:space="preserve">Use the average seasonal Index in the column </t>
  </si>
  <si>
    <t xml:space="preserve">FOOD TRUCK </t>
  </si>
  <si>
    <t>Remember that we use profits to fill in payoff tables like the ones we forecasted in the previous sheets. It would help if you filled in the table in C5:E7 and referenced those values to the other tables below. Use the probabilities found in Financial Information B42:44 for the regret tables</t>
  </si>
  <si>
    <r>
      <t xml:space="preserve">2.  Create a pivot table selecting </t>
    </r>
    <r>
      <rPr>
        <b/>
        <sz val="11"/>
        <color theme="1"/>
        <rFont val="Calibri"/>
        <family val="2"/>
        <scheme val="minor"/>
      </rPr>
      <t>Existing Worksheet</t>
    </r>
    <r>
      <rPr>
        <sz val="11"/>
        <color theme="1"/>
        <rFont val="Calibri"/>
        <family val="2"/>
        <scheme val="minor"/>
      </rPr>
      <t xml:space="preserve"> at </t>
    </r>
    <r>
      <rPr>
        <b/>
        <sz val="11"/>
        <color theme="1"/>
        <rFont val="Calibri"/>
        <family val="2"/>
        <scheme val="minor"/>
      </rPr>
      <t xml:space="preserve">location </t>
    </r>
    <r>
      <rPr>
        <sz val="11"/>
        <color theme="1"/>
        <rFont val="Calibri"/>
        <family val="2"/>
        <scheme val="minor"/>
      </rPr>
      <t>D2</t>
    </r>
  </si>
  <si>
    <t>3. Confirm that there is no data from earlier than Jan 2019, and then remove that line</t>
  </si>
  <si>
    <t>5. Insert the trend line for 2022 and include the equation</t>
  </si>
  <si>
    <t>1. Copy your data set to columns A and B, leave the labels</t>
  </si>
  <si>
    <t>4. Create a Pivot Graph that looks like the one given in the Project instructions on Csepub</t>
  </si>
  <si>
    <t>Variable  Expense: Donut</t>
  </si>
  <si>
    <t>Variable  Expense: Coffee</t>
  </si>
  <si>
    <t>Row Labels</t>
  </si>
  <si>
    <t>Grand Total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</si>
  <si>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</si>
  <si>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</si>
  <si>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</si>
  <si>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</si>
  <si>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</si>
  <si>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</si>
  <si>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</si>
  <si>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</si>
  <si>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</si>
  <si>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</si>
  <si>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</si>
  <si>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</si>
  <si>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</si>
  <si>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</si>
  <si>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2022</t>
  </si>
  <si>
    <t>Sum of Demand</t>
  </si>
  <si>
    <t>Column Labels</t>
  </si>
  <si>
    <t>Sum of Expense/revenue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</si>
  <si>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</si>
  <si>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</si>
  <si>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</si>
  <si>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</si>
  <si>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</si>
  <si>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</si>
  <si>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</si>
  <si>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</si>
  <si>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</si>
  <si>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</si>
  <si>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</si>
  <si>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</si>
  <si>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</si>
  <si>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</si>
  <si>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</si>
  <si>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</si>
  <si>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</si>
  <si>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</si>
  <si>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</si>
  <si>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</si>
  <si>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</si>
  <si>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</si>
  <si>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</si>
  <si>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</si>
  <si>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revenue coffee</t>
  </si>
  <si>
    <t>revenue donut</t>
  </si>
  <si>
    <t>fixed expense</t>
  </si>
  <si>
    <t>variable expense coffee</t>
  </si>
  <si>
    <t>variable expense donut</t>
  </si>
  <si>
    <t xml:space="preserve">Donut Information for Food Truck </t>
  </si>
  <si>
    <t>new</t>
  </si>
  <si>
    <t xml:space="preserve">Drop Production since flexible hours and limited storage space </t>
  </si>
  <si>
    <t>Expense/revenue FT</t>
  </si>
  <si>
    <t>Sum of Expense/revenue FT</t>
  </si>
  <si>
    <t>Fixed expenses:</t>
  </si>
  <si>
    <t>Revenue coffee:</t>
  </si>
  <si>
    <t>Variable  Expense donut</t>
  </si>
  <si>
    <t>Revenue donut:</t>
  </si>
  <si>
    <t>Variable  Expense coffee</t>
  </si>
  <si>
    <t>Variableae a coffee:</t>
  </si>
  <si>
    <t>Variableae a donut:</t>
  </si>
  <si>
    <t>No advertising, Friend doing locations on Insta and Facebook</t>
  </si>
  <si>
    <t>No other employees</t>
  </si>
  <si>
    <t>No rent instead payment for lease on Food Truck.</t>
  </si>
  <si>
    <t xml:space="preserve">Food Truck </t>
  </si>
  <si>
    <t>make to order</t>
  </si>
  <si>
    <t>Hours operating/week</t>
  </si>
  <si>
    <t>Event location</t>
  </si>
  <si>
    <t>office location</t>
  </si>
  <si>
    <t>Demand is based off multiple regression</t>
  </si>
  <si>
    <t xml:space="preserve">Use the data to the left from 10/2021 till 1/2023 to create a regression model </t>
  </si>
  <si>
    <t>Use the model and the data in the blue box to create the demand for 2023</t>
  </si>
  <si>
    <t>Event and office location are dummy variables.</t>
  </si>
  <si>
    <t xml:space="preserve">Since these are the only 2 possible locations.  This means that if they aren't at an Event location, they will be at an office location.  </t>
  </si>
  <si>
    <t xml:space="preserve">Therefore you only need to use 1 ( such as just the Event column) in the Regression, since by default a 0 in the event column means they are at an office location. </t>
  </si>
  <si>
    <t xml:space="preserve">This Blue box represent the variables to use in the regression equation  to predict the demand for 2023.  </t>
  </si>
  <si>
    <t>Total Demand 2023</t>
  </si>
  <si>
    <t>MAKE to Order</t>
  </si>
  <si>
    <t>Part 4</t>
  </si>
  <si>
    <t>Min</t>
  </si>
  <si>
    <t>Max</t>
  </si>
  <si>
    <t>Average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</si>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</sst>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  <numFmt numFmtId="165" formatCode="mmm\-dd\ hh:mm"/>
    <numFmt numFmtId="166" formatCode="&quot;$&quot;#,##0.00"/>
    <numFmt numFmtId="167" formatCode="dd\-mmm\-yyyy\ hh:mm"/>
    <numFmt numFmtId="168" formatCode="0.0000"/>
    <numFmt numFmtId="169" formatCode="0.000"/>
  </numFmts>
  <fonts count="3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 Unicode MS"/>
      <family val="2"/>
    </font>
    <font>
      <sz val="8"/>
      <name val="Arial Unicode MS"/>
      <family val="2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double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theme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thin">
        <color indexed="64"/>
      </top>
      <bottom style="double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9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2" fillId="0" borderId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245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0" fontId="8" fillId="0" borderId="0" xfId="0" applyFont="1"/>
    <xf numFmtId="0" fontId="8" fillId="0" borderId="0" xfId="0" applyFont="1" applyAlignment="1">
      <alignment vertical="center"/>
    </xf>
    <xf numFmtId="0" fontId="6" fillId="0" borderId="0" xfId="0" applyFont="1"/>
    <xf numFmtId="0" fontId="11" fillId="0" borderId="0" xfId="0" applyFont="1"/>
    <xf numFmtId="166" fontId="0" fillId="0" borderId="0" xfId="0" applyNumberFormat="1"/>
    <xf numFmtId="166" fontId="12" fillId="0" borderId="6" xfId="94" applyNumberFormat="1" applyBorder="1"/>
    <xf numFmtId="166" fontId="12" fillId="0" borderId="10" xfId="94" applyNumberFormat="1" applyBorder="1"/>
    <xf numFmtId="0" fontId="14" fillId="0" borderId="11" xfId="94" applyFont="1" applyBorder="1" applyAlignment="1">
      <alignment horizontal="left" vertical="center" wrapText="1"/>
    </xf>
    <xf numFmtId="4" fontId="0" fillId="0" borderId="0" xfId="0" applyNumberFormat="1"/>
    <xf numFmtId="166" fontId="12" fillId="0" borderId="0" xfId="94" applyNumberFormat="1"/>
    <xf numFmtId="0" fontId="14" fillId="0" borderId="0" xfId="94" applyFont="1" applyAlignment="1">
      <alignment horizontal="left" vertical="center" wrapText="1"/>
    </xf>
    <xf numFmtId="0" fontId="16" fillId="4" borderId="16" xfId="0" applyFont="1" applyFill="1" applyBorder="1"/>
    <xf numFmtId="0" fontId="16" fillId="4" borderId="17" xfId="0" applyFont="1" applyFill="1" applyBorder="1"/>
    <xf numFmtId="0" fontId="16" fillId="4" borderId="18" xfId="0" applyFont="1" applyFill="1" applyBorder="1"/>
    <xf numFmtId="0" fontId="16" fillId="4" borderId="0" xfId="0" applyFont="1" applyFill="1"/>
    <xf numFmtId="0" fontId="0" fillId="4" borderId="0" xfId="0" applyFill="1"/>
    <xf numFmtId="14" fontId="0" fillId="5" borderId="15" xfId="0" applyNumberFormat="1" applyFill="1" applyBorder="1"/>
    <xf numFmtId="0" fontId="0" fillId="0" borderId="20" xfId="0" applyBorder="1"/>
    <xf numFmtId="0" fontId="0" fillId="0" borderId="8" xfId="0" applyBorder="1"/>
    <xf numFmtId="0" fontId="8" fillId="0" borderId="0" xfId="0" applyFont="1" applyAlignment="1">
      <alignment horizontal="center"/>
    </xf>
    <xf numFmtId="0" fontId="0" fillId="2" borderId="6" xfId="0" applyFill="1" applyBorder="1"/>
    <xf numFmtId="0" fontId="0" fillId="5" borderId="15" xfId="0" applyFill="1" applyBorder="1"/>
    <xf numFmtId="0" fontId="0" fillId="5" borderId="5" xfId="0" applyFill="1" applyBorder="1"/>
    <xf numFmtId="0" fontId="0" fillId="2" borderId="33" xfId="0" applyFill="1" applyBorder="1"/>
    <xf numFmtId="0" fontId="0" fillId="2" borderId="8" xfId="0" applyFill="1" applyBorder="1"/>
    <xf numFmtId="0" fontId="0" fillId="2" borderId="25" xfId="0" applyFill="1" applyBorder="1"/>
    <xf numFmtId="0" fontId="8" fillId="0" borderId="0" xfId="0" applyFont="1" applyAlignment="1">
      <alignment wrapText="1"/>
    </xf>
    <xf numFmtId="0" fontId="21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 wrapText="1"/>
    </xf>
    <xf numFmtId="0" fontId="8" fillId="5" borderId="0" xfId="0" applyFont="1" applyFill="1"/>
    <xf numFmtId="0" fontId="0" fillId="2" borderId="0" xfId="0" applyFill="1"/>
    <xf numFmtId="0" fontId="8" fillId="0" borderId="38" xfId="0" applyFont="1" applyBorder="1" applyAlignment="1">
      <alignment wrapText="1"/>
    </xf>
    <xf numFmtId="0" fontId="8" fillId="0" borderId="39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0" fillId="0" borderId="40" xfId="0" applyBorder="1" applyAlignment="1">
      <alignment wrapText="1"/>
    </xf>
    <xf numFmtId="0" fontId="8" fillId="0" borderId="41" xfId="0" applyFont="1" applyBorder="1" applyAlignment="1">
      <alignment vertical="center"/>
    </xf>
    <xf numFmtId="0" fontId="8" fillId="0" borderId="0" xfId="0" applyFont="1" applyAlignment="1">
      <alignment horizontal="center" wrapText="1"/>
    </xf>
    <xf numFmtId="9" fontId="0" fillId="0" borderId="0" xfId="0" applyNumberFormat="1"/>
    <xf numFmtId="0" fontId="9" fillId="3" borderId="38" xfId="0" applyFont="1" applyFill="1" applyBorder="1" applyAlignment="1">
      <alignment horizontal="center" wrapText="1"/>
    </xf>
    <xf numFmtId="0" fontId="0" fillId="3" borderId="42" xfId="0" applyFill="1" applyBorder="1"/>
    <xf numFmtId="0" fontId="12" fillId="3" borderId="42" xfId="94" applyFill="1" applyBorder="1"/>
    <xf numFmtId="0" fontId="12" fillId="3" borderId="37" xfId="94" applyFill="1" applyBorder="1"/>
    <xf numFmtId="0" fontId="8" fillId="0" borderId="0" xfId="0" applyFont="1" applyAlignment="1">
      <alignment horizontal="center" vertical="center"/>
    </xf>
    <xf numFmtId="167" fontId="2" fillId="0" borderId="0" xfId="0" applyNumberFormat="1" applyFont="1"/>
    <xf numFmtId="0" fontId="0" fillId="5" borderId="15" xfId="0" applyFill="1" applyBorder="1" applyAlignment="1">
      <alignment horizontal="right"/>
    </xf>
    <xf numFmtId="0" fontId="0" fillId="0" borderId="44" xfId="0" applyBorder="1"/>
    <xf numFmtId="17" fontId="0" fillId="4" borderId="46" xfId="0" applyNumberFormat="1" applyFill="1" applyBorder="1"/>
    <xf numFmtId="0" fontId="0" fillId="0" borderId="47" xfId="0" applyBorder="1"/>
    <xf numFmtId="0" fontId="8" fillId="4" borderId="26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/>
    </xf>
    <xf numFmtId="0" fontId="8" fillId="5" borderId="43" xfId="0" applyFont="1" applyFill="1" applyBorder="1" applyAlignment="1">
      <alignment horizontal="right"/>
    </xf>
    <xf numFmtId="0" fontId="8" fillId="5" borderId="15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right"/>
    </xf>
    <xf numFmtId="0" fontId="0" fillId="0" borderId="6" xfId="0" applyBorder="1"/>
    <xf numFmtId="0" fontId="0" fillId="0" borderId="1" xfId="0" applyBorder="1"/>
    <xf numFmtId="17" fontId="0" fillId="4" borderId="50" xfId="0" applyNumberFormat="1" applyFill="1" applyBorder="1"/>
    <xf numFmtId="2" fontId="0" fillId="0" borderId="31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0" xfId="0" applyNumberFormat="1"/>
    <xf numFmtId="1" fontId="0" fillId="0" borderId="28" xfId="0" applyNumberFormat="1" applyBorder="1"/>
    <xf numFmtId="2" fontId="0" fillId="0" borderId="28" xfId="0" applyNumberFormat="1" applyBorder="1"/>
    <xf numFmtId="2" fontId="0" fillId="0" borderId="30" xfId="0" applyNumberFormat="1" applyBorder="1"/>
    <xf numFmtId="2" fontId="0" fillId="0" borderId="53" xfId="0" applyNumberFormat="1" applyBorder="1"/>
    <xf numFmtId="2" fontId="0" fillId="0" borderId="54" xfId="0" applyNumberFormat="1" applyBorder="1"/>
    <xf numFmtId="1" fontId="0" fillId="0" borderId="53" xfId="0" applyNumberFormat="1" applyBorder="1"/>
    <xf numFmtId="2" fontId="0" fillId="0" borderId="48" xfId="0" applyNumberFormat="1" applyBorder="1"/>
    <xf numFmtId="2" fontId="0" fillId="0" borderId="23" xfId="0" applyNumberFormat="1" applyBorder="1"/>
    <xf numFmtId="0" fontId="0" fillId="0" borderId="42" xfId="0" applyBorder="1"/>
    <xf numFmtId="0" fontId="23" fillId="2" borderId="0" xfId="0" applyFont="1" applyFill="1"/>
    <xf numFmtId="0" fontId="24" fillId="2" borderId="20" xfId="0" applyFont="1" applyFill="1" applyBorder="1" applyAlignment="1">
      <alignment wrapText="1"/>
    </xf>
    <xf numFmtId="2" fontId="0" fillId="0" borderId="8" xfId="0" applyNumberFormat="1" applyBorder="1"/>
    <xf numFmtId="2" fontId="0" fillId="5" borderId="0" xfId="0" applyNumberFormat="1" applyFill="1"/>
    <xf numFmtId="0" fontId="8" fillId="4" borderId="1" xfId="0" applyFont="1" applyFill="1" applyBorder="1"/>
    <xf numFmtId="2" fontId="0" fillId="5" borderId="55" xfId="0" applyNumberFormat="1" applyFill="1" applyBorder="1"/>
    <xf numFmtId="2" fontId="6" fillId="0" borderId="49" xfId="91" applyNumberFormat="1" applyBorder="1" applyAlignment="1">
      <alignment wrapText="1"/>
    </xf>
    <xf numFmtId="2" fontId="0" fillId="5" borderId="45" xfId="0" applyNumberFormat="1" applyFill="1" applyBorder="1"/>
    <xf numFmtId="168" fontId="0" fillId="5" borderId="1" xfId="0" applyNumberFormat="1" applyFill="1" applyBorder="1"/>
    <xf numFmtId="2" fontId="0" fillId="5" borderId="49" xfId="0" applyNumberFormat="1" applyFill="1" applyBorder="1"/>
    <xf numFmtId="2" fontId="0" fillId="5" borderId="1" xfId="0" applyNumberFormat="1" applyFill="1" applyBorder="1"/>
    <xf numFmtId="2" fontId="0" fillId="0" borderId="5" xfId="0" applyNumberFormat="1" applyBorder="1"/>
    <xf numFmtId="0" fontId="26" fillId="0" borderId="36" xfId="0" applyFont="1" applyBorder="1" applyAlignment="1">
      <alignment vertical="center"/>
    </xf>
    <xf numFmtId="0" fontId="26" fillId="0" borderId="37" xfId="0" applyFont="1" applyBorder="1" applyAlignment="1">
      <alignment vertical="center" wrapText="1"/>
    </xf>
    <xf numFmtId="2" fontId="0" fillId="0" borderId="13" xfId="0" applyNumberFormat="1" applyBorder="1"/>
    <xf numFmtId="2" fontId="0" fillId="0" borderId="12" xfId="0" applyNumberFormat="1" applyBorder="1"/>
    <xf numFmtId="2" fontId="0" fillId="0" borderId="7" xfId="0" applyNumberFormat="1" applyBorder="1"/>
    <xf numFmtId="2" fontId="0" fillId="0" borderId="14" xfId="0" applyNumberFormat="1" applyBorder="1"/>
    <xf numFmtId="9" fontId="8" fillId="0" borderId="6" xfId="0" applyNumberFormat="1" applyFont="1" applyBorder="1" applyAlignment="1">
      <alignment vertical="center" wrapText="1"/>
    </xf>
    <xf numFmtId="9" fontId="8" fillId="0" borderId="9" xfId="0" applyNumberFormat="1" applyFont="1" applyBorder="1" applyAlignment="1">
      <alignment vertical="center" wrapText="1"/>
    </xf>
    <xf numFmtId="17" fontId="0" fillId="0" borderId="56" xfId="0" applyNumberFormat="1" applyBorder="1"/>
    <xf numFmtId="0" fontId="6" fillId="0" borderId="19" xfId="91" applyBorder="1"/>
    <xf numFmtId="0" fontId="16" fillId="3" borderId="0" xfId="0" applyFont="1" applyFill="1" applyAlignment="1">
      <alignment horizontal="left" vertical="center" wrapText="1"/>
    </xf>
    <xf numFmtId="0" fontId="16" fillId="3" borderId="0" xfId="0" applyFont="1" applyFill="1" applyAlignment="1">
      <alignment wrapText="1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166" fontId="28" fillId="0" borderId="0" xfId="0" applyNumberFormat="1" applyFont="1"/>
    <xf numFmtId="0" fontId="13" fillId="0" borderId="2" xfId="94" applyFont="1" applyBorder="1" applyAlignment="1">
      <alignment wrapText="1"/>
    </xf>
    <xf numFmtId="0" fontId="8" fillId="0" borderId="3" xfId="0" applyFont="1" applyBorder="1" applyAlignment="1">
      <alignment wrapText="1"/>
    </xf>
    <xf numFmtId="166" fontId="13" fillId="0" borderId="4" xfId="94" applyNumberFormat="1" applyFont="1" applyBorder="1" applyAlignment="1">
      <alignment wrapText="1"/>
    </xf>
    <xf numFmtId="0" fontId="12" fillId="0" borderId="41" xfId="94" applyBorder="1" applyAlignment="1">
      <alignment wrapText="1"/>
    </xf>
    <xf numFmtId="166" fontId="12" fillId="0" borderId="7" xfId="94" applyNumberFormat="1" applyBorder="1"/>
    <xf numFmtId="0" fontId="12" fillId="0" borderId="57" xfId="94" applyBorder="1" applyAlignment="1">
      <alignment wrapText="1"/>
    </xf>
    <xf numFmtId="0" fontId="12" fillId="0" borderId="6" xfId="94" applyBorder="1" applyAlignment="1">
      <alignment wrapText="1"/>
    </xf>
    <xf numFmtId="0" fontId="12" fillId="0" borderId="0" xfId="94" applyAlignment="1">
      <alignment wrapText="1"/>
    </xf>
    <xf numFmtId="0" fontId="12" fillId="0" borderId="42" xfId="94" applyBorder="1" applyAlignment="1">
      <alignment wrapText="1"/>
    </xf>
    <xf numFmtId="0" fontId="15" fillId="0" borderId="0" xfId="94" applyFont="1" applyAlignment="1">
      <alignment wrapText="1"/>
    </xf>
    <xf numFmtId="0" fontId="17" fillId="3" borderId="3" xfId="94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17" fillId="3" borderId="38" xfId="94" applyFont="1" applyFill="1" applyBorder="1" applyAlignment="1">
      <alignment horizontal="center" vertical="center" wrapText="1"/>
    </xf>
    <xf numFmtId="0" fontId="18" fillId="3" borderId="42" xfId="0" applyFont="1" applyFill="1" applyBorder="1" applyAlignment="1">
      <alignment wrapText="1"/>
    </xf>
    <xf numFmtId="0" fontId="8" fillId="3" borderId="42" xfId="0" applyFont="1" applyFill="1" applyBorder="1" applyAlignment="1">
      <alignment wrapText="1"/>
    </xf>
    <xf numFmtId="0" fontId="19" fillId="0" borderId="0" xfId="94" applyFont="1" applyAlignment="1">
      <alignment horizontal="left" vertical="center" wrapText="1"/>
    </xf>
    <xf numFmtId="0" fontId="20" fillId="0" borderId="0" xfId="94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0" fillId="7" borderId="0" xfId="0" applyFill="1"/>
    <xf numFmtId="14" fontId="0" fillId="5" borderId="42" xfId="0" applyNumberFormat="1" applyFill="1" applyBorder="1"/>
    <xf numFmtId="0" fontId="0" fillId="0" borderId="45" xfId="0" applyBorder="1"/>
    <xf numFmtId="0" fontId="0" fillId="0" borderId="49" xfId="0" applyBorder="1"/>
    <xf numFmtId="2" fontId="6" fillId="0" borderId="58" xfId="91" applyNumberFormat="1" applyBorder="1" applyAlignment="1">
      <alignment wrapText="1"/>
    </xf>
    <xf numFmtId="0" fontId="0" fillId="8" borderId="38" xfId="0" applyFill="1" applyBorder="1"/>
    <xf numFmtId="0" fontId="0" fillId="8" borderId="3" xfId="0" applyFill="1" applyBorder="1"/>
    <xf numFmtId="168" fontId="25" fillId="8" borderId="3" xfId="0" applyNumberFormat="1" applyFont="1" applyFill="1" applyBorder="1"/>
    <xf numFmtId="0" fontId="0" fillId="8" borderId="27" xfId="0" applyFill="1" applyBorder="1"/>
    <xf numFmtId="0" fontId="0" fillId="8" borderId="42" xfId="0" applyFill="1" applyBorder="1"/>
    <xf numFmtId="0" fontId="0" fillId="8" borderId="0" xfId="0" applyFill="1"/>
    <xf numFmtId="168" fontId="25" fillId="8" borderId="0" xfId="0" applyNumberFormat="1" applyFont="1" applyFill="1"/>
    <xf numFmtId="0" fontId="0" fillId="8" borderId="20" xfId="0" applyFill="1" applyBorder="1"/>
    <xf numFmtId="0" fontId="0" fillId="8" borderId="37" xfId="0" applyFill="1" applyBorder="1"/>
    <xf numFmtId="0" fontId="0" fillId="8" borderId="23" xfId="0" applyFill="1" applyBorder="1"/>
    <xf numFmtId="168" fontId="25" fillId="8" borderId="23" xfId="0" applyNumberFormat="1" applyFont="1" applyFill="1" applyBorder="1"/>
    <xf numFmtId="0" fontId="0" fillId="8" borderId="32" xfId="0" applyFill="1" applyBorder="1"/>
    <xf numFmtId="14" fontId="0" fillId="5" borderId="0" xfId="0" applyNumberFormat="1" applyFill="1"/>
    <xf numFmtId="0" fontId="0" fillId="2" borderId="0" xfId="0" applyFill="1" applyAlignment="1">
      <alignment horizontal="left"/>
    </xf>
    <xf numFmtId="0" fontId="22" fillId="0" borderId="0" xfId="0" applyFont="1" applyAlignment="1">
      <alignment horizontal="left" vertical="top" wrapText="1"/>
    </xf>
    <xf numFmtId="0" fontId="0" fillId="0" borderId="0" xfId="0" applyAlignment="1">
      <alignment vertical="center"/>
    </xf>
    <xf numFmtId="0" fontId="6" fillId="0" borderId="0" xfId="0" applyFont="1" applyAlignment="1">
      <alignment wrapText="1"/>
    </xf>
    <xf numFmtId="0" fontId="0" fillId="0" borderId="6" xfId="0" applyBorder="1" applyAlignment="1">
      <alignment wrapText="1"/>
    </xf>
    <xf numFmtId="166" fontId="12" fillId="0" borderId="0" xfId="94" applyNumberFormat="1" applyAlignment="1">
      <alignment wrapText="1"/>
    </xf>
    <xf numFmtId="0" fontId="0" fillId="3" borderId="27" xfId="0" applyFill="1" applyBorder="1" applyAlignment="1">
      <alignment horizontal="center" wrapText="1"/>
    </xf>
    <xf numFmtId="9" fontId="0" fillId="2" borderId="0" xfId="0" applyNumberFormat="1" applyFill="1" applyAlignment="1">
      <alignment wrapText="1"/>
    </xf>
    <xf numFmtId="9" fontId="0" fillId="2" borderId="32" xfId="0" applyNumberFormat="1" applyFill="1" applyBorder="1" applyAlignment="1">
      <alignment wrapText="1"/>
    </xf>
    <xf numFmtId="0" fontId="0" fillId="3" borderId="20" xfId="0" applyFill="1" applyBorder="1" applyAlignment="1">
      <alignment horizontal="center" wrapText="1"/>
    </xf>
    <xf numFmtId="4" fontId="0" fillId="2" borderId="20" xfId="0" applyNumberFormat="1" applyFill="1" applyBorder="1" applyAlignment="1">
      <alignment wrapText="1"/>
    </xf>
    <xf numFmtId="9" fontId="0" fillId="2" borderId="20" xfId="0" applyNumberFormat="1" applyFill="1" applyBorder="1" applyAlignment="1">
      <alignment wrapText="1"/>
    </xf>
    <xf numFmtId="0" fontId="9" fillId="3" borderId="3" xfId="0" applyFont="1" applyFill="1" applyBorder="1" applyAlignment="1">
      <alignment horizontal="left" wrapText="1"/>
    </xf>
    <xf numFmtId="10" fontId="12" fillId="2" borderId="0" xfId="94" applyNumberFormat="1" applyFill="1" applyAlignment="1">
      <alignment wrapText="1"/>
    </xf>
    <xf numFmtId="10" fontId="12" fillId="2" borderId="23" xfId="94" applyNumberFormat="1" applyFill="1" applyBorder="1" applyAlignment="1">
      <alignment wrapText="1"/>
    </xf>
    <xf numFmtId="14" fontId="29" fillId="9" borderId="59" xfId="0" applyNumberFormat="1" applyFont="1" applyFill="1" applyBorder="1" applyAlignment="1">
      <alignment horizontal="right" wrapText="1"/>
    </xf>
    <xf numFmtId="0" fontId="29" fillId="0" borderId="59" xfId="0" applyFont="1" applyBorder="1" applyAlignment="1">
      <alignment horizontal="right" wrapText="1"/>
    </xf>
    <xf numFmtId="0" fontId="29" fillId="0" borderId="60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19" xfId="0" applyNumberFormat="1" applyBorder="1"/>
    <xf numFmtId="169" fontId="0" fillId="0" borderId="8" xfId="0" applyNumberFormat="1" applyBorder="1"/>
    <xf numFmtId="169" fontId="0" fillId="6" borderId="19" xfId="0" applyNumberFormat="1" applyFill="1" applyBorder="1"/>
    <xf numFmtId="169" fontId="0" fillId="5" borderId="1" xfId="0" applyNumberFormat="1" applyFill="1" applyBorder="1"/>
    <xf numFmtId="169" fontId="0" fillId="5" borderId="0" xfId="0" applyNumberFormat="1" applyFill="1"/>
    <xf numFmtId="169" fontId="0" fillId="0" borderId="0" xfId="0" applyNumberFormat="1"/>
    <xf numFmtId="0" fontId="0" fillId="0" borderId="23" xfId="0" applyBorder="1"/>
    <xf numFmtId="0" fontId="7" fillId="0" borderId="61" xfId="0" applyFont="1" applyBorder="1" applyAlignment="1">
      <alignment horizontal="center"/>
    </xf>
    <xf numFmtId="0" fontId="7" fillId="0" borderId="61" xfId="0" applyFont="1" applyBorder="1" applyAlignment="1">
      <alignment horizontal="centerContinuous"/>
    </xf>
    <xf numFmtId="44" fontId="0" fillId="0" borderId="0" xfId="96" applyFont="1" applyAlignment="1">
      <alignment wrapText="1"/>
    </xf>
    <xf numFmtId="44" fontId="0" fillId="0" borderId="0" xfId="96" applyFont="1"/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/>
    <xf numFmtId="166" fontId="8" fillId="0" borderId="0" xfId="0" applyNumberFormat="1" applyFont="1"/>
    <xf numFmtId="166" fontId="13" fillId="0" borderId="62" xfId="94" applyNumberFormat="1" applyFont="1" applyBorder="1" applyAlignment="1">
      <alignment wrapText="1"/>
    </xf>
    <xf numFmtId="166" fontId="12" fillId="0" borderId="63" xfId="94" applyNumberFormat="1" applyBorder="1"/>
    <xf numFmtId="166" fontId="12" fillId="0" borderId="40" xfId="94" applyNumberFormat="1" applyBorder="1"/>
    <xf numFmtId="0" fontId="12" fillId="0" borderId="9" xfId="94" applyBorder="1"/>
    <xf numFmtId="0" fontId="12" fillId="0" borderId="42" xfId="94" applyBorder="1"/>
    <xf numFmtId="0" fontId="0" fillId="0" borderId="30" xfId="0" applyBorder="1"/>
    <xf numFmtId="0" fontId="15" fillId="0" borderId="0" xfId="94" applyFont="1"/>
    <xf numFmtId="0" fontId="17" fillId="3" borderId="38" xfId="94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/>
    </xf>
    <xf numFmtId="0" fontId="30" fillId="0" borderId="0" xfId="0" applyFont="1"/>
    <xf numFmtId="9" fontId="0" fillId="2" borderId="0" xfId="0" applyNumberFormat="1" applyFill="1"/>
    <xf numFmtId="9" fontId="0" fillId="2" borderId="32" xfId="0" applyNumberFormat="1" applyFill="1" applyBorder="1"/>
    <xf numFmtId="0" fontId="0" fillId="0" borderId="20" xfId="0" applyBorder="1" applyAlignment="1">
      <alignment horizontal="center"/>
    </xf>
    <xf numFmtId="0" fontId="18" fillId="0" borderId="42" xfId="0" applyFont="1" applyBorder="1"/>
    <xf numFmtId="4" fontId="0" fillId="0" borderId="20" xfId="0" applyNumberFormat="1" applyBorder="1"/>
    <xf numFmtId="0" fontId="18" fillId="0" borderId="0" xfId="0" applyFont="1"/>
    <xf numFmtId="0" fontId="8" fillId="10" borderId="0" xfId="0" applyFont="1" applyFill="1"/>
    <xf numFmtId="9" fontId="0" fillId="10" borderId="0" xfId="0" applyNumberFormat="1" applyFill="1"/>
    <xf numFmtId="0" fontId="0" fillId="10" borderId="0" xfId="0" applyFill="1"/>
    <xf numFmtId="0" fontId="9" fillId="10" borderId="0" xfId="0" applyFont="1" applyFill="1" applyAlignment="1">
      <alignment horizontal="center" wrapText="1"/>
    </xf>
    <xf numFmtId="0" fontId="9" fillId="10" borderId="0" xfId="0" applyFont="1" applyFill="1" applyAlignment="1">
      <alignment horizontal="center"/>
    </xf>
    <xf numFmtId="10" fontId="12" fillId="10" borderId="0" xfId="94" applyNumberFormat="1" applyFill="1"/>
    <xf numFmtId="166" fontId="12" fillId="10" borderId="0" xfId="94" applyNumberFormat="1" applyFill="1"/>
    <xf numFmtId="0" fontId="12" fillId="10" borderId="0" xfId="94" applyFill="1"/>
    <xf numFmtId="0" fontId="14" fillId="0" borderId="0" xfId="94" applyFont="1" applyAlignment="1">
      <alignment horizontal="left" vertical="center"/>
    </xf>
    <xf numFmtId="0" fontId="12" fillId="0" borderId="0" xfId="94"/>
    <xf numFmtId="0" fontId="19" fillId="0" borderId="0" xfId="94" applyFont="1" applyAlignment="1">
      <alignment horizontal="left" vertical="center"/>
    </xf>
    <xf numFmtId="0" fontId="20" fillId="0" borderId="0" xfId="94" applyFont="1" applyAlignment="1">
      <alignment horizontal="left" vertical="center"/>
    </xf>
    <xf numFmtId="0" fontId="16" fillId="4" borderId="16" xfId="0" applyFont="1" applyFill="1" applyBorder="1" applyAlignment="1">
      <alignment wrapText="1"/>
    </xf>
    <xf numFmtId="0" fontId="16" fillId="4" borderId="64" xfId="0" applyFont="1" applyFill="1" applyBorder="1" applyAlignment="1">
      <alignment wrapText="1"/>
    </xf>
    <xf numFmtId="0" fontId="8" fillId="11" borderId="0" xfId="0" applyFont="1" applyFill="1" applyAlignment="1">
      <alignment wrapText="1"/>
    </xf>
    <xf numFmtId="0" fontId="6" fillId="12" borderId="54" xfId="91" applyFill="1" applyBorder="1"/>
    <xf numFmtId="0" fontId="0" fillId="12" borderId="0" xfId="0" applyFill="1"/>
    <xf numFmtId="0" fontId="6" fillId="12" borderId="63" xfId="91" applyFill="1" applyBorder="1"/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0" fillId="13" borderId="0" xfId="0" applyFill="1"/>
    <xf numFmtId="0" fontId="0" fillId="14" borderId="0" xfId="0" applyFill="1"/>
    <xf numFmtId="0" fontId="6" fillId="0" borderId="65" xfId="91" applyBorder="1"/>
    <xf numFmtId="0" fontId="0" fillId="0" borderId="33" xfId="0" applyBorder="1"/>
    <xf numFmtId="0" fontId="0" fillId="0" borderId="25" xfId="0" applyBorder="1"/>
    <xf numFmtId="0" fontId="8" fillId="0" borderId="35" xfId="0" applyFont="1" applyBorder="1" applyAlignment="1">
      <alignment vertical="center" wrapText="1"/>
    </xf>
    <xf numFmtId="2" fontId="0" fillId="0" borderId="41" xfId="0" applyNumberFormat="1" applyBorder="1"/>
    <xf numFmtId="0" fontId="8" fillId="0" borderId="6" xfId="0" applyFont="1" applyFill="1" applyBorder="1" applyAlignment="1">
      <alignment vertical="center" wrapText="1"/>
    </xf>
    <xf numFmtId="2" fontId="0" fillId="0" borderId="6" xfId="0" applyNumberFormat="1" applyBorder="1"/>
    <xf numFmtId="2" fontId="0" fillId="2" borderId="6" xfId="0" applyNumberFormat="1" applyFill="1" applyBorder="1"/>
    <xf numFmtId="2" fontId="0" fillId="2" borderId="0" xfId="0" applyNumberFormat="1" applyFill="1"/>
    <xf numFmtId="2" fontId="0" fillId="0" borderId="63" xfId="0" applyNumberFormat="1" applyBorder="1"/>
    <xf numFmtId="0" fontId="8" fillId="0" borderId="3" xfId="0" applyFont="1" applyBorder="1" applyAlignment="1">
      <alignment vertical="center" wrapText="1"/>
    </xf>
    <xf numFmtId="9" fontId="8" fillId="0" borderId="40" xfId="95" applyNumberFormat="1" applyFont="1" applyBorder="1" applyAlignment="1">
      <alignment vertical="center" wrapText="1"/>
    </xf>
    <xf numFmtId="9" fontId="8" fillId="0" borderId="57" xfId="0" applyNumberFormat="1" applyFont="1" applyBorder="1" applyAlignment="1">
      <alignment vertical="center" wrapText="1"/>
    </xf>
  </cellXfs>
  <cellStyles count="97">
    <cellStyle name="Comma 2" xfId="92" xr:uid="{00000000-0005-0000-0000-000000000000}"/>
    <cellStyle name="Currency" xfId="96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  <cellStyle name="Normal 2" xfId="91" xr:uid="{00000000-0005-0000-0000-00005C000000}"/>
    <cellStyle name="Normal 2 2" xfId="94" xr:uid="{3360A7AF-A590-45B8-B575-FE3ED16F2727}"/>
    <cellStyle name="Percent" xfId="95" builtinId="5"/>
    <cellStyle name="Percent 2" xfId="93" xr:uid="{00000000-0005-0000-0000-00005D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  <color rgb="FFDFD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[TemplateV10 (1) (1) (1) (1).xlsx]Pivot Table and Chart Pt1!PivotTable1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Historic Deman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Chart Pt1'!$E$2:$E$3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Chart Pt1'!$D$4:$D$16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Chart Pt1'!$E$4:$E$16</c:f>
              <c:numCache>
                <c:formatCode>General</c:formatCode>
                <c:ptCount val="12"/>
                <c:pt idx="0">
                  <c:v>2422</c:v>
                </c:pt>
                <c:pt idx="1">
                  <c:v>2564</c:v>
                </c:pt>
                <c:pt idx="2">
                  <c:v>3080</c:v>
                </c:pt>
                <c:pt idx="3">
                  <c:v>3004</c:v>
                </c:pt>
                <c:pt idx="4">
                  <c:v>2595</c:v>
                </c:pt>
                <c:pt idx="5">
                  <c:v>3654</c:v>
                </c:pt>
                <c:pt idx="6">
                  <c:v>2725</c:v>
                </c:pt>
                <c:pt idx="7">
                  <c:v>2383</c:v>
                </c:pt>
                <c:pt idx="8">
                  <c:v>2432</c:v>
                </c:pt>
                <c:pt idx="9">
                  <c:v>2744</c:v>
                </c:pt>
                <c:pt idx="10">
                  <c:v>3600</c:v>
                </c:pt>
                <c:pt idx="11">
                  <c:v>4130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C-4B12-B186-8BAB29617DF6}"/>
            </c:ext>
          </c:extLst>
        </c:ser>
        <c:ser>
          <c:idx val="1"/>
          <c:order val="1"/>
          <c:tx>
            <c:strRef>
              <c:f>'Pivot Table and Chart Pt1'!$F$2:$F$3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Chart Pt1'!$D$4:$D$16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Chart Pt1'!$F$4:$F$16</c:f>
              <c:numCache>
                <c:formatCode>General</c:formatCode>
                <c:ptCount val="12"/>
                <c:pt idx="0">
                  <c:v>2634</c:v>
                </c:pt>
                <c:pt idx="1">
                  <c:v>2508</c:v>
                </c:pt>
                <c:pt idx="2">
                  <c:v>2653</c:v>
                </c:pt>
                <c:pt idx="3">
                  <c:v>3270</c:v>
                </c:pt>
                <c:pt idx="4">
                  <c:v>3770</c:v>
                </c:pt>
                <c:pt idx="5">
                  <c:v>3588</c:v>
                </c:pt>
                <c:pt idx="6">
                  <c:v>2658</c:v>
                </c:pt>
                <c:pt idx="7">
                  <c:v>3065</c:v>
                </c:pt>
                <c:pt idx="8">
                  <c:v>3095</c:v>
                </c:pt>
                <c:pt idx="9">
                  <c:v>3634</c:v>
                </c:pt>
                <c:pt idx="10">
                  <c:v>4350</c:v>
                </c:pt>
                <c:pt idx="11">
                  <c:v>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C-4B12-B186-8BAB29617DF6}"/>
            </c:ext>
          </c:extLst>
        </c:ser>
        <c:ser>
          <c:idx val="2"/>
          <c:order val="2"/>
          <c:tx>
            <c:strRef>
              <c:f>'Pivot Table and Chart Pt1'!$G$2:$G$3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04745313915407"/>
                  <c:y val="2.7867089530475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'Pivot Table and Chart Pt1'!$D$4:$D$16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Chart Pt1'!$G$4:$G$16</c:f>
              <c:numCache>
                <c:formatCode>General</c:formatCode>
                <c:ptCount val="12"/>
                <c:pt idx="0">
                  <c:v>2810</c:v>
                </c:pt>
                <c:pt idx="1">
                  <c:v>2999</c:v>
                </c:pt>
                <c:pt idx="2">
                  <c:v>3051</c:v>
                </c:pt>
                <c:pt idx="3">
                  <c:v>3653</c:v>
                </c:pt>
                <c:pt idx="4">
                  <c:v>3709</c:v>
                </c:pt>
                <c:pt idx="5">
                  <c:v>3930</c:v>
                </c:pt>
                <c:pt idx="6">
                  <c:v>2949</c:v>
                </c:pt>
                <c:pt idx="7">
                  <c:v>3348</c:v>
                </c:pt>
                <c:pt idx="8">
                  <c:v>3400</c:v>
                </c:pt>
                <c:pt idx="9">
                  <c:v>4361</c:v>
                </c:pt>
                <c:pt idx="10">
                  <c:v>5079</c:v>
                </c:pt>
                <c:pt idx="11">
                  <c:v>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C-4B12-B186-8BAB29617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3279"/>
        <c:axId val="175536031"/>
      </c:lineChart>
      <c:catAx>
        <c:axId val="422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6031"/>
        <c:crosses val="autoZero"/>
        <c:auto val="1"/>
        <c:lblAlgn val="ctr"/>
        <c:lblOffset val="100"/>
        <c:noMultiLvlLbl val="0"/>
      </c:catAx>
      <c:valAx>
        <c:axId val="1755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1</xdr:row>
      <xdr:rowOff>15240</xdr:rowOff>
    </xdr:from>
    <xdr:to>
      <xdr:col>15</xdr:col>
      <xdr:colOff>83820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DEE78-9DB9-8F71-EDC6-ABB63F3C0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gue\Downloads\templateFT.xlsx" TargetMode="External"/><Relationship Id="rId1" Type="http://schemas.openxmlformats.org/officeDocument/2006/relationships/externalLinkPath" Target="template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ncial information  FT"/>
      <sheetName val="Food Truck Demand"/>
      <sheetName val="Food Truck  Pt 4"/>
    </sheetNames>
    <sheetDataSet>
      <sheetData sheetId="0">
        <row r="7">
          <cell r="L7">
            <v>5045</v>
          </cell>
        </row>
        <row r="8">
          <cell r="L8">
            <v>2.99</v>
          </cell>
        </row>
        <row r="9">
          <cell r="L9">
            <v>2.5</v>
          </cell>
        </row>
        <row r="10">
          <cell r="L10">
            <v>0.5</v>
          </cell>
        </row>
        <row r="11">
          <cell r="L11">
            <v>0.6</v>
          </cell>
        </row>
        <row r="35">
          <cell r="B35">
            <v>0.05</v>
          </cell>
        </row>
        <row r="36">
          <cell r="B36">
            <v>0.26</v>
          </cell>
        </row>
      </sheetData>
      <sheetData sheetId="1">
        <row r="17">
          <cell r="B17">
            <v>1949.7956204379564</v>
          </cell>
        </row>
        <row r="18">
          <cell r="B18">
            <v>2298.6423357664235</v>
          </cell>
        </row>
        <row r="19">
          <cell r="B19">
            <v>2298.6423357664235</v>
          </cell>
        </row>
        <row r="20">
          <cell r="B20">
            <v>2647.4890510948908</v>
          </cell>
        </row>
        <row r="21">
          <cell r="B21">
            <v>2647.4890510948908</v>
          </cell>
        </row>
        <row r="22">
          <cell r="B22">
            <v>3654.3722627737225</v>
          </cell>
        </row>
        <row r="23">
          <cell r="B23">
            <v>3654.3722627737225</v>
          </cell>
        </row>
        <row r="24">
          <cell r="B24">
            <v>2647.4890510948908</v>
          </cell>
        </row>
        <row r="25">
          <cell r="B25">
            <v>2996.3357664233581</v>
          </cell>
        </row>
        <row r="26">
          <cell r="B26">
            <v>4003.2189781021898</v>
          </cell>
        </row>
        <row r="27">
          <cell r="B27">
            <v>4003.2189781021898</v>
          </cell>
        </row>
        <row r="28">
          <cell r="B28">
            <v>4352.0656934306571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templateFT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uchiha" refreshedDate="45324.640589120369" createdVersion="8" refreshedVersion="8" minRefreshableVersion="3" recordCount="36" xr:uid="{2E45CECB-6F01-412E-A1BC-47CE222F3C50}">
  <cacheSource type="worksheet">
    <worksheetSource ref="A1:B37" sheet="Pivot Table and Chart Pt1"/>
  </cacheSource>
  <cacheFields count="5">
    <cacheField name="Month" numFmtId="14">
      <sharedItems containsSemiMixedTypes="0" containsNonDate="0" containsDate="1" containsString="0" minDate="2020-01-01T00:00:00" maxDate="2022-12-02T00:00:00" count="36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4"/>
    </cacheField>
    <cacheField name="Demand" numFmtId="0">
      <sharedItems containsSemiMixedTypes="0" containsString="0" containsNumber="1" containsInteger="1" minValue="2383" maxValue="6008"/>
    </cacheField>
    <cacheField name="Months (Month)" numFmtId="0" databaseField="0">
      <fieldGroup base="0">
        <rangePr groupBy="months" startDate="2020-01-01T00:00:00" endDate="2022-12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2"/>
        </groupItems>
      </fieldGroup>
    </cacheField>
    <cacheField name="Quarters (Month)" numFmtId="0" databaseField="0">
      <fieldGroup base="0">
        <rangePr groupBy="quarters" startDate="2020-01-01T00:00:00" endDate="2022-12-02T00:00:00"/>
        <groupItems count="6">
          <s v="&lt;1/1/2020"/>
          <s v="Qtr1"/>
          <s v="Qtr2"/>
          <s v="Qtr3"/>
          <s v="Qtr4"/>
          <s v="&gt;12/2/2022"/>
        </groupItems>
      </fieldGroup>
    </cacheField>
    <cacheField name="Years (Month)" numFmtId="0" databaseField="0">
      <fieldGroup base="0">
        <rangePr groupBy="years" startDate="2020-01-01T00:00:00" endDate="2022-12-02T00:00:00"/>
        <groupItems count="5">
          <s v="&lt;1/1/2020"/>
          <s v="2020"/>
          <s v="2021"/>
          <s v="2022"/>
          <s v="&gt;1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uchiha" refreshedDate="45324.642044791668" createdVersion="8" refreshedVersion="8" minRefreshableVersion="3" recordCount="18" xr:uid="{B7A2F3C0-6FAA-4B78-AFF6-8F45986DD9F9}">
  <cacheSource type="worksheet">
    <worksheetSource ref="B6:C24" sheet="Financial information 1 Pt1"/>
  </cacheSource>
  <cacheFields count="2">
    <cacheField name="Profit Model label" numFmtId="0">
      <sharedItems count="5">
        <s v="Rev: Coffee"/>
        <s v="Rev: Donut"/>
        <s v="Variable  Expense: Donut"/>
        <s v="Fixed Expense"/>
        <s v="Variable  Expense: Coffee"/>
      </sharedItems>
    </cacheField>
    <cacheField name="Expense/revenue" numFmtId="166">
      <sharedItems containsSemiMixedTypes="0" containsString="0" containsNumber="1" minValue="0" maxValue="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uchiha" refreshedDate="45406.517076736112" createdVersion="8" refreshedVersion="8" minRefreshableVersion="3" recordCount="18" xr:uid="{FDEF2E29-D3C6-45F4-81E4-55E5ECAF98F3}">
  <cacheSource type="worksheet">
    <worksheetSource ref="B6:C24" sheet="Financial information  FT" r:id="rId2"/>
  </cacheSource>
  <cacheFields count="2">
    <cacheField name="Profit Model label" numFmtId="0">
      <sharedItems count="5">
        <s v="Rev: Coffee"/>
        <s v="Rev: Donut"/>
        <s v="Variable  Expense donut"/>
        <s v="Fixed Expense"/>
        <s v="Variable  Expense coffee"/>
      </sharedItems>
    </cacheField>
    <cacheField name="Expense/revenue FT" numFmtId="166">
      <sharedItems containsSemiMixedTypes="0" containsString="0" containsNumber="1" minValue="0" maxValue="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422"/>
  </r>
  <r>
    <x v="1"/>
    <n v="2564"/>
  </r>
  <r>
    <x v="2"/>
    <n v="3080"/>
  </r>
  <r>
    <x v="3"/>
    <n v="3004"/>
  </r>
  <r>
    <x v="4"/>
    <n v="2595"/>
  </r>
  <r>
    <x v="5"/>
    <n v="3654"/>
  </r>
  <r>
    <x v="6"/>
    <n v="2725"/>
  </r>
  <r>
    <x v="7"/>
    <n v="2383"/>
  </r>
  <r>
    <x v="8"/>
    <n v="2432"/>
  </r>
  <r>
    <x v="9"/>
    <n v="2744"/>
  </r>
  <r>
    <x v="10"/>
    <n v="3600"/>
  </r>
  <r>
    <x v="11"/>
    <n v="4130"/>
  </r>
  <r>
    <x v="12"/>
    <n v="2634"/>
  </r>
  <r>
    <x v="13"/>
    <n v="2508"/>
  </r>
  <r>
    <x v="14"/>
    <n v="2653"/>
  </r>
  <r>
    <x v="15"/>
    <n v="3270"/>
  </r>
  <r>
    <x v="16"/>
    <n v="3770"/>
  </r>
  <r>
    <x v="17"/>
    <n v="3588"/>
  </r>
  <r>
    <x v="18"/>
    <n v="2658"/>
  </r>
  <r>
    <x v="19"/>
    <n v="3065"/>
  </r>
  <r>
    <x v="20"/>
    <n v="3095"/>
  </r>
  <r>
    <x v="21"/>
    <n v="3634"/>
  </r>
  <r>
    <x v="22"/>
    <n v="4350"/>
  </r>
  <r>
    <x v="23"/>
    <n v="5330"/>
  </r>
  <r>
    <x v="24"/>
    <n v="2810"/>
  </r>
  <r>
    <x v="25"/>
    <n v="2999"/>
  </r>
  <r>
    <x v="26"/>
    <n v="3051"/>
  </r>
  <r>
    <x v="27"/>
    <n v="3653"/>
  </r>
  <r>
    <x v="28"/>
    <n v="3709"/>
  </r>
  <r>
    <x v="29"/>
    <n v="3930"/>
  </r>
  <r>
    <x v="30"/>
    <n v="2949"/>
  </r>
  <r>
    <x v="31"/>
    <n v="3348"/>
  </r>
  <r>
    <x v="32"/>
    <n v="3400"/>
  </r>
  <r>
    <x v="33"/>
    <n v="4361"/>
  </r>
  <r>
    <x v="34"/>
    <n v="5079"/>
  </r>
  <r>
    <x v="35"/>
    <n v="60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2.99"/>
  </r>
  <r>
    <x v="1"/>
    <n v="2.5"/>
  </r>
  <r>
    <x v="2"/>
    <n v="0.5"/>
  </r>
  <r>
    <x v="2"/>
    <n v="0.1"/>
  </r>
  <r>
    <x v="3"/>
    <n v="300"/>
  </r>
  <r>
    <x v="3"/>
    <n v="0"/>
  </r>
  <r>
    <x v="3"/>
    <n v="100"/>
  </r>
  <r>
    <x v="4"/>
    <n v="0.35"/>
  </r>
  <r>
    <x v="4"/>
    <n v="0.15"/>
  </r>
  <r>
    <x v="3"/>
    <n v="2400"/>
  </r>
  <r>
    <x v="3"/>
    <n v="1200"/>
  </r>
  <r>
    <x v="3"/>
    <n v="500"/>
  </r>
  <r>
    <x v="3"/>
    <n v="50"/>
  </r>
  <r>
    <x v="3"/>
    <n v="25"/>
  </r>
  <r>
    <x v="3"/>
    <n v="0"/>
  </r>
  <r>
    <x v="3"/>
    <n v="1000"/>
  </r>
  <r>
    <x v="3"/>
    <n v="25"/>
  </r>
  <r>
    <x v="3"/>
    <n v="2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2.99"/>
  </r>
  <r>
    <x v="1"/>
    <n v="2.5"/>
  </r>
  <r>
    <x v="2"/>
    <n v="0.5"/>
  </r>
  <r>
    <x v="2"/>
    <n v="0.1"/>
  </r>
  <r>
    <x v="3"/>
    <n v="150"/>
  </r>
  <r>
    <x v="3"/>
    <n v="300"/>
  </r>
  <r>
    <x v="3"/>
    <n v="0"/>
  </r>
  <r>
    <x v="4"/>
    <n v="0.35"/>
  </r>
  <r>
    <x v="4"/>
    <n v="0.15"/>
  </r>
  <r>
    <x v="3"/>
    <n v="2400"/>
  </r>
  <r>
    <x v="3"/>
    <n v="0"/>
  </r>
  <r>
    <x v="3"/>
    <n v="0"/>
  </r>
  <r>
    <x v="3"/>
    <n v="50"/>
  </r>
  <r>
    <x v="3"/>
    <n v="25"/>
  </r>
  <r>
    <x v="3"/>
    <n v="0"/>
  </r>
  <r>
    <x v="3"/>
    <n v="2120"/>
  </r>
  <r>
    <x v="3"/>
    <n v="0"/>
  </r>
  <r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9270B-F529-47B7-845F-76904054CF99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1" firstHeaderRow="1" firstDataRow="1" firstDataCol="1"/>
  <pivotFields count="2">
    <pivotField axis="axisRow" showAll="0">
      <items count="6">
        <item x="3"/>
        <item x="0"/>
        <item x="1"/>
        <item x="4"/>
        <item x="2"/>
        <item t="default"/>
      </items>
    </pivotField>
    <pivotField dataField="1" numFmtId="166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xpense/reven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15E49-C479-4EBC-9DB6-87DBDDF02C0A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2:H16" firstHeaderRow="1" firstDataRow="2" firstDataCol="1"/>
  <pivotFields count="5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 v="1"/>
    </i>
    <i>
      <x v="2"/>
    </i>
    <i>
      <x v="3"/>
    </i>
    <i t="grand">
      <x/>
    </i>
  </colItems>
  <dataFields count="1">
    <dataField name="Sum of Demand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EC048-EEE4-452D-ABBB-583A5D748D2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J12" firstHeaderRow="1" firstDataRow="1" firstDataCol="1"/>
  <pivotFields count="2">
    <pivotField axis="axisRow" showAll="0">
      <items count="6">
        <item x="3"/>
        <item x="0"/>
        <item x="1"/>
        <item x="4"/>
        <item x="2"/>
        <item t="default"/>
      </items>
    </pivotField>
    <pivotField dataField="1" numFmtId="166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xpense/revenue F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33"/>
  <sheetViews>
    <sheetView workbookViewId="0">
      <selection activeCell="C7" sqref="C7"/>
    </sheetView>
  </sheetViews>
  <sheetFormatPr defaultColWidth="8.88671875" defaultRowHeight="14.4"/>
  <cols>
    <col min="1" max="3" width="14.44140625" style="1" customWidth="1"/>
    <col min="4" max="4" width="32.109375" style="1" customWidth="1"/>
  </cols>
  <sheetData>
    <row r="1" spans="1:5">
      <c r="A1" s="4" t="s">
        <v>2</v>
      </c>
      <c r="E1" t="s">
        <v>108</v>
      </c>
    </row>
    <row r="2" spans="1:5">
      <c r="A2" s="2" t="s">
        <v>3</v>
      </c>
      <c r="B2" s="2" t="s">
        <v>0</v>
      </c>
      <c r="C2" s="2" t="s">
        <v>1</v>
      </c>
      <c r="D2" s="2" t="s">
        <v>4</v>
      </c>
      <c r="E2" t="s">
        <v>111</v>
      </c>
    </row>
    <row r="3" spans="1:5">
      <c r="A3" s="2" t="s">
        <v>112</v>
      </c>
      <c r="B3" s="2" t="s">
        <v>107</v>
      </c>
      <c r="C3" s="2">
        <v>202020202</v>
      </c>
      <c r="D3" s="56">
        <v>44459.23012847222</v>
      </c>
      <c r="E3" t="s">
        <v>110</v>
      </c>
    </row>
    <row r="4" spans="1:5">
      <c r="A4" t="s">
        <v>5</v>
      </c>
      <c r="B4" t="s">
        <v>6</v>
      </c>
      <c r="C4">
        <v>0</v>
      </c>
      <c r="D4" s="7">
        <v>43831</v>
      </c>
    </row>
    <row r="5" spans="1:5">
      <c r="A5"/>
      <c r="B5"/>
      <c r="C5"/>
      <c r="D5" s="7"/>
      <c r="E5" t="s">
        <v>109</v>
      </c>
    </row>
    <row r="6" spans="1:5">
      <c r="A6"/>
      <c r="B6"/>
      <c r="C6"/>
      <c r="D6" s="7"/>
    </row>
    <row r="7" spans="1:5">
      <c r="A7"/>
      <c r="B7"/>
      <c r="C7"/>
      <c r="D7" s="7"/>
    </row>
    <row r="8" spans="1:5">
      <c r="A8"/>
      <c r="B8"/>
      <c r="C8"/>
      <c r="D8" s="7"/>
    </row>
    <row r="9" spans="1:5">
      <c r="A9"/>
      <c r="B9"/>
      <c r="C9" s="7"/>
      <c r="D9"/>
    </row>
    <row r="10" spans="1:5">
      <c r="A10"/>
      <c r="B10"/>
      <c r="C10" s="7"/>
      <c r="D10"/>
    </row>
    <row r="11" spans="1:5">
      <c r="A11"/>
      <c r="B11"/>
      <c r="C11" s="7"/>
      <c r="D11"/>
    </row>
    <row r="12" spans="1:5">
      <c r="A12"/>
      <c r="B12"/>
      <c r="C12" s="7"/>
      <c r="D12"/>
    </row>
    <row r="13" spans="1:5">
      <c r="A13"/>
      <c r="B13"/>
      <c r="C13" s="7"/>
      <c r="D13"/>
    </row>
    <row r="14" spans="1:5">
      <c r="A14"/>
      <c r="B14"/>
      <c r="C14" s="7"/>
      <c r="D14"/>
    </row>
    <row r="15" spans="1:5">
      <c r="A15"/>
      <c r="B15"/>
      <c r="C15" s="7"/>
      <c r="D15"/>
    </row>
    <row r="16" spans="1:5">
      <c r="A16"/>
      <c r="B16"/>
      <c r="C16" s="7"/>
      <c r="D16"/>
    </row>
    <row r="17" spans="1:4">
      <c r="A17"/>
      <c r="B17"/>
      <c r="C17" s="7"/>
      <c r="D17"/>
    </row>
    <row r="18" spans="1:4">
      <c r="A18"/>
      <c r="B18"/>
      <c r="C18" s="7"/>
      <c r="D18"/>
    </row>
    <row r="19" spans="1:4">
      <c r="A19"/>
      <c r="B19"/>
      <c r="C19" s="7"/>
      <c r="D19"/>
    </row>
    <row r="20" spans="1:4">
      <c r="C20" s="5"/>
    </row>
    <row r="21" spans="1:4">
      <c r="C21" s="5"/>
    </row>
    <row r="22" spans="1:4">
      <c r="A22" s="2"/>
      <c r="B22" s="2"/>
      <c r="C22" s="3"/>
      <c r="D22" s="2"/>
    </row>
    <row r="23" spans="1:4">
      <c r="A23" s="2"/>
      <c r="B23" s="2"/>
      <c r="C23" s="3"/>
      <c r="D23" s="2"/>
    </row>
    <row r="24" spans="1:4">
      <c r="A24" s="2"/>
      <c r="B24" s="2"/>
      <c r="C24" s="3"/>
      <c r="D24" s="2"/>
    </row>
    <row r="25" spans="1:4">
      <c r="C25" s="5"/>
    </row>
    <row r="26" spans="1:4">
      <c r="A26" s="2"/>
      <c r="B26" s="2"/>
      <c r="C26" s="3"/>
      <c r="D26" s="2"/>
    </row>
    <row r="27" spans="1:4">
      <c r="A27" s="2"/>
      <c r="B27" s="2"/>
      <c r="C27" s="3"/>
      <c r="D27" s="2"/>
    </row>
    <row r="28" spans="1:4">
      <c r="A28" s="2"/>
      <c r="B28" s="2"/>
      <c r="C28" s="3"/>
      <c r="D28" s="2"/>
    </row>
    <row r="29" spans="1:4">
      <c r="A29" s="2"/>
      <c r="B29" s="2"/>
      <c r="C29" s="3"/>
      <c r="D29" s="2"/>
    </row>
    <row r="30" spans="1:4">
      <c r="A30" s="2"/>
      <c r="B30" s="2"/>
      <c r="C30" s="3"/>
      <c r="D30" s="2"/>
    </row>
    <row r="31" spans="1:4">
      <c r="A31" s="2"/>
      <c r="B31" s="2"/>
      <c r="C31" s="3"/>
      <c r="D31" s="2"/>
    </row>
    <row r="32" spans="1:4">
      <c r="A32" s="2"/>
      <c r="B32" s="2"/>
      <c r="C32" s="3"/>
      <c r="D32" s="2"/>
    </row>
    <row r="33" spans="1:4">
      <c r="A33" s="2"/>
      <c r="B33" s="2"/>
      <c r="C33" s="3"/>
      <c r="D33" s="2"/>
    </row>
    <row r="34" spans="1:4">
      <c r="A34" s="2"/>
      <c r="B34" s="2"/>
      <c r="C34" s="3"/>
      <c r="D34" s="2"/>
    </row>
    <row r="35" spans="1:4">
      <c r="A35" s="2"/>
      <c r="B35" s="2"/>
      <c r="C35" s="3"/>
      <c r="D35" s="2"/>
    </row>
    <row r="36" spans="1:4">
      <c r="A36" s="2"/>
      <c r="B36" s="2"/>
      <c r="C36" s="3"/>
      <c r="D36" s="2"/>
    </row>
    <row r="37" spans="1:4">
      <c r="A37" s="2"/>
      <c r="B37" s="2"/>
      <c r="C37" s="3"/>
      <c r="D37" s="2"/>
    </row>
    <row r="38" spans="1:4">
      <c r="A38" s="2"/>
      <c r="B38" s="2"/>
      <c r="C38" s="3"/>
      <c r="D38" s="2"/>
    </row>
    <row r="39" spans="1:4">
      <c r="A39" s="2"/>
      <c r="B39" s="2"/>
      <c r="C39" s="3"/>
      <c r="D39" s="2"/>
    </row>
    <row r="40" spans="1:4">
      <c r="A40" s="2"/>
      <c r="B40" s="2"/>
      <c r="C40" s="3"/>
      <c r="D40" s="2"/>
    </row>
    <row r="41" spans="1:4">
      <c r="A41" s="2"/>
      <c r="B41" s="2"/>
      <c r="C41" s="3"/>
      <c r="D41" s="2"/>
    </row>
    <row r="42" spans="1:4">
      <c r="A42" s="2"/>
      <c r="B42" s="2"/>
      <c r="C42" s="3"/>
      <c r="D42" s="2"/>
    </row>
    <row r="43" spans="1:4">
      <c r="A43" s="2"/>
      <c r="B43" s="2"/>
      <c r="C43" s="3"/>
      <c r="D43" s="2"/>
    </row>
    <row r="44" spans="1:4">
      <c r="A44" s="2"/>
      <c r="B44" s="2"/>
      <c r="C44" s="3"/>
      <c r="D44" s="2"/>
    </row>
    <row r="45" spans="1:4">
      <c r="A45" s="2"/>
      <c r="B45" s="2"/>
      <c r="C45" s="3"/>
      <c r="D45" s="2"/>
    </row>
    <row r="46" spans="1:4">
      <c r="A46" s="2"/>
      <c r="B46" s="2"/>
      <c r="C46" s="3"/>
      <c r="D46" s="2"/>
    </row>
    <row r="47" spans="1:4">
      <c r="A47" s="2"/>
      <c r="B47" s="2"/>
      <c r="C47" s="3"/>
      <c r="D47" s="2"/>
    </row>
    <row r="48" spans="1:4">
      <c r="A48" s="2"/>
      <c r="B48" s="2"/>
      <c r="C48" s="3"/>
      <c r="D48" s="2"/>
    </row>
    <row r="49" spans="1:4">
      <c r="A49" s="2"/>
      <c r="B49" s="2"/>
      <c r="C49" s="3"/>
      <c r="D49" s="2"/>
    </row>
    <row r="50" spans="1:4">
      <c r="A50" s="2"/>
      <c r="B50" s="2"/>
      <c r="C50" s="3"/>
      <c r="D50" s="2"/>
    </row>
    <row r="51" spans="1:4">
      <c r="A51" s="2"/>
      <c r="B51" s="2"/>
      <c r="C51" s="3"/>
      <c r="D51" s="2"/>
    </row>
    <row r="52" spans="1:4">
      <c r="A52" s="2"/>
      <c r="B52" s="2"/>
      <c r="C52" s="3"/>
      <c r="D52" s="2"/>
    </row>
    <row r="53" spans="1:4">
      <c r="A53" s="2"/>
      <c r="B53" s="2"/>
      <c r="C53" s="3"/>
      <c r="D53" s="2"/>
    </row>
    <row r="54" spans="1:4">
      <c r="A54" s="2"/>
      <c r="B54" s="2"/>
      <c r="C54" s="3"/>
      <c r="D54" s="2"/>
    </row>
    <row r="55" spans="1:4">
      <c r="A55" s="2"/>
      <c r="B55" s="2"/>
      <c r="C55" s="3"/>
      <c r="D55" s="2"/>
    </row>
    <row r="56" spans="1:4">
      <c r="A56" s="2"/>
      <c r="B56" s="2"/>
      <c r="C56" s="3"/>
      <c r="D56" s="2"/>
    </row>
    <row r="57" spans="1:4">
      <c r="A57" s="2"/>
      <c r="B57" s="2"/>
      <c r="C57" s="3"/>
      <c r="D57" s="2"/>
    </row>
    <row r="58" spans="1:4">
      <c r="A58" s="2"/>
      <c r="B58" s="2"/>
      <c r="C58" s="3"/>
      <c r="D58" s="2"/>
    </row>
    <row r="59" spans="1:4">
      <c r="A59" s="2"/>
      <c r="B59" s="2"/>
      <c r="C59" s="3"/>
      <c r="D59" s="2"/>
    </row>
    <row r="60" spans="1:4">
      <c r="A60" s="2"/>
      <c r="B60" s="2"/>
      <c r="C60" s="3"/>
      <c r="D60" s="2"/>
    </row>
    <row r="61" spans="1:4">
      <c r="A61" s="2"/>
      <c r="B61" s="2"/>
      <c r="C61" s="3"/>
      <c r="D61" s="2"/>
    </row>
    <row r="62" spans="1:4">
      <c r="A62" s="2"/>
      <c r="B62" s="2"/>
      <c r="C62" s="3"/>
      <c r="D62" s="2"/>
    </row>
    <row r="63" spans="1:4">
      <c r="A63" s="2"/>
      <c r="B63" s="2"/>
      <c r="C63" s="3"/>
      <c r="D63" s="2"/>
    </row>
    <row r="64" spans="1:4">
      <c r="A64" s="2"/>
      <c r="B64" s="2"/>
      <c r="C64" s="3"/>
      <c r="D64" s="2"/>
    </row>
    <row r="65" spans="1:4">
      <c r="A65" s="2"/>
      <c r="B65" s="2"/>
      <c r="C65" s="3"/>
      <c r="D65" s="2"/>
    </row>
    <row r="66" spans="1:4">
      <c r="A66" s="2"/>
      <c r="B66" s="2"/>
      <c r="C66" s="3"/>
      <c r="D66" s="2"/>
    </row>
    <row r="67" spans="1:4">
      <c r="A67" s="2"/>
      <c r="B67" s="2"/>
      <c r="C67" s="3"/>
      <c r="D67" s="2"/>
    </row>
    <row r="68" spans="1:4">
      <c r="A68" s="2"/>
      <c r="B68" s="2"/>
      <c r="C68" s="3"/>
      <c r="D68" s="2"/>
    </row>
    <row r="69" spans="1:4">
      <c r="A69" s="2"/>
      <c r="B69" s="2"/>
      <c r="C69" s="3"/>
      <c r="D69" s="2"/>
    </row>
    <row r="70" spans="1:4">
      <c r="A70" s="2"/>
      <c r="B70" s="3"/>
      <c r="C70" s="2"/>
      <c r="D70" s="2"/>
    </row>
    <row r="71" spans="1:4">
      <c r="A71" s="2"/>
      <c r="B71" s="3"/>
      <c r="C71" s="2"/>
      <c r="D71" s="2"/>
    </row>
    <row r="72" spans="1:4">
      <c r="A72" s="2"/>
      <c r="B72" s="3"/>
      <c r="C72" s="2"/>
      <c r="D72" s="2"/>
    </row>
    <row r="73" spans="1:4">
      <c r="A73" s="2"/>
      <c r="B73" s="3"/>
      <c r="C73" s="2"/>
      <c r="D73" s="2"/>
    </row>
    <row r="74" spans="1:4">
      <c r="A74" s="2"/>
      <c r="B74" s="3"/>
      <c r="C74" s="2"/>
      <c r="D74" s="2"/>
    </row>
    <row r="75" spans="1:4">
      <c r="A75" s="2"/>
      <c r="B75" s="3"/>
      <c r="C75" s="2"/>
      <c r="D75" s="2"/>
    </row>
    <row r="76" spans="1:4">
      <c r="A76" s="2"/>
      <c r="B76" s="3"/>
      <c r="C76" s="2"/>
      <c r="D76" s="2"/>
    </row>
    <row r="77" spans="1:4">
      <c r="A77" s="2"/>
      <c r="B77" s="3"/>
      <c r="C77" s="2"/>
      <c r="D77" s="2"/>
    </row>
    <row r="78" spans="1:4">
      <c r="A78" s="2"/>
      <c r="B78" s="3"/>
      <c r="C78" s="2"/>
      <c r="D78" s="2"/>
    </row>
    <row r="79" spans="1:4">
      <c r="A79" s="2"/>
      <c r="B79" s="3"/>
      <c r="C79" s="2"/>
      <c r="D79" s="2"/>
    </row>
    <row r="80" spans="1:4">
      <c r="A80" s="2"/>
      <c r="B80" s="3"/>
      <c r="C80" s="2"/>
      <c r="D80" s="2"/>
    </row>
    <row r="81" spans="1:4">
      <c r="A81" s="2"/>
      <c r="B81" s="3"/>
      <c r="C81" s="2"/>
      <c r="D81" s="2"/>
    </row>
    <row r="82" spans="1:4">
      <c r="A82" s="2"/>
      <c r="B82" s="3"/>
      <c r="C82" s="2"/>
      <c r="D82" s="2"/>
    </row>
    <row r="83" spans="1:4">
      <c r="A83" s="2"/>
      <c r="B83" s="3"/>
      <c r="C83" s="2"/>
      <c r="D83" s="2"/>
    </row>
    <row r="84" spans="1:4">
      <c r="A84" s="2"/>
      <c r="B84" s="3"/>
      <c r="C84" s="2"/>
      <c r="D84" s="2"/>
    </row>
    <row r="85" spans="1:4">
      <c r="A85" s="2"/>
      <c r="B85" s="3"/>
      <c r="C85" s="2"/>
      <c r="D85" s="2"/>
    </row>
    <row r="86" spans="1:4">
      <c r="A86" s="2"/>
      <c r="B86" s="3"/>
      <c r="C86" s="2"/>
      <c r="D86" s="2"/>
    </row>
    <row r="87" spans="1:4">
      <c r="A87" s="2"/>
      <c r="B87" s="3"/>
      <c r="C87" s="2"/>
      <c r="D87" s="2"/>
    </row>
    <row r="88" spans="1:4">
      <c r="A88" s="2"/>
      <c r="B88" s="3"/>
      <c r="C88" s="2"/>
      <c r="D88" s="2"/>
    </row>
    <row r="89" spans="1:4">
      <c r="A89" s="2"/>
      <c r="B89" s="3"/>
      <c r="C89" s="2"/>
      <c r="D89" s="2"/>
    </row>
    <row r="90" spans="1:4">
      <c r="A90" s="2"/>
      <c r="B90" s="3"/>
      <c r="C90" s="2"/>
      <c r="D90" s="2"/>
    </row>
    <row r="91" spans="1:4">
      <c r="A91" s="2"/>
      <c r="B91" s="3"/>
      <c r="C91" s="2"/>
      <c r="D91" s="2"/>
    </row>
    <row r="92" spans="1:4">
      <c r="B92" s="5"/>
    </row>
    <row r="93" spans="1:4">
      <c r="B93" s="5"/>
    </row>
    <row r="94" spans="1:4">
      <c r="B94" s="5"/>
    </row>
    <row r="95" spans="1:4">
      <c r="B95" s="5"/>
    </row>
    <row r="96" spans="1:4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2" spans="2:2">
      <c r="B102" s="5"/>
    </row>
    <row r="103" spans="2:2">
      <c r="B103" s="5"/>
    </row>
    <row r="104" spans="2:2">
      <c r="B104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3" spans="2:2">
      <c r="B133" s="6"/>
    </row>
  </sheetData>
  <sheetProtection formatCells="0" formatColumns="0" formatRows="0" insertColumns="0" insertRows="0" selectLockedCells="1"/>
  <protectedRanges>
    <protectedRange sqref="D81:D96 A81:B96 A97:D1048576 A2:D80" name="Range1"/>
  </protectedRange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7AE8-5855-4C86-A82C-51504CB34B72}">
  <dimension ref="A1:N75"/>
  <sheetViews>
    <sheetView topLeftCell="E27" zoomScale="110" zoomScaleNormal="100" workbookViewId="0">
      <selection activeCell="N75" sqref="N75"/>
    </sheetView>
  </sheetViews>
  <sheetFormatPr defaultColWidth="8.88671875" defaultRowHeight="14.4"/>
  <cols>
    <col min="1" max="1" width="25.109375" bestFit="1" customWidth="1"/>
    <col min="2" max="13" width="13.44140625" customWidth="1"/>
    <col min="14" max="14" width="14.44140625" bestFit="1" customWidth="1"/>
  </cols>
  <sheetData>
    <row r="1" spans="1:14">
      <c r="A1" s="27" t="s">
        <v>210</v>
      </c>
      <c r="B1" s="188" t="s">
        <v>122</v>
      </c>
      <c r="C1" s="188"/>
      <c r="D1" s="189"/>
      <c r="E1" s="66" t="s">
        <v>223</v>
      </c>
      <c r="F1" s="66"/>
      <c r="G1" s="233"/>
    </row>
    <row r="2" spans="1:14">
      <c r="A2" s="55" t="s">
        <v>224</v>
      </c>
      <c r="B2" s="188"/>
      <c r="C2" s="188"/>
      <c r="D2" s="189"/>
      <c r="E2" s="26"/>
      <c r="F2" s="26"/>
      <c r="G2" s="234"/>
    </row>
    <row r="3" spans="1:14" ht="15" thickBot="1">
      <c r="A3" s="27" t="s">
        <v>48</v>
      </c>
    </row>
    <row r="4" spans="1:14">
      <c r="A4" s="61" t="s">
        <v>7</v>
      </c>
      <c r="B4" s="59">
        <v>44927</v>
      </c>
      <c r="C4" s="59">
        <v>44958</v>
      </c>
      <c r="D4" s="59">
        <v>44986</v>
      </c>
      <c r="E4" s="59">
        <v>45017</v>
      </c>
      <c r="F4" s="59">
        <v>45047</v>
      </c>
      <c r="G4" s="59">
        <v>45078</v>
      </c>
      <c r="H4" s="59">
        <v>45108</v>
      </c>
      <c r="I4" s="59">
        <v>45139</v>
      </c>
      <c r="J4" s="59">
        <v>45170</v>
      </c>
      <c r="K4" s="59">
        <v>45200</v>
      </c>
      <c r="L4" s="59">
        <v>45231</v>
      </c>
      <c r="M4" s="59">
        <v>45261</v>
      </c>
      <c r="N4" s="68" t="s">
        <v>102</v>
      </c>
    </row>
    <row r="5" spans="1:14">
      <c r="A5" s="29" t="s">
        <v>39</v>
      </c>
      <c r="B5" s="74">
        <f>'[1]Food Truck Demand'!B17</f>
        <v>1949.7956204379564</v>
      </c>
      <c r="C5" s="74">
        <f>'[1]Food Truck Demand'!B18</f>
        <v>2298.6423357664235</v>
      </c>
      <c r="D5" s="74">
        <f>'[1]Food Truck Demand'!B19</f>
        <v>2298.6423357664235</v>
      </c>
      <c r="E5" s="74">
        <f>'[1]Food Truck Demand'!B20</f>
        <v>2647.4890510948908</v>
      </c>
      <c r="F5" s="74">
        <f>'[1]Food Truck Demand'!B21</f>
        <v>2647.4890510948908</v>
      </c>
      <c r="G5" s="74">
        <f>'[1]Food Truck Demand'!B22</f>
        <v>3654.3722627737225</v>
      </c>
      <c r="H5" s="74">
        <f>'[1]Food Truck Demand'!B23</f>
        <v>3654.3722627737225</v>
      </c>
      <c r="I5" s="74">
        <f>'[1]Food Truck Demand'!B24</f>
        <v>2647.4890510948908</v>
      </c>
      <c r="J5" s="74">
        <f>'[1]Food Truck Demand'!B25</f>
        <v>2996.3357664233581</v>
      </c>
      <c r="K5" s="74">
        <f>'[1]Food Truck Demand'!B26</f>
        <v>4003.2189781021898</v>
      </c>
      <c r="L5" s="74">
        <f>'[1]Food Truck Demand'!B27</f>
        <v>4003.2189781021898</v>
      </c>
      <c r="M5" s="74">
        <f>'[1]Food Truck Demand'!B28</f>
        <v>4352.0656934306571</v>
      </c>
      <c r="N5" s="69">
        <f>SUM(B5:M5)</f>
        <v>37153.131386861307</v>
      </c>
    </row>
    <row r="6" spans="1:14">
      <c r="A6" s="29" t="s">
        <v>49</v>
      </c>
      <c r="B6" s="74">
        <f>B5</f>
        <v>1949.7956204379564</v>
      </c>
      <c r="C6" s="74">
        <f t="shared" ref="C6:M6" si="0">C5</f>
        <v>2298.6423357664235</v>
      </c>
      <c r="D6" s="74">
        <f t="shared" si="0"/>
        <v>2298.6423357664235</v>
      </c>
      <c r="E6" s="74">
        <f t="shared" si="0"/>
        <v>2647.4890510948908</v>
      </c>
      <c r="F6" s="74">
        <f t="shared" si="0"/>
        <v>2647.4890510948908</v>
      </c>
      <c r="G6" s="74">
        <f t="shared" si="0"/>
        <v>3654.3722627737225</v>
      </c>
      <c r="H6" s="74">
        <f t="shared" si="0"/>
        <v>3654.3722627737225</v>
      </c>
      <c r="I6" s="74">
        <f t="shared" si="0"/>
        <v>2647.4890510948908</v>
      </c>
      <c r="J6" s="74">
        <f t="shared" si="0"/>
        <v>2996.3357664233581</v>
      </c>
      <c r="K6" s="74">
        <f t="shared" si="0"/>
        <v>4003.2189781021898</v>
      </c>
      <c r="L6" s="74">
        <f t="shared" si="0"/>
        <v>4003.2189781021898</v>
      </c>
      <c r="M6" s="74">
        <f t="shared" si="0"/>
        <v>4352.0656934306571</v>
      </c>
      <c r="N6" s="69">
        <f t="shared" ref="N6:N8" si="1">SUM(B6:M6)</f>
        <v>37153.131386861307</v>
      </c>
    </row>
    <row r="7" spans="1:14">
      <c r="A7" s="29" t="s">
        <v>50</v>
      </c>
      <c r="B7" s="74">
        <v>0</v>
      </c>
      <c r="C7" s="74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4">
        <v>0</v>
      </c>
      <c r="J7" s="74">
        <v>0</v>
      </c>
      <c r="K7" s="74">
        <v>0</v>
      </c>
      <c r="L7" s="74">
        <v>0</v>
      </c>
      <c r="M7" s="74">
        <v>0</v>
      </c>
      <c r="N7" s="69">
        <f t="shared" si="1"/>
        <v>0</v>
      </c>
    </row>
    <row r="8" spans="1:14">
      <c r="A8" s="30" t="s">
        <v>51</v>
      </c>
      <c r="B8" s="74">
        <v>0</v>
      </c>
      <c r="C8" s="74">
        <v>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69">
        <f t="shared" si="1"/>
        <v>0</v>
      </c>
    </row>
    <row r="9" spans="1:14">
      <c r="A9" s="62" t="s">
        <v>52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69"/>
    </row>
    <row r="10" spans="1:14">
      <c r="A10" s="29" t="s">
        <v>53</v>
      </c>
      <c r="B10" s="74">
        <f>'Food Truck  Pt 4'!B6*'[1]Financial information  FT'!$L$8</f>
        <v>5829.8889051094902</v>
      </c>
      <c r="C10" s="74">
        <f>'Food Truck  Pt 4'!C6*'[1]Financial information  FT'!$L$8</f>
        <v>6872.9405839416067</v>
      </c>
      <c r="D10" s="74">
        <f>'Food Truck  Pt 4'!D6*'[1]Financial information  FT'!$L$8</f>
        <v>6872.9405839416067</v>
      </c>
      <c r="E10" s="74">
        <f>'Food Truck  Pt 4'!E6*'[1]Financial information  FT'!$L$8</f>
        <v>7915.9922627737242</v>
      </c>
      <c r="F10" s="74">
        <f>'Food Truck  Pt 4'!F6*'[1]Financial information  FT'!$L$8</f>
        <v>7915.9922627737242</v>
      </c>
      <c r="G10" s="74">
        <f>'Food Truck  Pt 4'!G6*'[1]Financial information  FT'!$L$8</f>
        <v>10926.57306569343</v>
      </c>
      <c r="H10" s="74">
        <f>'Food Truck  Pt 4'!H6*'[1]Financial information  FT'!$L$8</f>
        <v>10926.57306569343</v>
      </c>
      <c r="I10" s="74">
        <f>'Food Truck  Pt 4'!I6*'[1]Financial information  FT'!$L$8</f>
        <v>7915.9922627737242</v>
      </c>
      <c r="J10" s="74">
        <f>'Food Truck  Pt 4'!J6*'[1]Financial information  FT'!$L$8</f>
        <v>8959.0439416058416</v>
      </c>
      <c r="K10" s="74">
        <f>'Food Truck  Pt 4'!K6*'[1]Financial information  FT'!$L$8</f>
        <v>11969.624744525549</v>
      </c>
      <c r="L10" s="74">
        <f>'Food Truck  Pt 4'!L6*'[1]Financial information  FT'!$L$8</f>
        <v>11969.624744525549</v>
      </c>
      <c r="M10" s="74">
        <f>'Food Truck  Pt 4'!M6*'[1]Financial information  FT'!$L$8</f>
        <v>13012.676423357665</v>
      </c>
      <c r="N10" s="70">
        <f>SUM(B10:M10)</f>
        <v>111087.86284671533</v>
      </c>
    </row>
    <row r="11" spans="1:14">
      <c r="A11" s="29" t="s">
        <v>54</v>
      </c>
      <c r="B11" s="74">
        <f>B6*'[1]Financial information  FT'!$L$9</f>
        <v>4874.4890510948908</v>
      </c>
      <c r="C11" s="74">
        <f>C6*'[1]Financial information  FT'!$L$9</f>
        <v>5746.6058394160591</v>
      </c>
      <c r="D11" s="74">
        <f>D6*'[1]Financial information  FT'!$L$9</f>
        <v>5746.6058394160591</v>
      </c>
      <c r="E11" s="74">
        <f>E6*'[1]Financial information  FT'!$L$9</f>
        <v>6618.7226277372265</v>
      </c>
      <c r="F11" s="74">
        <f>F6*'[1]Financial information  FT'!$L$9</f>
        <v>6618.7226277372265</v>
      </c>
      <c r="G11" s="74">
        <f>G6*'[1]Financial information  FT'!$L$9</f>
        <v>9135.9306569343062</v>
      </c>
      <c r="H11" s="74">
        <f>H6*'[1]Financial information  FT'!$L$9</f>
        <v>9135.9306569343062</v>
      </c>
      <c r="I11" s="74">
        <f>I6*'[1]Financial information  FT'!$L$9</f>
        <v>6618.7226277372265</v>
      </c>
      <c r="J11" s="74">
        <f>J6*'[1]Financial information  FT'!$L$9</f>
        <v>7490.8394160583957</v>
      </c>
      <c r="K11" s="74">
        <f>K6*'[1]Financial information  FT'!$L$9</f>
        <v>10008.047445255474</v>
      </c>
      <c r="L11" s="74">
        <f>L6*'[1]Financial information  FT'!$L$9</f>
        <v>10008.047445255474</v>
      </c>
      <c r="M11" s="74">
        <f>M6*'[1]Financial information  FT'!$L$9</f>
        <v>10880.164233576643</v>
      </c>
      <c r="N11" s="70">
        <f>SUM(B11:M11)</f>
        <v>92882.828467153289</v>
      </c>
    </row>
    <row r="12" spans="1:14" ht="15" thickBot="1">
      <c r="A12" s="29" t="s">
        <v>55</v>
      </c>
      <c r="B12" s="78">
        <v>0</v>
      </c>
      <c r="C12" s="78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0">
        <f>SUM(B12:M12)</f>
        <v>0</v>
      </c>
    </row>
    <row r="13" spans="1:14" ht="15" thickTop="1">
      <c r="A13" s="63" t="s">
        <v>56</v>
      </c>
      <c r="B13" s="76">
        <f>SUM(B10:B12)</f>
        <v>10704.377956204382</v>
      </c>
      <c r="C13" s="76">
        <f t="shared" ref="C13:L13" si="2">SUM(C10:C12)</f>
        <v>12619.546423357666</v>
      </c>
      <c r="D13" s="76">
        <f t="shared" si="2"/>
        <v>12619.546423357666</v>
      </c>
      <c r="E13" s="76">
        <f t="shared" si="2"/>
        <v>14534.71489051095</v>
      </c>
      <c r="F13" s="76">
        <f t="shared" si="2"/>
        <v>14534.71489051095</v>
      </c>
      <c r="G13" s="76">
        <f t="shared" si="2"/>
        <v>20062.503722627735</v>
      </c>
      <c r="H13" s="76">
        <f t="shared" si="2"/>
        <v>20062.503722627735</v>
      </c>
      <c r="I13" s="76">
        <f t="shared" si="2"/>
        <v>14534.71489051095</v>
      </c>
      <c r="J13" s="76">
        <f t="shared" si="2"/>
        <v>16449.883357664236</v>
      </c>
      <c r="K13" s="76">
        <f t="shared" si="2"/>
        <v>21977.67218978102</v>
      </c>
      <c r="L13" s="76">
        <f t="shared" si="2"/>
        <v>21977.67218978102</v>
      </c>
      <c r="M13" s="76">
        <f>SUM(M10:M12)</f>
        <v>23892.840656934306</v>
      </c>
      <c r="N13" s="70">
        <f>SUM(B13:M13)</f>
        <v>203970.69131386862</v>
      </c>
    </row>
    <row r="14" spans="1:14">
      <c r="A14" s="64" t="s">
        <v>57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69"/>
    </row>
    <row r="15" spans="1:14">
      <c r="A15" s="29" t="s">
        <v>58</v>
      </c>
      <c r="B15" s="74">
        <f>'[1]Financial information  FT'!L7</f>
        <v>5045</v>
      </c>
      <c r="C15" s="74">
        <f>'[1]Financial information  FT'!L7</f>
        <v>5045</v>
      </c>
      <c r="D15" s="74">
        <f>C15</f>
        <v>5045</v>
      </c>
      <c r="E15" s="74">
        <f>D15</f>
        <v>5045</v>
      </c>
      <c r="F15" s="74">
        <f t="shared" ref="F15:M15" si="3">E15</f>
        <v>5045</v>
      </c>
      <c r="G15" s="74">
        <f t="shared" si="3"/>
        <v>5045</v>
      </c>
      <c r="H15" s="74">
        <f t="shared" si="3"/>
        <v>5045</v>
      </c>
      <c r="I15" s="74">
        <f t="shared" si="3"/>
        <v>5045</v>
      </c>
      <c r="J15" s="74">
        <f t="shared" si="3"/>
        <v>5045</v>
      </c>
      <c r="K15" s="74">
        <f t="shared" si="3"/>
        <v>5045</v>
      </c>
      <c r="L15" s="74">
        <f t="shared" si="3"/>
        <v>5045</v>
      </c>
      <c r="M15" s="74">
        <f t="shared" si="3"/>
        <v>5045</v>
      </c>
      <c r="N15" s="70">
        <f>SUM(B15:M15)</f>
        <v>60540</v>
      </c>
    </row>
    <row r="16" spans="1:14">
      <c r="A16" s="57" t="s">
        <v>59</v>
      </c>
      <c r="B16" s="74">
        <f>B15</f>
        <v>5045</v>
      </c>
      <c r="C16" s="74">
        <f>C15</f>
        <v>5045</v>
      </c>
      <c r="D16" s="74">
        <f t="shared" ref="D16:M16" si="4">D15</f>
        <v>5045</v>
      </c>
      <c r="E16" s="74">
        <f t="shared" si="4"/>
        <v>5045</v>
      </c>
      <c r="F16" s="74">
        <f t="shared" si="4"/>
        <v>5045</v>
      </c>
      <c r="G16" s="74">
        <f t="shared" si="4"/>
        <v>5045</v>
      </c>
      <c r="H16" s="74">
        <f t="shared" si="4"/>
        <v>5045</v>
      </c>
      <c r="I16" s="74">
        <f t="shared" si="4"/>
        <v>5045</v>
      </c>
      <c r="J16" s="74">
        <f t="shared" si="4"/>
        <v>5045</v>
      </c>
      <c r="K16" s="74">
        <f t="shared" si="4"/>
        <v>5045</v>
      </c>
      <c r="L16" s="74">
        <f t="shared" si="4"/>
        <v>5045</v>
      </c>
      <c r="M16" s="74">
        <f t="shared" si="4"/>
        <v>5045</v>
      </c>
      <c r="N16" s="70">
        <f>SUM(B16:M16)</f>
        <v>60540</v>
      </c>
    </row>
    <row r="17" spans="1:14">
      <c r="A17" s="29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0"/>
    </row>
    <row r="18" spans="1:14">
      <c r="A18" s="29" t="s">
        <v>60</v>
      </c>
    </row>
    <row r="19" spans="1:14">
      <c r="A19" s="29" t="s">
        <v>61</v>
      </c>
      <c r="B19" s="74">
        <f>B6*'[1]Financial information  FT'!$L$10</f>
        <v>974.89781021897818</v>
      </c>
      <c r="C19" s="74">
        <f>C6*'[1]Financial information  FT'!$L$10</f>
        <v>1149.3211678832117</v>
      </c>
      <c r="D19" s="74">
        <f>D6*'[1]Financial information  FT'!$L$10</f>
        <v>1149.3211678832117</v>
      </c>
      <c r="E19" s="74">
        <f>E6*'[1]Financial information  FT'!$L$10</f>
        <v>1323.7445255474454</v>
      </c>
      <c r="F19" s="74">
        <f>F6*'[1]Financial information  FT'!$L$10</f>
        <v>1323.7445255474454</v>
      </c>
      <c r="G19" s="74">
        <f>G6*'[1]Financial information  FT'!$L$10</f>
        <v>1827.1861313868612</v>
      </c>
      <c r="H19" s="74">
        <f>H6*'[1]Financial information  FT'!$L$10</f>
        <v>1827.1861313868612</v>
      </c>
      <c r="I19" s="74">
        <f>I6*'[1]Financial information  FT'!$L$10</f>
        <v>1323.7445255474454</v>
      </c>
      <c r="J19" s="74">
        <f>J6*'[1]Financial information  FT'!$L$10</f>
        <v>1498.1678832116791</v>
      </c>
      <c r="K19" s="74">
        <f>K6*'[1]Financial information  FT'!$L$10</f>
        <v>2001.6094890510949</v>
      </c>
      <c r="L19" s="74">
        <f>L6*'[1]Financial information  FT'!$L$10</f>
        <v>2001.6094890510949</v>
      </c>
      <c r="M19" s="74">
        <f>M6*'[1]Financial information  FT'!$L$10</f>
        <v>2176.0328467153286</v>
      </c>
      <c r="N19" s="70">
        <f>SUM(B19:M19)</f>
        <v>18576.565693430653</v>
      </c>
    </row>
    <row r="20" spans="1:14">
      <c r="A20" s="29" t="s">
        <v>62</v>
      </c>
      <c r="B20" s="74">
        <f>B6*'[1]Financial information  FT'!$L$11</f>
        <v>1169.8773722627739</v>
      </c>
      <c r="C20" s="74">
        <f>C6*'[1]Financial information  FT'!$L$11</f>
        <v>1379.1854014598541</v>
      </c>
      <c r="D20" s="74">
        <f>D6*'[1]Financial information  FT'!$L$11</f>
        <v>1379.1854014598541</v>
      </c>
      <c r="E20" s="74">
        <f>E6*'[1]Financial information  FT'!$L$11</f>
        <v>1588.4934306569344</v>
      </c>
      <c r="F20" s="74">
        <f>F6*'[1]Financial information  FT'!$L$11</f>
        <v>1588.4934306569344</v>
      </c>
      <c r="G20" s="74">
        <f>G6*'[1]Financial information  FT'!$L$11</f>
        <v>2192.6233576642335</v>
      </c>
      <c r="H20" s="74">
        <f>H6*'[1]Financial information  FT'!$L$11</f>
        <v>2192.6233576642335</v>
      </c>
      <c r="I20" s="74">
        <f>I6*'[1]Financial information  FT'!$L$11</f>
        <v>1588.4934306569344</v>
      </c>
      <c r="J20" s="74">
        <f>J6*'[1]Financial information  FT'!$L$11</f>
        <v>1797.8014598540149</v>
      </c>
      <c r="K20" s="74">
        <f>K6*'[1]Financial information  FT'!$L$11</f>
        <v>2401.931386861314</v>
      </c>
      <c r="L20" s="74">
        <f>L6*'[1]Financial information  FT'!$L$11</f>
        <v>2401.931386861314</v>
      </c>
      <c r="M20" s="74">
        <f>M6*'[1]Financial information  FT'!$L$11</f>
        <v>2611.239416058394</v>
      </c>
      <c r="N20" s="70">
        <f>SUM(B20:M20)</f>
        <v>22291.878832116785</v>
      </c>
    </row>
    <row r="21" spans="1:14">
      <c r="A21" s="57" t="s">
        <v>63</v>
      </c>
      <c r="B21" s="79">
        <f>SUM(B19:B20)</f>
        <v>2144.7751824817519</v>
      </c>
      <c r="C21" s="79">
        <f t="shared" ref="C21:M21" si="5">SUM(C19:C20)</f>
        <v>2528.5065693430661</v>
      </c>
      <c r="D21" s="79">
        <f t="shared" si="5"/>
        <v>2528.5065693430661</v>
      </c>
      <c r="E21" s="79">
        <f t="shared" si="5"/>
        <v>2912.2379562043798</v>
      </c>
      <c r="F21" s="79">
        <f t="shared" si="5"/>
        <v>2912.2379562043798</v>
      </c>
      <c r="G21" s="79">
        <f t="shared" si="5"/>
        <v>4019.8094890510947</v>
      </c>
      <c r="H21" s="79">
        <f t="shared" si="5"/>
        <v>4019.8094890510947</v>
      </c>
      <c r="I21" s="79">
        <f t="shared" si="5"/>
        <v>2912.2379562043798</v>
      </c>
      <c r="J21" s="79">
        <f t="shared" si="5"/>
        <v>3295.9693430656939</v>
      </c>
      <c r="K21" s="79">
        <f t="shared" si="5"/>
        <v>4403.5408759124093</v>
      </c>
      <c r="L21" s="79">
        <f t="shared" si="5"/>
        <v>4403.5408759124093</v>
      </c>
      <c r="M21" s="79">
        <f t="shared" si="5"/>
        <v>4787.2722627737221</v>
      </c>
      <c r="N21" s="70">
        <f>SUM(B21:M21)</f>
        <v>40868.444525547449</v>
      </c>
    </row>
    <row r="22" spans="1:14" ht="15" thickBot="1">
      <c r="A22" s="29" t="s">
        <v>64</v>
      </c>
      <c r="B22" s="80">
        <v>0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70">
        <f>SUM(B22:M22)</f>
        <v>0</v>
      </c>
    </row>
    <row r="23" spans="1:14" ht="15" thickTop="1">
      <c r="A23" s="63" t="s">
        <v>65</v>
      </c>
      <c r="B23" s="76">
        <f>B16+B21+B22</f>
        <v>7189.7751824817515</v>
      </c>
      <c r="C23" s="76">
        <f t="shared" ref="C23:M23" si="6">C16+C21+C22</f>
        <v>7573.5065693430661</v>
      </c>
      <c r="D23" s="76">
        <f t="shared" si="6"/>
        <v>7573.5065693430661</v>
      </c>
      <c r="E23" s="76">
        <f t="shared" si="6"/>
        <v>7957.2379562043798</v>
      </c>
      <c r="F23" s="76">
        <f t="shared" si="6"/>
        <v>7957.2379562043798</v>
      </c>
      <c r="G23" s="76">
        <f t="shared" si="6"/>
        <v>9064.8094890510947</v>
      </c>
      <c r="H23" s="76">
        <f t="shared" si="6"/>
        <v>9064.8094890510947</v>
      </c>
      <c r="I23" s="76">
        <f t="shared" si="6"/>
        <v>7957.2379562043798</v>
      </c>
      <c r="J23" s="76">
        <f t="shared" si="6"/>
        <v>8340.9693430656935</v>
      </c>
      <c r="K23" s="76">
        <f t="shared" si="6"/>
        <v>9448.5408759124093</v>
      </c>
      <c r="L23" s="76">
        <f t="shared" si="6"/>
        <v>9448.5408759124093</v>
      </c>
      <c r="M23" s="76">
        <f t="shared" si="6"/>
        <v>9832.2722627737221</v>
      </c>
      <c r="N23" s="70">
        <f>SUM(B23:M23)</f>
        <v>101408.44452554746</v>
      </c>
    </row>
    <row r="24" spans="1:14" ht="15" thickBot="1">
      <c r="A24" s="29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04"/>
    </row>
    <row r="25" spans="1:14" ht="15.6" thickTop="1" thickBot="1">
      <c r="A25" s="65" t="s">
        <v>66</v>
      </c>
      <c r="B25" s="82">
        <f>B13-B23</f>
        <v>3514.6027737226304</v>
      </c>
      <c r="C25" s="82">
        <f t="shared" ref="C25:M25" si="7">C13-C23</f>
        <v>5046.0398540145998</v>
      </c>
      <c r="D25" s="82">
        <f t="shared" si="7"/>
        <v>5046.0398540145998</v>
      </c>
      <c r="E25" s="82">
        <f t="shared" si="7"/>
        <v>6577.47693430657</v>
      </c>
      <c r="F25" s="82">
        <f t="shared" si="7"/>
        <v>6577.47693430657</v>
      </c>
      <c r="G25" s="82">
        <f t="shared" si="7"/>
        <v>10997.69423357664</v>
      </c>
      <c r="H25" s="82">
        <f t="shared" si="7"/>
        <v>10997.69423357664</v>
      </c>
      <c r="I25" s="82">
        <f t="shared" si="7"/>
        <v>6577.47693430657</v>
      </c>
      <c r="J25" s="82">
        <f t="shared" si="7"/>
        <v>8108.9140145985421</v>
      </c>
      <c r="K25" s="82">
        <f t="shared" si="7"/>
        <v>12529.131313868611</v>
      </c>
      <c r="L25" s="82">
        <f t="shared" si="7"/>
        <v>12529.131313868611</v>
      </c>
      <c r="M25" s="82">
        <f t="shared" si="7"/>
        <v>14060.568394160584</v>
      </c>
      <c r="N25" s="73">
        <f>SUM(B25:M25)</f>
        <v>102562.24678832116</v>
      </c>
    </row>
    <row r="27" spans="1:14">
      <c r="A27" s="55"/>
      <c r="B27" t="s">
        <v>104</v>
      </c>
    </row>
    <row r="28" spans="1:14" ht="15" thickBot="1">
      <c r="A28" s="27" t="s">
        <v>67</v>
      </c>
    </row>
    <row r="29" spans="1:14">
      <c r="A29" s="61" t="s">
        <v>7</v>
      </c>
      <c r="B29" s="59">
        <f>B4</f>
        <v>44927</v>
      </c>
      <c r="C29" s="59">
        <f t="shared" ref="C29:M29" si="8">C4</f>
        <v>44958</v>
      </c>
      <c r="D29" s="59">
        <f t="shared" si="8"/>
        <v>44986</v>
      </c>
      <c r="E29" s="59">
        <f t="shared" si="8"/>
        <v>45017</v>
      </c>
      <c r="F29" s="59">
        <f t="shared" si="8"/>
        <v>45047</v>
      </c>
      <c r="G29" s="59">
        <f t="shared" si="8"/>
        <v>45078</v>
      </c>
      <c r="H29" s="59">
        <f t="shared" si="8"/>
        <v>45108</v>
      </c>
      <c r="I29" s="59">
        <f t="shared" si="8"/>
        <v>45139</v>
      </c>
      <c r="J29" s="59">
        <f t="shared" si="8"/>
        <v>45170</v>
      </c>
      <c r="K29" s="59">
        <f t="shared" si="8"/>
        <v>45200</v>
      </c>
      <c r="L29" s="59">
        <f t="shared" si="8"/>
        <v>45231</v>
      </c>
      <c r="M29" s="59">
        <f t="shared" si="8"/>
        <v>45261</v>
      </c>
      <c r="N29" s="68" t="s">
        <v>102</v>
      </c>
    </row>
    <row r="30" spans="1:14">
      <c r="A30" s="29" t="s">
        <v>39</v>
      </c>
      <c r="B30" s="74">
        <f>B5*(1+'[1]Financial information  FT'!$B$35)</f>
        <v>2047.2854014598543</v>
      </c>
      <c r="C30" s="74">
        <f>C5*(1+'[1]Financial information  FT'!$B$35)</f>
        <v>2413.5744525547448</v>
      </c>
      <c r="D30" s="74">
        <f>D5*(1+'[1]Financial information  FT'!$B$35)</f>
        <v>2413.5744525547448</v>
      </c>
      <c r="E30" s="74">
        <f>E5*(1+'[1]Financial information  FT'!$B$35)</f>
        <v>2779.8635036496353</v>
      </c>
      <c r="F30" s="74">
        <f>F5*(1+'[1]Financial information  FT'!$B$35)</f>
        <v>2779.8635036496353</v>
      </c>
      <c r="G30" s="74">
        <f>G5*(1+'[1]Financial information  FT'!$B$35)</f>
        <v>3837.0908759124086</v>
      </c>
      <c r="H30" s="74">
        <f>H5*(1+'[1]Financial information  FT'!$B$35)</f>
        <v>3837.0908759124086</v>
      </c>
      <c r="I30" s="74">
        <f>I5*(1+'[1]Financial information  FT'!$B$35)</f>
        <v>2779.8635036496353</v>
      </c>
      <c r="J30" s="74">
        <f>J5*(1+'[1]Financial information  FT'!$B$35)</f>
        <v>3146.1525547445262</v>
      </c>
      <c r="K30" s="74">
        <f>K5*(1+'[1]Financial information  FT'!$B$35)</f>
        <v>4203.3799270072996</v>
      </c>
      <c r="L30" s="74">
        <f>L5*(1+'[1]Financial information  FT'!$B$35)</f>
        <v>4203.3799270072996</v>
      </c>
      <c r="M30" s="74">
        <f>M5*(1+'[1]Financial information  FT'!$B$35)</f>
        <v>4569.6689781021905</v>
      </c>
      <c r="N30" s="69">
        <f>SUM(B30:M30)</f>
        <v>39010.787956204389</v>
      </c>
    </row>
    <row r="31" spans="1:14">
      <c r="A31" s="29" t="s">
        <v>49</v>
      </c>
      <c r="B31" s="74">
        <f>B30</f>
        <v>2047.2854014598543</v>
      </c>
      <c r="C31" s="74">
        <f t="shared" ref="C31:M31" si="9">C30</f>
        <v>2413.5744525547448</v>
      </c>
      <c r="D31" s="74">
        <f t="shared" si="9"/>
        <v>2413.5744525547448</v>
      </c>
      <c r="E31" s="74">
        <f t="shared" si="9"/>
        <v>2779.8635036496353</v>
      </c>
      <c r="F31" s="74">
        <f t="shared" si="9"/>
        <v>2779.8635036496353</v>
      </c>
      <c r="G31" s="74">
        <f t="shared" si="9"/>
        <v>3837.0908759124086</v>
      </c>
      <c r="H31" s="74">
        <f t="shared" si="9"/>
        <v>3837.0908759124086</v>
      </c>
      <c r="I31" s="74">
        <f t="shared" si="9"/>
        <v>2779.8635036496353</v>
      </c>
      <c r="J31" s="74">
        <f t="shared" si="9"/>
        <v>3146.1525547445262</v>
      </c>
      <c r="K31" s="74">
        <f t="shared" si="9"/>
        <v>4203.3799270072996</v>
      </c>
      <c r="L31" s="74">
        <f t="shared" si="9"/>
        <v>4203.3799270072996</v>
      </c>
      <c r="M31" s="74">
        <f t="shared" si="9"/>
        <v>4569.6689781021905</v>
      </c>
      <c r="N31" s="69">
        <f>SUM(B31:M31)</f>
        <v>39010.787956204389</v>
      </c>
    </row>
    <row r="32" spans="1:14">
      <c r="A32" s="29" t="s">
        <v>50</v>
      </c>
      <c r="B32" s="74">
        <v>0</v>
      </c>
      <c r="C32" s="74">
        <v>0</v>
      </c>
      <c r="D32" s="74">
        <v>0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69">
        <f>SUM(B32:M32)</f>
        <v>0</v>
      </c>
    </row>
    <row r="33" spans="1:14">
      <c r="A33" s="30" t="s">
        <v>51</v>
      </c>
      <c r="B33" s="74">
        <v>0</v>
      </c>
      <c r="C33" s="74">
        <v>0</v>
      </c>
      <c r="D33" s="74">
        <v>0</v>
      </c>
      <c r="E33" s="74">
        <v>0</v>
      </c>
      <c r="F33" s="74">
        <v>0</v>
      </c>
      <c r="G33" s="74">
        <v>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69">
        <f>SUM(B33:M33)</f>
        <v>0</v>
      </c>
    </row>
    <row r="34" spans="1:14">
      <c r="A34" s="62" t="s">
        <v>52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69"/>
    </row>
    <row r="35" spans="1:14">
      <c r="A35" s="29" t="s">
        <v>53</v>
      </c>
      <c r="B35" s="74">
        <f>B31*'[1]Financial information  FT'!$L$8</f>
        <v>6121.3833503649648</v>
      </c>
      <c r="C35" s="74">
        <f>C31*'[1]Financial information  FT'!$L$8</f>
        <v>7216.5876131386876</v>
      </c>
      <c r="D35" s="74">
        <f>D31*'[1]Financial information  FT'!$L$8</f>
        <v>7216.5876131386876</v>
      </c>
      <c r="E35" s="74">
        <f>E31*'[1]Financial information  FT'!$L$8</f>
        <v>8311.7918759124095</v>
      </c>
      <c r="F35" s="74">
        <f>F31*'[1]Financial information  FT'!$L$8</f>
        <v>8311.7918759124095</v>
      </c>
      <c r="G35" s="74">
        <f>G31*'[1]Financial information  FT'!$L$8</f>
        <v>11472.901718978103</v>
      </c>
      <c r="H35" s="74">
        <f>H31*'[1]Financial information  FT'!$L$8</f>
        <v>11472.901718978103</v>
      </c>
      <c r="I35" s="74">
        <f>I31*'[1]Financial information  FT'!$L$8</f>
        <v>8311.7918759124095</v>
      </c>
      <c r="J35" s="74">
        <f>J31*'[1]Financial information  FT'!$L$8</f>
        <v>9406.9961386861341</v>
      </c>
      <c r="K35" s="74">
        <f>K31*'[1]Financial information  FT'!$L$8</f>
        <v>12568.105981751827</v>
      </c>
      <c r="L35" s="74">
        <f>L31*'[1]Financial information  FT'!$L$8</f>
        <v>12568.105981751827</v>
      </c>
      <c r="M35" s="74">
        <f>M31*'[1]Financial information  FT'!$L$8</f>
        <v>13663.31024452555</v>
      </c>
      <c r="N35" s="70">
        <f>SUM(B35:M35)</f>
        <v>116642.2559890511</v>
      </c>
    </row>
    <row r="36" spans="1:14">
      <c r="A36" s="29" t="s">
        <v>54</v>
      </c>
      <c r="B36" s="74">
        <f>B31*'[1]Financial information  FT'!$L$9</f>
        <v>5118.2135036496356</v>
      </c>
      <c r="C36" s="74">
        <f>C31*'[1]Financial information  FT'!$L$9</f>
        <v>6033.9361313868621</v>
      </c>
      <c r="D36" s="74">
        <f>D31*'[1]Financial information  FT'!$L$9</f>
        <v>6033.9361313868621</v>
      </c>
      <c r="E36" s="74">
        <f>E31*'[1]Financial information  FT'!$L$9</f>
        <v>6949.6587591240877</v>
      </c>
      <c r="F36" s="74">
        <f>F31*'[1]Financial information  FT'!$L$9</f>
        <v>6949.6587591240877</v>
      </c>
      <c r="G36" s="74">
        <f>G31*'[1]Financial information  FT'!$L$9</f>
        <v>9592.7271897810206</v>
      </c>
      <c r="H36" s="74">
        <f>H31*'[1]Financial information  FT'!$L$9</f>
        <v>9592.7271897810206</v>
      </c>
      <c r="I36" s="74">
        <f>I31*'[1]Financial information  FT'!$L$9</f>
        <v>6949.6587591240877</v>
      </c>
      <c r="J36" s="74">
        <f>J31*'[1]Financial information  FT'!$L$9</f>
        <v>7865.3813868613161</v>
      </c>
      <c r="K36" s="74">
        <f>K31*'[1]Financial information  FT'!$L$9</f>
        <v>10508.449817518249</v>
      </c>
      <c r="L36" s="74">
        <f>L31*'[1]Financial information  FT'!$L$9</f>
        <v>10508.449817518249</v>
      </c>
      <c r="M36" s="74">
        <f>M31*'[1]Financial information  FT'!$L$9</f>
        <v>11424.172445255477</v>
      </c>
      <c r="N36" s="70">
        <f t="shared" ref="N36:N38" si="10">SUM(B36:M36)</f>
        <v>97526.969890510954</v>
      </c>
    </row>
    <row r="37" spans="1:14" ht="15" thickBot="1">
      <c r="A37" s="29" t="s">
        <v>55</v>
      </c>
      <c r="B37" s="78">
        <v>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0">
        <f t="shared" si="10"/>
        <v>0</v>
      </c>
    </row>
    <row r="38" spans="1:14" ht="15" thickTop="1">
      <c r="A38" s="63" t="s">
        <v>56</v>
      </c>
      <c r="B38" s="76">
        <f>SUM(B35:B37)</f>
        <v>11239.5968540146</v>
      </c>
      <c r="C38" s="76">
        <f t="shared" ref="C38:M38" si="11">SUM(C35:C37)</f>
        <v>13250.52374452555</v>
      </c>
      <c r="D38" s="76">
        <f t="shared" si="11"/>
        <v>13250.52374452555</v>
      </c>
      <c r="E38" s="76">
        <f t="shared" si="11"/>
        <v>15261.450635036497</v>
      </c>
      <c r="F38" s="76">
        <f t="shared" si="11"/>
        <v>15261.450635036497</v>
      </c>
      <c r="G38" s="76">
        <f t="shared" si="11"/>
        <v>21065.628908759121</v>
      </c>
      <c r="H38" s="76">
        <f t="shared" si="11"/>
        <v>21065.628908759121</v>
      </c>
      <c r="I38" s="76">
        <f t="shared" si="11"/>
        <v>15261.450635036497</v>
      </c>
      <c r="J38" s="76">
        <f t="shared" si="11"/>
        <v>17272.37752554745</v>
      </c>
      <c r="K38" s="76">
        <f t="shared" si="11"/>
        <v>23076.555799270078</v>
      </c>
      <c r="L38" s="76">
        <f t="shared" si="11"/>
        <v>23076.555799270078</v>
      </c>
      <c r="M38" s="76">
        <f t="shared" si="11"/>
        <v>25087.482689781027</v>
      </c>
      <c r="N38" s="70">
        <f t="shared" si="10"/>
        <v>214169.22587956209</v>
      </c>
    </row>
    <row r="39" spans="1:14">
      <c r="A39" s="64" t="s">
        <v>57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69"/>
    </row>
    <row r="40" spans="1:14">
      <c r="A40" s="29" t="s">
        <v>58</v>
      </c>
      <c r="B40" s="74">
        <f>'[1]Financial information  FT'!L7</f>
        <v>5045</v>
      </c>
      <c r="C40" s="74">
        <f>B40</f>
        <v>5045</v>
      </c>
      <c r="D40" s="74">
        <f>C40</f>
        <v>5045</v>
      </c>
      <c r="E40" s="74">
        <f>D40</f>
        <v>5045</v>
      </c>
      <c r="F40" s="74">
        <f t="shared" ref="F40:M40" si="12">E40</f>
        <v>5045</v>
      </c>
      <c r="G40" s="74">
        <f t="shared" si="12"/>
        <v>5045</v>
      </c>
      <c r="H40" s="74">
        <f t="shared" si="12"/>
        <v>5045</v>
      </c>
      <c r="I40" s="74">
        <f t="shared" si="12"/>
        <v>5045</v>
      </c>
      <c r="J40" s="74">
        <f t="shared" si="12"/>
        <v>5045</v>
      </c>
      <c r="K40" s="74">
        <f t="shared" si="12"/>
        <v>5045</v>
      </c>
      <c r="L40" s="74">
        <f t="shared" si="12"/>
        <v>5045</v>
      </c>
      <c r="M40" s="74">
        <f t="shared" si="12"/>
        <v>5045</v>
      </c>
      <c r="N40" s="70">
        <f>SUM(B40:M40)</f>
        <v>60540</v>
      </c>
    </row>
    <row r="41" spans="1:14">
      <c r="A41" s="57" t="s">
        <v>59</v>
      </c>
      <c r="B41" s="74">
        <f>B16</f>
        <v>5045</v>
      </c>
      <c r="C41" s="74">
        <f t="shared" ref="C41:N41" si="13">C16</f>
        <v>5045</v>
      </c>
      <c r="D41" s="74">
        <f t="shared" si="13"/>
        <v>5045</v>
      </c>
      <c r="E41" s="74">
        <f t="shared" si="13"/>
        <v>5045</v>
      </c>
      <c r="F41" s="74">
        <f t="shared" si="13"/>
        <v>5045</v>
      </c>
      <c r="G41" s="74">
        <f t="shared" si="13"/>
        <v>5045</v>
      </c>
      <c r="H41" s="74">
        <f t="shared" si="13"/>
        <v>5045</v>
      </c>
      <c r="I41" s="74">
        <f t="shared" si="13"/>
        <v>5045</v>
      </c>
      <c r="J41" s="74">
        <f t="shared" si="13"/>
        <v>5045</v>
      </c>
      <c r="K41" s="74">
        <f t="shared" si="13"/>
        <v>5045</v>
      </c>
      <c r="L41" s="74">
        <f t="shared" si="13"/>
        <v>5045</v>
      </c>
      <c r="M41" s="74">
        <f t="shared" si="13"/>
        <v>5045</v>
      </c>
      <c r="N41" s="74">
        <f t="shared" si="13"/>
        <v>60540</v>
      </c>
    </row>
    <row r="42" spans="1:14">
      <c r="A42" s="29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0"/>
    </row>
    <row r="43" spans="1:14">
      <c r="A43" s="29" t="s">
        <v>60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0"/>
    </row>
    <row r="44" spans="1:14">
      <c r="A44" s="29" t="s">
        <v>61</v>
      </c>
      <c r="B44" s="74">
        <f>B31*'[1]Financial information  FT'!$L$10</f>
        <v>1023.6427007299271</v>
      </c>
      <c r="C44" s="74">
        <f>C31*'[1]Financial information  FT'!$L$10</f>
        <v>1206.7872262773724</v>
      </c>
      <c r="D44" s="74">
        <f>D31*'[1]Financial information  FT'!$L$10</f>
        <v>1206.7872262773724</v>
      </c>
      <c r="E44" s="74">
        <f>E31*'[1]Financial information  FT'!$L$10</f>
        <v>1389.9317518248176</v>
      </c>
      <c r="F44" s="74">
        <f>F31*'[1]Financial information  FT'!$L$10</f>
        <v>1389.9317518248176</v>
      </c>
      <c r="G44" s="74">
        <f>G31*'[1]Financial information  FT'!$L$10</f>
        <v>1918.5454379562043</v>
      </c>
      <c r="H44" s="74">
        <f>H31*'[1]Financial information  FT'!$L$10</f>
        <v>1918.5454379562043</v>
      </c>
      <c r="I44" s="74">
        <f>I31*'[1]Financial information  FT'!$L$10</f>
        <v>1389.9317518248176</v>
      </c>
      <c r="J44" s="74">
        <f>J31*'[1]Financial information  FT'!$L$10</f>
        <v>1573.0762773722631</v>
      </c>
      <c r="K44" s="74">
        <f>K31*'[1]Financial information  FT'!$L$10</f>
        <v>2101.6899635036498</v>
      </c>
      <c r="L44" s="74">
        <f>L31*'[1]Financial information  FT'!$L$10</f>
        <v>2101.6899635036498</v>
      </c>
      <c r="M44" s="74">
        <f>M31*'[1]Financial information  FT'!$L$10</f>
        <v>2284.8344890510953</v>
      </c>
      <c r="N44" s="70">
        <f>SUM(B44:M44)</f>
        <v>19505.393978102195</v>
      </c>
    </row>
    <row r="45" spans="1:14">
      <c r="A45" s="29" t="s">
        <v>62</v>
      </c>
      <c r="B45" s="74">
        <f>B31*'[1]Financial information  FT'!$L$11</f>
        <v>1228.3712408759125</v>
      </c>
      <c r="C45" s="74">
        <f>C31*'[1]Financial information  FT'!$L$11</f>
        <v>1448.1446715328468</v>
      </c>
      <c r="D45" s="74">
        <f>D31*'[1]Financial information  FT'!$L$11</f>
        <v>1448.1446715328468</v>
      </c>
      <c r="E45" s="74">
        <f>E31*'[1]Financial information  FT'!$L$11</f>
        <v>1667.9181021897812</v>
      </c>
      <c r="F45" s="74">
        <f>F31*'[1]Financial information  FT'!$L$11</f>
        <v>1667.9181021897812</v>
      </c>
      <c r="G45" s="74">
        <f>G31*'[1]Financial information  FT'!$L$11</f>
        <v>2302.2545255474452</v>
      </c>
      <c r="H45" s="74">
        <f>H31*'[1]Financial information  FT'!$L$11</f>
        <v>2302.2545255474452</v>
      </c>
      <c r="I45" s="74">
        <f>I31*'[1]Financial information  FT'!$L$11</f>
        <v>1667.9181021897812</v>
      </c>
      <c r="J45" s="74">
        <f>J31*'[1]Financial information  FT'!$L$11</f>
        <v>1887.6915328467157</v>
      </c>
      <c r="K45" s="74">
        <f>K31*'[1]Financial information  FT'!$L$11</f>
        <v>2522.0279562043797</v>
      </c>
      <c r="L45" s="74">
        <f>L31*'[1]Financial information  FT'!$L$11</f>
        <v>2522.0279562043797</v>
      </c>
      <c r="M45" s="74">
        <f>M31*'[1]Financial information  FT'!$L$11</f>
        <v>2741.8013868613143</v>
      </c>
      <c r="N45" s="70">
        <f>SUM(B45:M45)</f>
        <v>23406.472773722628</v>
      </c>
    </row>
    <row r="46" spans="1:14">
      <c r="A46" s="57" t="s">
        <v>63</v>
      </c>
      <c r="B46" s="79">
        <f>SUM(B44:B45)</f>
        <v>2252.0139416058396</v>
      </c>
      <c r="C46" s="79">
        <f t="shared" ref="C46:M46" si="14">SUM(C44:C45)</f>
        <v>2654.9318978102192</v>
      </c>
      <c r="D46" s="79">
        <f t="shared" si="14"/>
        <v>2654.9318978102192</v>
      </c>
      <c r="E46" s="79">
        <f t="shared" si="14"/>
        <v>3057.8498540145988</v>
      </c>
      <c r="F46" s="79">
        <f t="shared" si="14"/>
        <v>3057.8498540145988</v>
      </c>
      <c r="G46" s="79">
        <f t="shared" si="14"/>
        <v>4220.7999635036495</v>
      </c>
      <c r="H46" s="79">
        <f t="shared" si="14"/>
        <v>4220.7999635036495</v>
      </c>
      <c r="I46" s="79">
        <f t="shared" si="14"/>
        <v>3057.8498540145988</v>
      </c>
      <c r="J46" s="79">
        <f t="shared" si="14"/>
        <v>3460.7678102189789</v>
      </c>
      <c r="K46" s="79">
        <f t="shared" si="14"/>
        <v>4623.7179197080295</v>
      </c>
      <c r="L46" s="79">
        <f t="shared" si="14"/>
        <v>4623.7179197080295</v>
      </c>
      <c r="M46" s="79">
        <f t="shared" si="14"/>
        <v>5026.6358759124096</v>
      </c>
      <c r="N46" s="70">
        <f>SUM(B46:M46)</f>
        <v>42911.866751824826</v>
      </c>
    </row>
    <row r="47" spans="1:14" ht="15" thickBot="1">
      <c r="A47" s="29" t="s">
        <v>64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70">
        <f>SUM(B47:M47)</f>
        <v>0</v>
      </c>
    </row>
    <row r="48" spans="1:14" ht="15" thickTop="1">
      <c r="A48" s="63" t="s">
        <v>65</v>
      </c>
      <c r="B48" s="76">
        <f>B41+B46+B47</f>
        <v>7297.0139416058391</v>
      </c>
      <c r="C48" s="76">
        <f t="shared" ref="C48:M48" si="15">C41+C46+C47</f>
        <v>7699.9318978102192</v>
      </c>
      <c r="D48" s="76">
        <f t="shared" si="15"/>
        <v>7699.9318978102192</v>
      </c>
      <c r="E48" s="76">
        <f t="shared" si="15"/>
        <v>8102.8498540145993</v>
      </c>
      <c r="F48" s="76">
        <f t="shared" si="15"/>
        <v>8102.8498540145993</v>
      </c>
      <c r="G48" s="76">
        <f t="shared" si="15"/>
        <v>9265.7999635036504</v>
      </c>
      <c r="H48" s="76">
        <f t="shared" si="15"/>
        <v>9265.7999635036504</v>
      </c>
      <c r="I48" s="76">
        <f t="shared" si="15"/>
        <v>8102.8498540145993</v>
      </c>
      <c r="J48" s="76">
        <f t="shared" si="15"/>
        <v>8505.7678102189784</v>
      </c>
      <c r="K48" s="76">
        <f t="shared" si="15"/>
        <v>9668.7179197080295</v>
      </c>
      <c r="L48" s="76">
        <f t="shared" si="15"/>
        <v>9668.7179197080295</v>
      </c>
      <c r="M48" s="76">
        <f t="shared" si="15"/>
        <v>10071.635875912409</v>
      </c>
      <c r="N48" s="70">
        <f>SUM(B48:M48)</f>
        <v>103451.86675182483</v>
      </c>
    </row>
    <row r="49" spans="1:14" ht="15" thickBot="1">
      <c r="A49" s="29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104"/>
    </row>
    <row r="50" spans="1:14" ht="15.6" thickTop="1" thickBot="1">
      <c r="A50" s="65" t="s">
        <v>66</v>
      </c>
      <c r="B50" s="82">
        <f>B38-B48</f>
        <v>3942.5829124087613</v>
      </c>
      <c r="C50" s="82">
        <f t="shared" ref="C50:M50" si="16">C38-C48</f>
        <v>5550.5918467153306</v>
      </c>
      <c r="D50" s="82">
        <f t="shared" si="16"/>
        <v>5550.5918467153306</v>
      </c>
      <c r="E50" s="82">
        <f t="shared" si="16"/>
        <v>7158.600781021898</v>
      </c>
      <c r="F50" s="82">
        <f t="shared" si="16"/>
        <v>7158.600781021898</v>
      </c>
      <c r="G50" s="82">
        <f t="shared" si="16"/>
        <v>11799.828945255471</v>
      </c>
      <c r="H50" s="82">
        <f t="shared" si="16"/>
        <v>11799.828945255471</v>
      </c>
      <c r="I50" s="82">
        <f t="shared" si="16"/>
        <v>7158.600781021898</v>
      </c>
      <c r="J50" s="82">
        <f t="shared" si="16"/>
        <v>8766.6097153284718</v>
      </c>
      <c r="K50" s="82">
        <f t="shared" si="16"/>
        <v>13407.837879562048</v>
      </c>
      <c r="L50" s="82">
        <f t="shared" si="16"/>
        <v>13407.837879562048</v>
      </c>
      <c r="M50" s="82">
        <f t="shared" si="16"/>
        <v>15015.846813868618</v>
      </c>
      <c r="N50" s="73">
        <f>SUM(B50:M50)</f>
        <v>110717.35912773726</v>
      </c>
    </row>
    <row r="52" spans="1:14">
      <c r="A52" s="55"/>
    </row>
    <row r="53" spans="1:14" ht="15" thickBot="1">
      <c r="A53" s="27" t="s">
        <v>68</v>
      </c>
    </row>
    <row r="54" spans="1:14">
      <c r="A54" s="61" t="s">
        <v>7</v>
      </c>
      <c r="B54" s="59">
        <f>B29</f>
        <v>44927</v>
      </c>
      <c r="C54" s="59">
        <f t="shared" ref="C54:M54" si="17">C29</f>
        <v>44958</v>
      </c>
      <c r="D54" s="59">
        <f t="shared" si="17"/>
        <v>44986</v>
      </c>
      <c r="E54" s="59">
        <f t="shared" si="17"/>
        <v>45017</v>
      </c>
      <c r="F54" s="59">
        <f t="shared" si="17"/>
        <v>45047</v>
      </c>
      <c r="G54" s="59">
        <f t="shared" si="17"/>
        <v>45078</v>
      </c>
      <c r="H54" s="59">
        <f t="shared" si="17"/>
        <v>45108</v>
      </c>
      <c r="I54" s="59">
        <f t="shared" si="17"/>
        <v>45139</v>
      </c>
      <c r="J54" s="59">
        <f t="shared" si="17"/>
        <v>45170</v>
      </c>
      <c r="K54" s="59">
        <f t="shared" si="17"/>
        <v>45200</v>
      </c>
      <c r="L54" s="59">
        <f t="shared" si="17"/>
        <v>45231</v>
      </c>
      <c r="M54" s="59">
        <f t="shared" si="17"/>
        <v>45261</v>
      </c>
      <c r="N54" s="68" t="s">
        <v>102</v>
      </c>
    </row>
    <row r="55" spans="1:14">
      <c r="A55" s="29" t="s">
        <v>39</v>
      </c>
      <c r="B55" s="74">
        <f>B5*(1-'[1]Financial information  FT'!$B$36)</f>
        <v>1442.8487591240878</v>
      </c>
      <c r="C55" s="74">
        <f>C5*(1-'[1]Financial information  FT'!$B$36)</f>
        <v>1700.9953284671533</v>
      </c>
      <c r="D55" s="74">
        <f>D5*(1-'[1]Financial information  FT'!$B$36)</f>
        <v>1700.9953284671533</v>
      </c>
      <c r="E55" s="74">
        <f>E5*(1-'[1]Financial information  FT'!$B$36)</f>
        <v>1959.1418978102192</v>
      </c>
      <c r="F55" s="74">
        <f>F5*(1-'[1]Financial information  FT'!$B$36)</f>
        <v>1959.1418978102192</v>
      </c>
      <c r="G55" s="74">
        <f>G5*(1-'[1]Financial information  FT'!$B$36)</f>
        <v>2704.2354744525546</v>
      </c>
      <c r="H55" s="74">
        <f>H5*(1-'[1]Financial information  FT'!$B$36)</f>
        <v>2704.2354744525546</v>
      </c>
      <c r="I55" s="74">
        <f>I5*(1-'[1]Financial information  FT'!$B$36)</f>
        <v>1959.1418978102192</v>
      </c>
      <c r="J55" s="74">
        <f>J5*(1-'[1]Financial information  FT'!$B$36)</f>
        <v>2217.2884671532852</v>
      </c>
      <c r="K55" s="74">
        <f>K5*(1-'[1]Financial information  FT'!$B$36)</f>
        <v>2962.3820437956206</v>
      </c>
      <c r="L55" s="74">
        <f>L5*(1-'[1]Financial information  FT'!$B$36)</f>
        <v>2962.3820437956206</v>
      </c>
      <c r="M55" s="74">
        <f>M5*(1-'[1]Financial information  FT'!$B$36)</f>
        <v>3220.5286131386861</v>
      </c>
      <c r="N55" s="69">
        <f>SUM(B55:M55)</f>
        <v>27493.317226277373</v>
      </c>
    </row>
    <row r="56" spans="1:14">
      <c r="A56" s="29" t="s">
        <v>49</v>
      </c>
      <c r="B56" s="74">
        <f>B55</f>
        <v>1442.8487591240878</v>
      </c>
      <c r="C56" s="74">
        <f t="shared" ref="C56:N56" si="18">C55</f>
        <v>1700.9953284671533</v>
      </c>
      <c r="D56" s="74">
        <f t="shared" si="18"/>
        <v>1700.9953284671533</v>
      </c>
      <c r="E56" s="74">
        <f t="shared" si="18"/>
        <v>1959.1418978102192</v>
      </c>
      <c r="F56" s="74">
        <f t="shared" si="18"/>
        <v>1959.1418978102192</v>
      </c>
      <c r="G56" s="74">
        <f t="shared" si="18"/>
        <v>2704.2354744525546</v>
      </c>
      <c r="H56" s="74">
        <f t="shared" si="18"/>
        <v>2704.2354744525546</v>
      </c>
      <c r="I56" s="74">
        <f t="shared" si="18"/>
        <v>1959.1418978102192</v>
      </c>
      <c r="J56" s="74">
        <f t="shared" si="18"/>
        <v>2217.2884671532852</v>
      </c>
      <c r="K56" s="74">
        <f t="shared" si="18"/>
        <v>2962.3820437956206</v>
      </c>
      <c r="L56" s="74">
        <f t="shared" si="18"/>
        <v>2962.3820437956206</v>
      </c>
      <c r="M56" s="74">
        <f t="shared" si="18"/>
        <v>3220.5286131386861</v>
      </c>
      <c r="N56" s="74">
        <f t="shared" si="18"/>
        <v>27493.317226277373</v>
      </c>
    </row>
    <row r="57" spans="1:14">
      <c r="A57" s="29" t="s">
        <v>50</v>
      </c>
      <c r="B57" s="74">
        <v>0</v>
      </c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0">
        <f>SUM(B57:M57)</f>
        <v>0</v>
      </c>
    </row>
    <row r="58" spans="1:14">
      <c r="A58" s="30" t="s">
        <v>51</v>
      </c>
      <c r="B58" s="74">
        <v>0</v>
      </c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0">
        <f>SUM(B58:M58)</f>
        <v>0</v>
      </c>
    </row>
    <row r="59" spans="1:14">
      <c r="A59" s="62" t="s">
        <v>52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69"/>
    </row>
    <row r="60" spans="1:14">
      <c r="A60" s="29" t="s">
        <v>53</v>
      </c>
      <c r="B60" s="74">
        <f>B55*'[1]Financial information  FT'!$L$8</f>
        <v>4314.117789781023</v>
      </c>
      <c r="C60" s="74">
        <f>C55*'[1]Financial information  FT'!$L$8</f>
        <v>5085.9760321167887</v>
      </c>
      <c r="D60" s="74">
        <f>D55*'[1]Financial information  FT'!$L$8</f>
        <v>5085.9760321167887</v>
      </c>
      <c r="E60" s="74">
        <f>E55*'[1]Financial information  FT'!$L$8</f>
        <v>5857.8342744525562</v>
      </c>
      <c r="F60" s="74">
        <f>F55*'[1]Financial information  FT'!$L$8</f>
        <v>5857.8342744525562</v>
      </c>
      <c r="G60" s="74">
        <f>G55*'[1]Financial information  FT'!$L$8</f>
        <v>8085.6640686131386</v>
      </c>
      <c r="H60" s="74">
        <f>H55*'[1]Financial information  FT'!$L$8</f>
        <v>8085.6640686131386</v>
      </c>
      <c r="I60" s="74">
        <f>I55*'[1]Financial information  FT'!$L$8</f>
        <v>5857.8342744525562</v>
      </c>
      <c r="J60" s="74">
        <f>J55*'[1]Financial information  FT'!$L$8</f>
        <v>6629.6925167883228</v>
      </c>
      <c r="K60" s="74">
        <f>K55*'[1]Financial information  FT'!$L$8</f>
        <v>8857.522310948907</v>
      </c>
      <c r="L60" s="74">
        <f>L55*'[1]Financial information  FT'!$L$8</f>
        <v>8857.522310948907</v>
      </c>
      <c r="M60" s="74">
        <f>M55*'[1]Financial information  FT'!$L$8</f>
        <v>9629.3805532846727</v>
      </c>
      <c r="N60" s="70">
        <f>SUM(B60:M60)</f>
        <v>82205.018506569351</v>
      </c>
    </row>
    <row r="61" spans="1:14">
      <c r="A61" s="29" t="s">
        <v>54</v>
      </c>
      <c r="B61" s="74">
        <f>B56*'[1]Financial information  FT'!$L$9</f>
        <v>3607.1218978102197</v>
      </c>
      <c r="C61" s="74">
        <f>C56*'[1]Financial information  FT'!$L$9</f>
        <v>4252.4883211678834</v>
      </c>
      <c r="D61" s="74">
        <f>D56*'[1]Financial information  FT'!$L$9</f>
        <v>4252.4883211678834</v>
      </c>
      <c r="E61" s="74">
        <f>E56*'[1]Financial information  FT'!$L$9</f>
        <v>4897.8547445255481</v>
      </c>
      <c r="F61" s="74">
        <f>F56*'[1]Financial information  FT'!$L$9</f>
        <v>4897.8547445255481</v>
      </c>
      <c r="G61" s="74">
        <f>G56*'[1]Financial information  FT'!$L$9</f>
        <v>6760.5886861313866</v>
      </c>
      <c r="H61" s="74">
        <f>H56*'[1]Financial information  FT'!$L$9</f>
        <v>6760.5886861313866</v>
      </c>
      <c r="I61" s="74">
        <f>I56*'[1]Financial information  FT'!$L$9</f>
        <v>4897.8547445255481</v>
      </c>
      <c r="J61" s="74">
        <f>J56*'[1]Financial information  FT'!$L$9</f>
        <v>5543.2211678832127</v>
      </c>
      <c r="K61" s="74">
        <f>K56*'[1]Financial information  FT'!$L$9</f>
        <v>7405.9551094890512</v>
      </c>
      <c r="L61" s="74">
        <f>L56*'[1]Financial information  FT'!$L$9</f>
        <v>7405.9551094890512</v>
      </c>
      <c r="M61" s="74">
        <f>M56*'[1]Financial information  FT'!$L$9</f>
        <v>8051.3215328467149</v>
      </c>
      <c r="N61" s="70">
        <f t="shared" ref="N61:N63" si="19">SUM(B61:M61)</f>
        <v>68733.293065693419</v>
      </c>
    </row>
    <row r="62" spans="1:14" ht="15" thickBot="1">
      <c r="A62" s="29" t="s">
        <v>55</v>
      </c>
      <c r="B62" s="78">
        <v>0</v>
      </c>
      <c r="C62" s="78">
        <v>0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  <c r="N62" s="70">
        <f t="shared" si="19"/>
        <v>0</v>
      </c>
    </row>
    <row r="63" spans="1:14" ht="15" thickTop="1">
      <c r="A63" s="63" t="s">
        <v>56</v>
      </c>
      <c r="B63" s="76">
        <f>SUM(B60:B62)</f>
        <v>7921.2396875912427</v>
      </c>
      <c r="C63" s="76">
        <f t="shared" ref="C63:M63" si="20">SUM(C60:C62)</f>
        <v>9338.4643532846712</v>
      </c>
      <c r="D63" s="76">
        <f t="shared" si="20"/>
        <v>9338.4643532846712</v>
      </c>
      <c r="E63" s="76">
        <f t="shared" si="20"/>
        <v>10755.689018978104</v>
      </c>
      <c r="F63" s="76">
        <f t="shared" si="20"/>
        <v>10755.689018978104</v>
      </c>
      <c r="G63" s="76">
        <f t="shared" si="20"/>
        <v>14846.252754744524</v>
      </c>
      <c r="H63" s="76">
        <f t="shared" si="20"/>
        <v>14846.252754744524</v>
      </c>
      <c r="I63" s="76">
        <f t="shared" si="20"/>
        <v>10755.689018978104</v>
      </c>
      <c r="J63" s="76">
        <f t="shared" si="20"/>
        <v>12172.913684671536</v>
      </c>
      <c r="K63" s="76">
        <f t="shared" si="20"/>
        <v>16263.477420437957</v>
      </c>
      <c r="L63" s="76">
        <f t="shared" si="20"/>
        <v>16263.477420437957</v>
      </c>
      <c r="M63" s="76">
        <f t="shared" si="20"/>
        <v>17680.702086131387</v>
      </c>
      <c r="N63" s="70">
        <f t="shared" si="19"/>
        <v>150938.31157226278</v>
      </c>
    </row>
    <row r="64" spans="1:14">
      <c r="A64" s="64" t="s">
        <v>57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69"/>
    </row>
    <row r="65" spans="1:14">
      <c r="A65" s="29" t="s">
        <v>58</v>
      </c>
      <c r="B65" s="74">
        <f>B40</f>
        <v>5045</v>
      </c>
      <c r="C65" s="74">
        <f t="shared" ref="C65:N66" si="21">C40</f>
        <v>5045</v>
      </c>
      <c r="D65" s="74">
        <f t="shared" si="21"/>
        <v>5045</v>
      </c>
      <c r="E65" s="74">
        <f t="shared" si="21"/>
        <v>5045</v>
      </c>
      <c r="F65" s="74">
        <f t="shared" si="21"/>
        <v>5045</v>
      </c>
      <c r="G65" s="74">
        <f t="shared" si="21"/>
        <v>5045</v>
      </c>
      <c r="H65" s="74">
        <f t="shared" si="21"/>
        <v>5045</v>
      </c>
      <c r="I65" s="74">
        <f t="shared" si="21"/>
        <v>5045</v>
      </c>
      <c r="J65" s="74">
        <f t="shared" si="21"/>
        <v>5045</v>
      </c>
      <c r="K65" s="74">
        <f t="shared" si="21"/>
        <v>5045</v>
      </c>
      <c r="L65" s="74">
        <f t="shared" si="21"/>
        <v>5045</v>
      </c>
      <c r="M65" s="74">
        <f t="shared" si="21"/>
        <v>5045</v>
      </c>
      <c r="N65" s="74">
        <f t="shared" si="21"/>
        <v>60540</v>
      </c>
    </row>
    <row r="66" spans="1:14">
      <c r="A66" s="57" t="s">
        <v>59</v>
      </c>
      <c r="B66" s="74">
        <f>B41</f>
        <v>5045</v>
      </c>
      <c r="C66" s="74">
        <f t="shared" si="21"/>
        <v>5045</v>
      </c>
      <c r="D66" s="74">
        <f t="shared" si="21"/>
        <v>5045</v>
      </c>
      <c r="E66" s="74">
        <f t="shared" si="21"/>
        <v>5045</v>
      </c>
      <c r="F66" s="74">
        <f t="shared" si="21"/>
        <v>5045</v>
      </c>
      <c r="G66" s="74">
        <f t="shared" si="21"/>
        <v>5045</v>
      </c>
      <c r="H66" s="74">
        <f t="shared" si="21"/>
        <v>5045</v>
      </c>
      <c r="I66" s="74">
        <f t="shared" si="21"/>
        <v>5045</v>
      </c>
      <c r="J66" s="74">
        <f t="shared" si="21"/>
        <v>5045</v>
      </c>
      <c r="K66" s="74">
        <f t="shared" si="21"/>
        <v>5045</v>
      </c>
      <c r="L66" s="74">
        <f t="shared" si="21"/>
        <v>5045</v>
      </c>
      <c r="M66" s="74">
        <f t="shared" si="21"/>
        <v>5045</v>
      </c>
      <c r="N66" s="74">
        <f t="shared" si="21"/>
        <v>60540</v>
      </c>
    </row>
    <row r="67" spans="1:14">
      <c r="A67" s="29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0"/>
    </row>
    <row r="68" spans="1:14">
      <c r="A68" s="29" t="s">
        <v>60</v>
      </c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0"/>
    </row>
    <row r="69" spans="1:14">
      <c r="A69" s="29" t="s">
        <v>61</v>
      </c>
      <c r="B69" s="74">
        <f>B56*'[1]Financial information  FT'!$L$10</f>
        <v>721.4243795620439</v>
      </c>
      <c r="C69" s="74">
        <f>C56*'[1]Financial information  FT'!$L$10</f>
        <v>850.49766423357664</v>
      </c>
      <c r="D69" s="74">
        <f>D56*'[1]Financial information  FT'!$L$10</f>
        <v>850.49766423357664</v>
      </c>
      <c r="E69" s="74">
        <f>E56*'[1]Financial information  FT'!$L$10</f>
        <v>979.57094890510962</v>
      </c>
      <c r="F69" s="74">
        <f>F56*'[1]Financial information  FT'!$L$10</f>
        <v>979.57094890510962</v>
      </c>
      <c r="G69" s="74">
        <f>G56*'[1]Financial information  FT'!$L$10</f>
        <v>1352.1177372262773</v>
      </c>
      <c r="H69" s="74">
        <f>H56*'[1]Financial information  FT'!$L$10</f>
        <v>1352.1177372262773</v>
      </c>
      <c r="I69" s="74">
        <f>I56*'[1]Financial information  FT'!$L$10</f>
        <v>979.57094890510962</v>
      </c>
      <c r="J69" s="74">
        <f>J56*'[1]Financial information  FT'!$L$10</f>
        <v>1108.6442335766426</v>
      </c>
      <c r="K69" s="74">
        <f>K56*'[1]Financial information  FT'!$L$10</f>
        <v>1481.1910218978103</v>
      </c>
      <c r="L69" s="74">
        <f>L56*'[1]Financial information  FT'!$L$10</f>
        <v>1481.1910218978103</v>
      </c>
      <c r="M69" s="74">
        <f>M56*'[1]Financial information  FT'!$L$10</f>
        <v>1610.264306569343</v>
      </c>
      <c r="N69" s="70">
        <f>SUM(B69:M69)</f>
        <v>13746.658613138687</v>
      </c>
    </row>
    <row r="70" spans="1:14">
      <c r="A70" s="29" t="s">
        <v>62</v>
      </c>
      <c r="B70" s="74">
        <f>B56*'[1]Financial information  FT'!$L$11</f>
        <v>865.70925547445268</v>
      </c>
      <c r="C70" s="74">
        <f>C56*'[1]Financial information  FT'!$L$11</f>
        <v>1020.5971970802919</v>
      </c>
      <c r="D70" s="74">
        <f>D56*'[1]Financial information  FT'!$L$11</f>
        <v>1020.5971970802919</v>
      </c>
      <c r="E70" s="74">
        <f>E56*'[1]Financial information  FT'!$L$11</f>
        <v>1175.4851386861314</v>
      </c>
      <c r="F70" s="74">
        <f>F56*'[1]Financial information  FT'!$L$11</f>
        <v>1175.4851386861314</v>
      </c>
      <c r="G70" s="74">
        <f>G56*'[1]Financial information  FT'!$L$11</f>
        <v>1622.5412846715328</v>
      </c>
      <c r="H70" s="74">
        <f>H56*'[1]Financial information  FT'!$L$11</f>
        <v>1622.5412846715328</v>
      </c>
      <c r="I70" s="74">
        <f>I56*'[1]Financial information  FT'!$L$11</f>
        <v>1175.4851386861314</v>
      </c>
      <c r="J70" s="74">
        <f>J56*'[1]Financial information  FT'!$L$11</f>
        <v>1330.3730802919711</v>
      </c>
      <c r="K70" s="74">
        <f>K56*'[1]Financial information  FT'!$L$11</f>
        <v>1777.4292262773722</v>
      </c>
      <c r="L70" s="74">
        <f>L56*'[1]Financial information  FT'!$L$11</f>
        <v>1777.4292262773722</v>
      </c>
      <c r="M70" s="74">
        <f>M56*'[1]Financial information  FT'!$L$11</f>
        <v>1932.3171678832116</v>
      </c>
      <c r="N70" s="70">
        <f>SUM(B70:M70)</f>
        <v>16495.990335766426</v>
      </c>
    </row>
    <row r="71" spans="1:14">
      <c r="A71" s="57" t="s">
        <v>63</v>
      </c>
      <c r="B71" s="79">
        <f>SUM(B69:B70)</f>
        <v>1587.1336350364966</v>
      </c>
      <c r="C71" s="79">
        <f t="shared" ref="C71:M71" si="22">SUM(C69:C70)</f>
        <v>1871.0948613138685</v>
      </c>
      <c r="D71" s="79">
        <f t="shared" si="22"/>
        <v>1871.0948613138685</v>
      </c>
      <c r="E71" s="79">
        <f t="shared" si="22"/>
        <v>2155.0560875912411</v>
      </c>
      <c r="F71" s="79">
        <f t="shared" si="22"/>
        <v>2155.0560875912411</v>
      </c>
      <c r="G71" s="79">
        <f t="shared" si="22"/>
        <v>2974.6590218978099</v>
      </c>
      <c r="H71" s="79">
        <f t="shared" si="22"/>
        <v>2974.6590218978099</v>
      </c>
      <c r="I71" s="79">
        <f t="shared" si="22"/>
        <v>2155.0560875912411</v>
      </c>
      <c r="J71" s="79">
        <f t="shared" si="22"/>
        <v>2439.0173138686137</v>
      </c>
      <c r="K71" s="79">
        <f t="shared" si="22"/>
        <v>3258.6202481751825</v>
      </c>
      <c r="L71" s="79">
        <f t="shared" si="22"/>
        <v>3258.6202481751825</v>
      </c>
      <c r="M71" s="79">
        <f t="shared" si="22"/>
        <v>3542.5814744525546</v>
      </c>
      <c r="N71" s="70">
        <f>SUM(B71:M71)</f>
        <v>30242.648948905113</v>
      </c>
    </row>
    <row r="72" spans="1:14" ht="15" thickBot="1">
      <c r="A72" s="29" t="s">
        <v>64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v>0</v>
      </c>
      <c r="H72" s="80">
        <v>0</v>
      </c>
      <c r="I72" s="80">
        <v>0</v>
      </c>
      <c r="J72" s="80">
        <v>0</v>
      </c>
      <c r="K72" s="80">
        <v>0</v>
      </c>
      <c r="L72" s="80">
        <v>0</v>
      </c>
      <c r="M72" s="80">
        <v>0</v>
      </c>
      <c r="N72" s="70">
        <f>SUM(B72:M72)</f>
        <v>0</v>
      </c>
    </row>
    <row r="73" spans="1:14" ht="15" thickTop="1">
      <c r="A73" s="63" t="s">
        <v>65</v>
      </c>
      <c r="B73" s="76">
        <f>B66+B71+B72</f>
        <v>6632.1336350364963</v>
      </c>
      <c r="C73" s="76">
        <f t="shared" ref="C73:M73" si="23">C66+C71+C72</f>
        <v>6916.094861313868</v>
      </c>
      <c r="D73" s="76">
        <f t="shared" si="23"/>
        <v>6916.094861313868</v>
      </c>
      <c r="E73" s="76">
        <f t="shared" si="23"/>
        <v>7200.0560875912415</v>
      </c>
      <c r="F73" s="76">
        <f t="shared" si="23"/>
        <v>7200.0560875912415</v>
      </c>
      <c r="G73" s="76">
        <f t="shared" si="23"/>
        <v>8019.6590218978099</v>
      </c>
      <c r="H73" s="76">
        <f t="shared" si="23"/>
        <v>8019.6590218978099</v>
      </c>
      <c r="I73" s="76">
        <f t="shared" si="23"/>
        <v>7200.0560875912415</v>
      </c>
      <c r="J73" s="76">
        <f t="shared" si="23"/>
        <v>7484.0173138686132</v>
      </c>
      <c r="K73" s="76">
        <f t="shared" si="23"/>
        <v>8303.6202481751825</v>
      </c>
      <c r="L73" s="76">
        <f t="shared" si="23"/>
        <v>8303.6202481751825</v>
      </c>
      <c r="M73" s="76">
        <f t="shared" si="23"/>
        <v>8587.5814744525542</v>
      </c>
      <c r="N73" s="70">
        <f>SUM(B73:M73)</f>
        <v>90782.648948905102</v>
      </c>
    </row>
    <row r="74" spans="1:14" ht="15" thickBot="1">
      <c r="A74" s="29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104"/>
    </row>
    <row r="75" spans="1:14" ht="15.6" thickTop="1" thickBot="1">
      <c r="A75" s="65" t="s">
        <v>66</v>
      </c>
      <c r="B75" s="82">
        <f>B63-B73</f>
        <v>1289.1060525547464</v>
      </c>
      <c r="C75" s="82">
        <f t="shared" ref="C75:M75" si="24">C63-C73</f>
        <v>2422.3694919708032</v>
      </c>
      <c r="D75" s="82">
        <f t="shared" si="24"/>
        <v>2422.3694919708032</v>
      </c>
      <c r="E75" s="82">
        <f t="shared" si="24"/>
        <v>3555.6329313868628</v>
      </c>
      <c r="F75" s="82">
        <f t="shared" si="24"/>
        <v>3555.6329313868628</v>
      </c>
      <c r="G75" s="82">
        <f t="shared" si="24"/>
        <v>6826.5937328467144</v>
      </c>
      <c r="H75" s="82">
        <f t="shared" si="24"/>
        <v>6826.5937328467144</v>
      </c>
      <c r="I75" s="82">
        <f t="shared" si="24"/>
        <v>3555.6329313868628</v>
      </c>
      <c r="J75" s="82">
        <f t="shared" si="24"/>
        <v>4688.8963708029223</v>
      </c>
      <c r="K75" s="82">
        <f t="shared" si="24"/>
        <v>7959.8571722627748</v>
      </c>
      <c r="L75" s="82">
        <f t="shared" si="24"/>
        <v>7959.8571722627748</v>
      </c>
      <c r="M75" s="82">
        <f t="shared" si="24"/>
        <v>9093.1206116788326</v>
      </c>
      <c r="N75" s="73">
        <f>SUM(B75:M75)</f>
        <v>60155.662623357675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AEA7-E22F-47BD-8204-E6B9C1014FCA}">
  <sheetPr codeName="Sheet4"/>
  <dimension ref="A1:J62"/>
  <sheetViews>
    <sheetView topLeftCell="A29" zoomScale="85" zoomScaleNormal="85" workbookViewId="0">
      <selection activeCell="B38" sqref="B38"/>
    </sheetView>
  </sheetViews>
  <sheetFormatPr defaultColWidth="8.88671875" defaultRowHeight="14.4"/>
  <cols>
    <col min="1" max="1" width="32.88671875" style="112" customWidth="1"/>
    <col min="2" max="2" width="18" style="112" bestFit="1" customWidth="1"/>
    <col min="3" max="3" width="18.88671875" customWidth="1"/>
    <col min="4" max="4" width="14.109375" customWidth="1"/>
    <col min="5" max="5" width="23.109375" bestFit="1" customWidth="1"/>
    <col min="6" max="6" width="23.5546875" bestFit="1" customWidth="1"/>
    <col min="9" max="9" width="21.44140625" bestFit="1" customWidth="1"/>
    <col min="10" max="11" width="23.6640625" bestFit="1" customWidth="1"/>
  </cols>
  <sheetData>
    <row r="1" spans="1:10" ht="21">
      <c r="A1" s="111" t="s">
        <v>9</v>
      </c>
    </row>
    <row r="2" spans="1:10" ht="15.6">
      <c r="A2" s="10" t="s">
        <v>10</v>
      </c>
      <c r="B2" s="154"/>
      <c r="C2" s="10"/>
      <c r="D2" s="10"/>
    </row>
    <row r="3" spans="1:10" ht="15.6">
      <c r="A3" s="11" t="s">
        <v>11</v>
      </c>
      <c r="B3" s="154"/>
      <c r="C3" s="10"/>
      <c r="D3" s="10"/>
    </row>
    <row r="4" spans="1:10">
      <c r="E4" s="1"/>
      <c r="F4" s="113"/>
    </row>
    <row r="5" spans="1:10" s="112" customFormat="1" ht="15" thickBot="1">
      <c r="E5" s="169" t="s">
        <v>146</v>
      </c>
      <c r="F5" t="s">
        <v>165</v>
      </c>
      <c r="G5"/>
      <c r="I5" s="112" t="s">
        <v>192</v>
      </c>
      <c r="J5" s="180">
        <f>GETPIVOTDATA("Expense/revenue",$E$5,"Profit Model label","Fixed Expense")</f>
        <v>5800</v>
      </c>
    </row>
    <row r="6" spans="1:10">
      <c r="A6" s="114" t="s">
        <v>127</v>
      </c>
      <c r="B6" s="115" t="s">
        <v>128</v>
      </c>
      <c r="C6" s="116" t="s">
        <v>129</v>
      </c>
      <c r="E6" s="170" t="s">
        <v>132</v>
      </c>
      <c r="F6">
        <v>5800</v>
      </c>
      <c r="I6" t="s">
        <v>190</v>
      </c>
      <c r="J6" s="181">
        <f>C7</f>
        <v>2.99</v>
      </c>
    </row>
    <row r="7" spans="1:10">
      <c r="A7" s="117" t="s">
        <v>14</v>
      </c>
      <c r="B7" s="155" t="s">
        <v>130</v>
      </c>
      <c r="C7" s="118">
        <v>2.99</v>
      </c>
      <c r="E7" s="170" t="s">
        <v>130</v>
      </c>
      <c r="F7">
        <v>2.99</v>
      </c>
      <c r="I7" t="s">
        <v>191</v>
      </c>
      <c r="J7" s="181">
        <f>C8</f>
        <v>2.5</v>
      </c>
    </row>
    <row r="8" spans="1:10">
      <c r="A8" s="117" t="s">
        <v>15</v>
      </c>
      <c r="B8" s="155" t="s">
        <v>131</v>
      </c>
      <c r="C8" s="118">
        <v>2.5</v>
      </c>
      <c r="E8" s="170" t="s">
        <v>131</v>
      </c>
      <c r="F8">
        <v>2.5</v>
      </c>
      <c r="I8" t="s">
        <v>193</v>
      </c>
      <c r="J8" s="181">
        <f>C9</f>
        <v>0.5</v>
      </c>
    </row>
    <row r="9" spans="1:10" ht="28.8">
      <c r="A9" s="119" t="s">
        <v>16</v>
      </c>
      <c r="B9" s="155" t="s">
        <v>144</v>
      </c>
      <c r="C9" s="14">
        <v>0.5</v>
      </c>
      <c r="E9" s="170" t="s">
        <v>145</v>
      </c>
      <c r="F9">
        <v>0.5</v>
      </c>
      <c r="I9" t="s">
        <v>194</v>
      </c>
      <c r="J9" s="181">
        <f>C10+C9</f>
        <v>0.6</v>
      </c>
    </row>
    <row r="10" spans="1:10" ht="28.8">
      <c r="A10" s="119" t="s">
        <v>133</v>
      </c>
      <c r="B10" s="155" t="s">
        <v>144</v>
      </c>
      <c r="C10" s="14">
        <v>0.1</v>
      </c>
      <c r="E10" s="170" t="s">
        <v>144</v>
      </c>
      <c r="F10">
        <v>0.6</v>
      </c>
    </row>
    <row r="11" spans="1:10">
      <c r="A11" s="119" t="s">
        <v>17</v>
      </c>
      <c r="B11" s="155" t="s">
        <v>132</v>
      </c>
      <c r="C11" s="14">
        <v>300</v>
      </c>
      <c r="E11" s="170" t="s">
        <v>147</v>
      </c>
      <c r="F11">
        <v>5806.59</v>
      </c>
    </row>
    <row r="12" spans="1:10">
      <c r="A12" s="119" t="s">
        <v>18</v>
      </c>
      <c r="B12" s="155" t="s">
        <v>132</v>
      </c>
      <c r="C12" s="14">
        <v>0</v>
      </c>
    </row>
    <row r="13" spans="1:10">
      <c r="A13" s="119" t="s">
        <v>19</v>
      </c>
      <c r="B13" s="155" t="s">
        <v>132</v>
      </c>
      <c r="C13" s="14">
        <v>100</v>
      </c>
    </row>
    <row r="14" spans="1:10" ht="28.8">
      <c r="A14" s="119" t="s">
        <v>20</v>
      </c>
      <c r="B14" s="155" t="s">
        <v>145</v>
      </c>
      <c r="C14" s="14">
        <v>0.35</v>
      </c>
      <c r="H14" s="133"/>
      <c r="I14" s="133"/>
    </row>
    <row r="15" spans="1:10" ht="28.8">
      <c r="A15" s="119" t="s">
        <v>21</v>
      </c>
      <c r="B15" s="155" t="s">
        <v>145</v>
      </c>
      <c r="C15" s="14">
        <v>0.15</v>
      </c>
      <c r="H15" s="133"/>
      <c r="I15" s="133"/>
    </row>
    <row r="16" spans="1:10">
      <c r="A16" s="119" t="s">
        <v>22</v>
      </c>
      <c r="B16" s="155" t="s">
        <v>132</v>
      </c>
      <c r="C16" s="14">
        <v>2400</v>
      </c>
      <c r="H16" s="133"/>
      <c r="I16" s="133"/>
    </row>
    <row r="17" spans="1:9">
      <c r="A17" s="119" t="s">
        <v>23</v>
      </c>
      <c r="B17" s="155" t="s">
        <v>132</v>
      </c>
      <c r="C17" s="14">
        <v>1200</v>
      </c>
      <c r="I17" t="s">
        <v>12</v>
      </c>
    </row>
    <row r="18" spans="1:9">
      <c r="A18" s="119" t="s">
        <v>24</v>
      </c>
      <c r="B18" s="155" t="s">
        <v>132</v>
      </c>
      <c r="C18" s="14">
        <v>500</v>
      </c>
    </row>
    <row r="19" spans="1:9">
      <c r="A19" s="119" t="s">
        <v>25</v>
      </c>
      <c r="B19" s="155" t="s">
        <v>132</v>
      </c>
      <c r="C19" s="14">
        <v>50</v>
      </c>
    </row>
    <row r="20" spans="1:9">
      <c r="A20" s="119" t="s">
        <v>26</v>
      </c>
      <c r="B20" s="155" t="s">
        <v>132</v>
      </c>
      <c r="C20" s="14">
        <v>25</v>
      </c>
    </row>
    <row r="21" spans="1:9">
      <c r="A21" s="15" t="s">
        <v>27</v>
      </c>
      <c r="B21" s="155" t="s">
        <v>132</v>
      </c>
      <c r="C21" s="14">
        <v>0</v>
      </c>
    </row>
    <row r="22" spans="1:9">
      <c r="A22" s="119" t="s">
        <v>28</v>
      </c>
      <c r="B22" s="155" t="s">
        <v>132</v>
      </c>
      <c r="C22" s="14">
        <v>1000</v>
      </c>
    </row>
    <row r="23" spans="1:9">
      <c r="A23" s="119" t="s">
        <v>29</v>
      </c>
      <c r="B23" s="155" t="s">
        <v>132</v>
      </c>
      <c r="C23" s="14">
        <v>25</v>
      </c>
    </row>
    <row r="24" spans="1:9">
      <c r="A24" s="120" t="s">
        <v>30</v>
      </c>
      <c r="B24" s="155" t="s">
        <v>132</v>
      </c>
      <c r="C24" s="13">
        <v>200</v>
      </c>
    </row>
    <row r="25" spans="1:9">
      <c r="A25" s="121" t="s">
        <v>12</v>
      </c>
      <c r="C25" s="17" t="s">
        <v>12</v>
      </c>
    </row>
    <row r="26" spans="1:9">
      <c r="A26" s="122"/>
      <c r="E26" s="2"/>
    </row>
    <row r="27" spans="1:9">
      <c r="F27" s="16"/>
    </row>
    <row r="28" spans="1:9">
      <c r="B28" s="156"/>
      <c r="C28" s="17"/>
    </row>
    <row r="29" spans="1:9" ht="16.2" thickBot="1">
      <c r="A29" s="123" t="s">
        <v>31</v>
      </c>
      <c r="B29" s="156"/>
      <c r="C29" s="17"/>
    </row>
    <row r="30" spans="1:9" ht="21">
      <c r="A30" s="124" t="s">
        <v>121</v>
      </c>
      <c r="B30" s="157"/>
      <c r="D30" s="125"/>
      <c r="E30" s="125"/>
    </row>
    <row r="31" spans="1:9" ht="18">
      <c r="A31" s="106" t="s">
        <v>32</v>
      </c>
      <c r="B31" s="85">
        <v>4000</v>
      </c>
    </row>
    <row r="32" spans="1:9" ht="18">
      <c r="A32" s="107" t="s">
        <v>33</v>
      </c>
      <c r="B32" s="85">
        <v>3</v>
      </c>
    </row>
    <row r="33" spans="1:7" ht="18">
      <c r="A33" s="107" t="s">
        <v>34</v>
      </c>
      <c r="B33" s="85">
        <v>1.25</v>
      </c>
    </row>
    <row r="34" spans="1:7" ht="21">
      <c r="A34" s="107" t="s">
        <v>35</v>
      </c>
      <c r="B34" s="158">
        <v>0.22</v>
      </c>
      <c r="C34" s="83"/>
      <c r="D34" s="126"/>
      <c r="E34" s="126"/>
    </row>
    <row r="35" spans="1:7" ht="16.2" thickBot="1">
      <c r="A35" s="107" t="s">
        <v>36</v>
      </c>
      <c r="B35" s="159">
        <v>0.26</v>
      </c>
    </row>
    <row r="36" spans="1:7" ht="18" customHeight="1">
      <c r="A36" s="127" t="s">
        <v>118</v>
      </c>
      <c r="B36" s="160"/>
      <c r="C36" s="49"/>
    </row>
    <row r="37" spans="1:7">
      <c r="A37" s="128" t="s">
        <v>94</v>
      </c>
      <c r="B37" s="161">
        <v>4350</v>
      </c>
    </row>
    <row r="38" spans="1:7">
      <c r="A38" s="128" t="s">
        <v>95</v>
      </c>
      <c r="B38" s="162">
        <v>0.32</v>
      </c>
      <c r="C38" s="50"/>
      <c r="G38" s="12"/>
    </row>
    <row r="39" spans="1:7" ht="15" thickBot="1">
      <c r="A39" s="129" t="s">
        <v>96</v>
      </c>
      <c r="B39" s="159">
        <v>0.22</v>
      </c>
    </row>
    <row r="40" spans="1:7" ht="21">
      <c r="A40" s="51" t="s">
        <v>97</v>
      </c>
      <c r="B40" s="163" t="s">
        <v>123</v>
      </c>
      <c r="C40" s="132"/>
      <c r="G40" s="12"/>
    </row>
    <row r="41" spans="1:7">
      <c r="A41" s="52" t="s">
        <v>124</v>
      </c>
      <c r="B41" s="164">
        <v>0.2</v>
      </c>
      <c r="C41" s="17"/>
    </row>
    <row r="42" spans="1:7">
      <c r="A42" s="53" t="s">
        <v>37</v>
      </c>
      <c r="B42" s="164">
        <v>0.55000000000000004</v>
      </c>
      <c r="C42" s="17"/>
    </row>
    <row r="43" spans="1:7" ht="15" thickBot="1">
      <c r="A43" s="54" t="s">
        <v>125</v>
      </c>
      <c r="B43" s="165">
        <v>0.25</v>
      </c>
      <c r="C43" s="17"/>
    </row>
    <row r="44" spans="1:7">
      <c r="A44" s="121"/>
      <c r="B44" s="156"/>
      <c r="C44" s="17"/>
    </row>
    <row r="45" spans="1:7">
      <c r="A45" s="121"/>
      <c r="B45" s="156"/>
      <c r="C45" s="17"/>
    </row>
    <row r="46" spans="1:7">
      <c r="A46" s="121"/>
      <c r="B46" s="156"/>
      <c r="C46" s="17"/>
    </row>
    <row r="47" spans="1:7">
      <c r="A47" s="121"/>
      <c r="B47" s="156"/>
      <c r="C47" s="17"/>
    </row>
    <row r="48" spans="1:7">
      <c r="A48" s="18"/>
      <c r="B48" s="156"/>
      <c r="C48" s="17"/>
    </row>
    <row r="49" spans="1:3">
      <c r="A49" s="121"/>
      <c r="B49" s="156"/>
      <c r="C49" s="17"/>
    </row>
    <row r="50" spans="1:3">
      <c r="A50" s="18"/>
      <c r="B50" s="156"/>
      <c r="C50" s="17"/>
    </row>
    <row r="51" spans="1:3">
      <c r="A51" s="121"/>
      <c r="B51" s="156"/>
      <c r="C51" s="17"/>
    </row>
    <row r="52" spans="1:3">
      <c r="A52" s="121"/>
      <c r="B52" s="156"/>
      <c r="C52" s="17"/>
    </row>
    <row r="53" spans="1:3">
      <c r="A53" s="121"/>
      <c r="B53" s="156"/>
      <c r="C53" s="17"/>
    </row>
    <row r="54" spans="1:3">
      <c r="A54" s="121"/>
      <c r="B54" s="156"/>
      <c r="C54" s="17"/>
    </row>
    <row r="61" spans="1:3">
      <c r="A61" s="130" t="s">
        <v>93</v>
      </c>
    </row>
    <row r="62" spans="1:3">
      <c r="A62" s="131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AEDA-F2D7-49C4-96A6-D7924DCB044B}">
  <dimension ref="A1:P37"/>
  <sheetViews>
    <sheetView topLeftCell="A4" workbookViewId="0">
      <selection activeCell="C28" sqref="C28:C29"/>
    </sheetView>
  </sheetViews>
  <sheetFormatPr defaultRowHeight="14.4"/>
  <cols>
    <col min="1" max="1" width="9.5546875" bestFit="1" customWidth="1"/>
    <col min="4" max="4" width="14.6640625" bestFit="1" customWidth="1"/>
    <col min="5" max="5" width="15.5546875" bestFit="1" customWidth="1"/>
    <col min="6" max="7" width="6" bestFit="1" customWidth="1"/>
    <col min="8" max="8" width="10.77734375" bestFit="1" customWidth="1"/>
  </cols>
  <sheetData>
    <row r="1" spans="1:16" ht="16.2" thickBot="1">
      <c r="A1" s="19" t="s">
        <v>38</v>
      </c>
      <c r="B1" s="20" t="s">
        <v>39</v>
      </c>
    </row>
    <row r="2" spans="1:16">
      <c r="A2" s="166">
        <v>43831</v>
      </c>
      <c r="B2" s="167">
        <v>2422</v>
      </c>
      <c r="D2" s="169" t="s">
        <v>163</v>
      </c>
      <c r="E2" s="169" t="s">
        <v>164</v>
      </c>
      <c r="P2" s="153" t="s">
        <v>142</v>
      </c>
    </row>
    <row r="3" spans="1:16">
      <c r="A3" s="166">
        <v>43862</v>
      </c>
      <c r="B3" s="167">
        <v>2564</v>
      </c>
      <c r="D3" s="169" t="s">
        <v>146</v>
      </c>
      <c r="E3" t="s">
        <v>148</v>
      </c>
      <c r="F3" t="s">
        <v>161</v>
      </c>
      <c r="G3" t="s">
        <v>162</v>
      </c>
      <c r="H3" t="s">
        <v>147</v>
      </c>
      <c r="P3" s="153" t="s">
        <v>139</v>
      </c>
    </row>
    <row r="4" spans="1:16">
      <c r="A4" s="166">
        <v>43891</v>
      </c>
      <c r="B4" s="167">
        <v>3080</v>
      </c>
      <c r="D4" s="170" t="s">
        <v>149</v>
      </c>
      <c r="E4">
        <v>2422</v>
      </c>
      <c r="F4">
        <v>2634</v>
      </c>
      <c r="G4">
        <v>2810</v>
      </c>
      <c r="H4">
        <v>7866</v>
      </c>
      <c r="P4" s="153" t="s">
        <v>140</v>
      </c>
    </row>
    <row r="5" spans="1:16">
      <c r="A5" s="166">
        <v>43922</v>
      </c>
      <c r="B5" s="167">
        <v>3004</v>
      </c>
      <c r="D5" s="170" t="s">
        <v>150</v>
      </c>
      <c r="E5">
        <v>2564</v>
      </c>
      <c r="F5">
        <v>2508</v>
      </c>
      <c r="G5">
        <v>2999</v>
      </c>
      <c r="H5">
        <v>8071</v>
      </c>
      <c r="P5" s="153" t="s">
        <v>143</v>
      </c>
    </row>
    <row r="6" spans="1:16">
      <c r="A6" s="166">
        <v>43952</v>
      </c>
      <c r="B6" s="167">
        <v>2595</v>
      </c>
      <c r="D6" s="170" t="s">
        <v>151</v>
      </c>
      <c r="E6">
        <v>3080</v>
      </c>
      <c r="F6">
        <v>2653</v>
      </c>
      <c r="G6">
        <v>3051</v>
      </c>
      <c r="H6">
        <v>8784</v>
      </c>
      <c r="P6" s="153" t="s">
        <v>141</v>
      </c>
    </row>
    <row r="7" spans="1:16">
      <c r="A7" s="166">
        <v>43983</v>
      </c>
      <c r="B7" s="167">
        <v>3654</v>
      </c>
      <c r="D7" s="170" t="s">
        <v>152</v>
      </c>
      <c r="E7">
        <v>3004</v>
      </c>
      <c r="F7">
        <v>3270</v>
      </c>
      <c r="G7">
        <v>3653</v>
      </c>
      <c r="H7">
        <v>9927</v>
      </c>
    </row>
    <row r="8" spans="1:16">
      <c r="A8" s="166">
        <v>44013</v>
      </c>
      <c r="B8" s="167">
        <v>2725</v>
      </c>
      <c r="D8" s="170" t="s">
        <v>153</v>
      </c>
      <c r="E8">
        <v>2595</v>
      </c>
      <c r="F8">
        <v>3770</v>
      </c>
      <c r="G8">
        <v>3709</v>
      </c>
      <c r="H8">
        <v>10074</v>
      </c>
    </row>
    <row r="9" spans="1:16">
      <c r="A9" s="166">
        <v>44044</v>
      </c>
      <c r="B9" s="167">
        <v>2383</v>
      </c>
      <c r="D9" s="170" t="s">
        <v>154</v>
      </c>
      <c r="E9">
        <v>3654</v>
      </c>
      <c r="F9">
        <v>3588</v>
      </c>
      <c r="G9">
        <v>3930</v>
      </c>
      <c r="H9">
        <v>11172</v>
      </c>
    </row>
    <row r="10" spans="1:16">
      <c r="A10" s="166">
        <v>44075</v>
      </c>
      <c r="B10" s="167">
        <v>2432</v>
      </c>
      <c r="D10" s="170" t="s">
        <v>155</v>
      </c>
      <c r="E10">
        <v>2725</v>
      </c>
      <c r="F10">
        <v>2658</v>
      </c>
      <c r="G10">
        <v>2949</v>
      </c>
      <c r="H10">
        <v>8332</v>
      </c>
    </row>
    <row r="11" spans="1:16">
      <c r="A11" s="166">
        <v>44105</v>
      </c>
      <c r="B11" s="167">
        <v>2744</v>
      </c>
      <c r="D11" s="170" t="s">
        <v>156</v>
      </c>
      <c r="E11">
        <v>2383</v>
      </c>
      <c r="F11">
        <v>3065</v>
      </c>
      <c r="G11">
        <v>3348</v>
      </c>
      <c r="H11">
        <v>8796</v>
      </c>
    </row>
    <row r="12" spans="1:16">
      <c r="A12" s="166">
        <v>44136</v>
      </c>
      <c r="B12" s="167">
        <v>3600</v>
      </c>
      <c r="D12" s="170" t="s">
        <v>157</v>
      </c>
      <c r="E12">
        <v>2432</v>
      </c>
      <c r="F12">
        <v>3095</v>
      </c>
      <c r="G12">
        <v>3400</v>
      </c>
      <c r="H12">
        <v>8927</v>
      </c>
    </row>
    <row r="13" spans="1:16" ht="15" thickBot="1">
      <c r="A13" s="166">
        <v>44166</v>
      </c>
      <c r="B13" s="168">
        <v>4130</v>
      </c>
      <c r="D13" s="170" t="s">
        <v>158</v>
      </c>
      <c r="E13">
        <v>2744</v>
      </c>
      <c r="F13">
        <v>3634</v>
      </c>
      <c r="G13">
        <v>4361</v>
      </c>
      <c r="H13">
        <v>10739</v>
      </c>
    </row>
    <row r="14" spans="1:16">
      <c r="A14" s="166">
        <v>44197</v>
      </c>
      <c r="B14" s="167">
        <v>2634</v>
      </c>
      <c r="D14" s="170" t="s">
        <v>159</v>
      </c>
      <c r="E14">
        <v>3600</v>
      </c>
      <c r="F14">
        <v>4350</v>
      </c>
      <c r="G14">
        <v>5079</v>
      </c>
      <c r="H14">
        <v>13029</v>
      </c>
    </row>
    <row r="15" spans="1:16">
      <c r="A15" s="166">
        <v>44228</v>
      </c>
      <c r="B15" s="167">
        <v>2508</v>
      </c>
      <c r="D15" s="170" t="s">
        <v>160</v>
      </c>
      <c r="E15">
        <v>4130</v>
      </c>
      <c r="F15">
        <v>5330</v>
      </c>
      <c r="G15">
        <v>6008</v>
      </c>
      <c r="H15">
        <v>15468</v>
      </c>
    </row>
    <row r="16" spans="1:16">
      <c r="A16" s="166">
        <v>44256</v>
      </c>
      <c r="B16" s="167">
        <v>2653</v>
      </c>
      <c r="D16" s="170" t="s">
        <v>147</v>
      </c>
      <c r="E16">
        <v>35333</v>
      </c>
      <c r="F16">
        <v>40555</v>
      </c>
      <c r="G16">
        <v>45297</v>
      </c>
      <c r="H16">
        <v>121185</v>
      </c>
    </row>
    <row r="17" spans="1:2">
      <c r="A17" s="166">
        <v>44287</v>
      </c>
      <c r="B17" s="167">
        <v>3270</v>
      </c>
    </row>
    <row r="18" spans="1:2">
      <c r="A18" s="166">
        <v>44317</v>
      </c>
      <c r="B18" s="167">
        <v>3770</v>
      </c>
    </row>
    <row r="19" spans="1:2">
      <c r="A19" s="166">
        <v>44348</v>
      </c>
      <c r="B19" s="167">
        <v>3588</v>
      </c>
    </row>
    <row r="20" spans="1:2">
      <c r="A20" s="166">
        <v>44378</v>
      </c>
      <c r="B20" s="167">
        <v>2658</v>
      </c>
    </row>
    <row r="21" spans="1:2">
      <c r="A21" s="166">
        <v>44409</v>
      </c>
      <c r="B21" s="167">
        <v>3065</v>
      </c>
    </row>
    <row r="22" spans="1:2">
      <c r="A22" s="166">
        <v>44440</v>
      </c>
      <c r="B22" s="167">
        <v>3095</v>
      </c>
    </row>
    <row r="23" spans="1:2">
      <c r="A23" s="166">
        <v>44470</v>
      </c>
      <c r="B23" s="167">
        <v>3634</v>
      </c>
    </row>
    <row r="24" spans="1:2">
      <c r="A24" s="166">
        <v>44501</v>
      </c>
      <c r="B24" s="167">
        <v>4350</v>
      </c>
    </row>
    <row r="25" spans="1:2" ht="15" thickBot="1">
      <c r="A25" s="166">
        <v>44531</v>
      </c>
      <c r="B25" s="168">
        <v>5330</v>
      </c>
    </row>
    <row r="26" spans="1:2">
      <c r="A26" s="166">
        <v>44562</v>
      </c>
      <c r="B26" s="167">
        <v>2810</v>
      </c>
    </row>
    <row r="27" spans="1:2">
      <c r="A27" s="166">
        <v>44593</v>
      </c>
      <c r="B27" s="167">
        <v>2999</v>
      </c>
    </row>
    <row r="28" spans="1:2">
      <c r="A28" s="166">
        <v>44621</v>
      </c>
      <c r="B28" s="167">
        <v>3051</v>
      </c>
    </row>
    <row r="29" spans="1:2">
      <c r="A29" s="166">
        <v>44652</v>
      </c>
      <c r="B29" s="167">
        <v>3653</v>
      </c>
    </row>
    <row r="30" spans="1:2">
      <c r="A30" s="166">
        <v>44682</v>
      </c>
      <c r="B30" s="167">
        <v>3709</v>
      </c>
    </row>
    <row r="31" spans="1:2">
      <c r="A31" s="166">
        <v>44713</v>
      </c>
      <c r="B31" s="167">
        <v>3930</v>
      </c>
    </row>
    <row r="32" spans="1:2">
      <c r="A32" s="166">
        <v>44743</v>
      </c>
      <c r="B32" s="167">
        <v>2949</v>
      </c>
    </row>
    <row r="33" spans="1:2">
      <c r="A33" s="166">
        <v>44774</v>
      </c>
      <c r="B33" s="167">
        <v>3348</v>
      </c>
    </row>
    <row r="34" spans="1:2">
      <c r="A34" s="166">
        <v>44805</v>
      </c>
      <c r="B34" s="167">
        <v>3400</v>
      </c>
    </row>
    <row r="35" spans="1:2">
      <c r="A35" s="166">
        <v>44835</v>
      </c>
      <c r="B35" s="167">
        <v>4361</v>
      </c>
    </row>
    <row r="36" spans="1:2">
      <c r="A36" s="166">
        <v>44866</v>
      </c>
      <c r="B36" s="167">
        <v>5079</v>
      </c>
    </row>
    <row r="37" spans="1:2" ht="15" thickBot="1">
      <c r="A37" s="166">
        <v>44896</v>
      </c>
      <c r="B37" s="168">
        <v>6008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0229-FA71-48E2-8592-D469F6B149C8}">
  <sheetPr codeName="Sheet5"/>
  <dimension ref="A1:Z102"/>
  <sheetViews>
    <sheetView topLeftCell="C33" zoomScale="76" zoomScaleNormal="76" workbookViewId="0">
      <selection activeCell="I38" sqref="I38"/>
    </sheetView>
  </sheetViews>
  <sheetFormatPr defaultColWidth="8.88671875" defaultRowHeight="14.4"/>
  <cols>
    <col min="1" max="1" width="10.88671875" bestFit="1" customWidth="1"/>
    <col min="2" max="2" width="19.44140625" customWidth="1"/>
    <col min="3" max="3" width="25.88671875" customWidth="1"/>
    <col min="4" max="4" width="19.44140625" customWidth="1"/>
    <col min="5" max="5" width="25.88671875" customWidth="1"/>
    <col min="6" max="7" width="19.44140625" customWidth="1"/>
    <col min="8" max="8" width="21.6640625" bestFit="1" customWidth="1"/>
    <col min="9" max="9" width="38.33203125" customWidth="1"/>
  </cols>
  <sheetData>
    <row r="1" spans="1:15" ht="27" customHeight="1" thickBot="1">
      <c r="A1" s="19" t="s">
        <v>38</v>
      </c>
      <c r="B1" s="20" t="s">
        <v>39</v>
      </c>
      <c r="C1" s="20" t="s">
        <v>40</v>
      </c>
      <c r="D1" s="20" t="s">
        <v>41</v>
      </c>
      <c r="E1" s="20" t="s">
        <v>42</v>
      </c>
      <c r="F1" s="20" t="s">
        <v>43</v>
      </c>
      <c r="G1" s="21" t="s">
        <v>13</v>
      </c>
      <c r="J1" s="22" t="s">
        <v>44</v>
      </c>
      <c r="K1" s="23"/>
    </row>
    <row r="2" spans="1:15" ht="15.6">
      <c r="A2" s="24">
        <v>43831</v>
      </c>
      <c r="B2" s="105">
        <f>'Pivot Table and Chart Pt1'!B2</f>
        <v>2422</v>
      </c>
      <c r="C2" s="171">
        <f>SUM($B$2:$B$13)/12</f>
        <v>2944.4166666666665</v>
      </c>
      <c r="D2" s="171">
        <f>B2/C2</f>
        <v>0.8225737978660177</v>
      </c>
      <c r="E2" s="171">
        <f>(D2+D14+D26)/3</f>
        <v>0.78212665904269807</v>
      </c>
      <c r="F2" s="171">
        <f>B2/E2</f>
        <v>3096.6851366049364</v>
      </c>
      <c r="G2" s="25">
        <v>1</v>
      </c>
      <c r="I2" s="43" t="s">
        <v>98</v>
      </c>
      <c r="J2" t="s">
        <v>166</v>
      </c>
    </row>
    <row r="3" spans="1:15" ht="16.2" thickBot="1">
      <c r="A3" s="24">
        <v>43862</v>
      </c>
      <c r="B3" s="105">
        <f>'Pivot Table and Chart Pt1'!B3</f>
        <v>2564</v>
      </c>
      <c r="C3" s="171">
        <f t="shared" ref="C3:C13" si="0">SUM($B$2:$B$13)/12</f>
        <v>2944.4166666666665</v>
      </c>
      <c r="D3" s="171">
        <f t="shared" ref="D3:D13" si="1">B3/C3</f>
        <v>0.87080066793082955</v>
      </c>
      <c r="E3" s="171">
        <f>(D3+D15+D27)/3</f>
        <v>0.80246456190644644</v>
      </c>
      <c r="F3" s="171">
        <f>B3/E3</f>
        <v>3195.1566732225592</v>
      </c>
      <c r="G3" s="25">
        <v>2</v>
      </c>
    </row>
    <row r="4" spans="1:15" ht="15.6">
      <c r="A4" s="24">
        <v>43891</v>
      </c>
      <c r="B4" s="105">
        <f>'Pivot Table and Chart Pt1'!B4</f>
        <v>3080</v>
      </c>
      <c r="C4" s="171">
        <f t="shared" si="0"/>
        <v>2944.4166666666665</v>
      </c>
      <c r="D4" s="171">
        <f t="shared" si="1"/>
        <v>1.0460476042226814</v>
      </c>
      <c r="E4" s="171">
        <f t="shared" ref="E4:E13" si="2">(D4+D16+D28)/3</f>
        <v>0.87977368869133554</v>
      </c>
      <c r="F4" s="171">
        <f t="shared" ref="F4:F13" si="3">B4/E4</f>
        <v>3500.9003333362966</v>
      </c>
      <c r="G4" s="25">
        <v>3</v>
      </c>
      <c r="J4" s="179" t="s">
        <v>167</v>
      </c>
      <c r="K4" s="179"/>
    </row>
    <row r="5" spans="1:15" ht="15.6">
      <c r="A5" s="24">
        <v>43922</v>
      </c>
      <c r="B5" s="105">
        <f>'Pivot Table and Chart Pt1'!B5</f>
        <v>3004</v>
      </c>
      <c r="C5" s="171">
        <f t="shared" si="0"/>
        <v>2944.4166666666665</v>
      </c>
      <c r="D5" s="171">
        <f t="shared" si="1"/>
        <v>1.0202360399626411</v>
      </c>
      <c r="E5" s="171">
        <f t="shared" si="2"/>
        <v>0.98518571553569612</v>
      </c>
      <c r="F5" s="171">
        <f t="shared" si="3"/>
        <v>3049.1712908835375</v>
      </c>
      <c r="G5" s="25">
        <v>4</v>
      </c>
      <c r="J5" t="s">
        <v>168</v>
      </c>
      <c r="K5">
        <v>0.7759871708756505</v>
      </c>
    </row>
    <row r="6" spans="1:15" ht="15.6">
      <c r="A6" s="24">
        <v>43952</v>
      </c>
      <c r="B6" s="105">
        <f>'Pivot Table and Chart Pt1'!B6</f>
        <v>2595</v>
      </c>
      <c r="C6" s="171">
        <f t="shared" si="0"/>
        <v>2944.4166666666665</v>
      </c>
      <c r="D6" s="171">
        <f t="shared" si="1"/>
        <v>0.8813290691421618</v>
      </c>
      <c r="E6" s="171">
        <f t="shared" si="2"/>
        <v>0.99314427583489462</v>
      </c>
      <c r="F6" s="171">
        <f t="shared" si="3"/>
        <v>2612.9134136311591</v>
      </c>
      <c r="G6" s="25">
        <v>5</v>
      </c>
      <c r="J6" t="s">
        <v>169</v>
      </c>
      <c r="K6">
        <v>0.60215608936359599</v>
      </c>
    </row>
    <row r="7" spans="1:15" ht="15.6">
      <c r="A7" s="24">
        <v>43983</v>
      </c>
      <c r="B7" s="105">
        <f>'Pivot Table and Chart Pt1'!B7</f>
        <v>3654</v>
      </c>
      <c r="C7" s="171">
        <f t="shared" si="0"/>
        <v>2944.4166666666665</v>
      </c>
      <c r="D7" s="171">
        <f t="shared" si="1"/>
        <v>1.2409928395550902</v>
      </c>
      <c r="E7" s="171">
        <f t="shared" si="2"/>
        <v>1.1145969096836441</v>
      </c>
      <c r="F7" s="171">
        <f t="shared" si="3"/>
        <v>3278.3152081743297</v>
      </c>
      <c r="G7" s="25">
        <v>6</v>
      </c>
      <c r="J7" t="s">
        <v>170</v>
      </c>
      <c r="K7">
        <v>0.59045479787429</v>
      </c>
    </row>
    <row r="8" spans="1:15" ht="15.6">
      <c r="A8" s="24">
        <v>44013</v>
      </c>
      <c r="B8" s="105">
        <f>'Pivot Table and Chart Pt1'!B8</f>
        <v>2725</v>
      </c>
      <c r="C8" s="171">
        <f t="shared" si="0"/>
        <v>2944.4166666666665</v>
      </c>
      <c r="D8" s="171">
        <f t="shared" si="1"/>
        <v>0.92548042906065153</v>
      </c>
      <c r="E8" s="171">
        <f t="shared" si="2"/>
        <v>0.83107056872337781</v>
      </c>
      <c r="F8" s="171">
        <f t="shared" si="3"/>
        <v>3278.9032635169847</v>
      </c>
      <c r="G8" s="25">
        <v>7</v>
      </c>
      <c r="H8" s="176"/>
      <c r="J8" t="s">
        <v>171</v>
      </c>
      <c r="K8">
        <v>256.96980722440458</v>
      </c>
    </row>
    <row r="9" spans="1:15" ht="16.2" thickBot="1">
      <c r="A9" s="24">
        <v>44044</v>
      </c>
      <c r="B9" s="105">
        <f>'Pivot Table and Chart Pt1'!B9</f>
        <v>2383</v>
      </c>
      <c r="C9" s="171">
        <f t="shared" si="0"/>
        <v>2944.4166666666665</v>
      </c>
      <c r="D9" s="171">
        <f t="shared" si="1"/>
        <v>0.80932838989047073</v>
      </c>
      <c r="E9" s="171">
        <f t="shared" si="2"/>
        <v>0.86773035945606392</v>
      </c>
      <c r="F9" s="171">
        <f t="shared" si="3"/>
        <v>2746.2448144533996</v>
      </c>
      <c r="G9" s="25">
        <v>8</v>
      </c>
      <c r="J9" s="177" t="s">
        <v>172</v>
      </c>
      <c r="K9" s="177">
        <v>36</v>
      </c>
    </row>
    <row r="10" spans="1:15" ht="15.6">
      <c r="A10" s="24">
        <v>44075</v>
      </c>
      <c r="B10" s="105">
        <f>'Pivot Table and Chart Pt1'!B10</f>
        <v>2432</v>
      </c>
      <c r="C10" s="171">
        <f t="shared" si="0"/>
        <v>2944.4166666666665</v>
      </c>
      <c r="D10" s="171">
        <f t="shared" si="1"/>
        <v>0.82597005632128606</v>
      </c>
      <c r="E10" s="171">
        <f t="shared" si="2"/>
        <v>0.8808284418221447</v>
      </c>
      <c r="F10" s="171">
        <f t="shared" si="3"/>
        <v>2761.0370925000911</v>
      </c>
      <c r="G10" s="25">
        <v>9</v>
      </c>
    </row>
    <row r="11" spans="1:15" ht="16.2" thickBot="1">
      <c r="A11" s="24">
        <v>44105</v>
      </c>
      <c r="B11" s="105">
        <f>'Pivot Table and Chart Pt1'!B11</f>
        <v>2744</v>
      </c>
      <c r="C11" s="171">
        <f t="shared" si="0"/>
        <v>2944.4166666666665</v>
      </c>
      <c r="D11" s="171">
        <f t="shared" si="1"/>
        <v>0.93193332012566166</v>
      </c>
      <c r="E11" s="171">
        <f t="shared" si="2"/>
        <v>1.0541740339942574</v>
      </c>
      <c r="F11" s="171">
        <f t="shared" si="3"/>
        <v>2602.9857609023102</v>
      </c>
      <c r="G11" s="25">
        <v>10</v>
      </c>
      <c r="J11" t="s">
        <v>173</v>
      </c>
    </row>
    <row r="12" spans="1:15" ht="15.6">
      <c r="A12" s="24">
        <v>44136</v>
      </c>
      <c r="B12" s="105">
        <f>'Pivot Table and Chart Pt1'!B12</f>
        <v>3600</v>
      </c>
      <c r="C12" s="171">
        <f t="shared" si="0"/>
        <v>2944.4166666666665</v>
      </c>
      <c r="D12" s="171">
        <f t="shared" si="1"/>
        <v>1.2226530438966405</v>
      </c>
      <c r="E12" s="171">
        <f t="shared" si="2"/>
        <v>1.2851045114892574</v>
      </c>
      <c r="F12" s="171">
        <f t="shared" si="3"/>
        <v>2801.3285828621833</v>
      </c>
      <c r="G12" s="25">
        <v>11</v>
      </c>
      <c r="J12" s="178"/>
      <c r="K12" s="178" t="s">
        <v>178</v>
      </c>
      <c r="L12" s="178" t="s">
        <v>179</v>
      </c>
      <c r="M12" s="178" t="s">
        <v>180</v>
      </c>
      <c r="N12" s="178" t="s">
        <v>181</v>
      </c>
      <c r="O12" s="178" t="s">
        <v>182</v>
      </c>
    </row>
    <row r="13" spans="1:15" ht="15.6">
      <c r="A13" s="24">
        <v>44166</v>
      </c>
      <c r="B13" s="105">
        <f>'Pivot Table and Chart Pt1'!B13</f>
        <v>4130</v>
      </c>
      <c r="C13" s="173">
        <f t="shared" si="0"/>
        <v>2944.4166666666665</v>
      </c>
      <c r="D13" s="172">
        <f t="shared" si="1"/>
        <v>1.4026547420258682</v>
      </c>
      <c r="E13" s="172">
        <f t="shared" si="2"/>
        <v>1.5238002738201839</v>
      </c>
      <c r="F13" s="172">
        <f t="shared" si="3"/>
        <v>2710.3289525247592</v>
      </c>
      <c r="G13" s="25">
        <v>12</v>
      </c>
      <c r="J13" t="s">
        <v>174</v>
      </c>
      <c r="K13">
        <v>1</v>
      </c>
      <c r="L13">
        <v>3398126.0290039042</v>
      </c>
      <c r="M13">
        <v>3398126.0290039042</v>
      </c>
      <c r="N13">
        <v>51.460652006995666</v>
      </c>
      <c r="O13">
        <v>2.6953586212899764E-8</v>
      </c>
    </row>
    <row r="14" spans="1:15" ht="15.6">
      <c r="A14" s="24">
        <v>44197</v>
      </c>
      <c r="B14" s="105">
        <f>'Pivot Table and Chart Pt1'!B14</f>
        <v>2634</v>
      </c>
      <c r="C14" s="171">
        <f>SUM($B$14:$B$25)/12</f>
        <v>3379.5833333333335</v>
      </c>
      <c r="D14" s="171">
        <f>B14/C14</f>
        <v>0.77938601898656146</v>
      </c>
      <c r="E14" s="171">
        <f>E2</f>
        <v>0.78212665904269807</v>
      </c>
      <c r="F14" s="171">
        <f>B14/E2</f>
        <v>3367.740978454749</v>
      </c>
      <c r="G14" s="25">
        <v>13</v>
      </c>
      <c r="J14" t="s">
        <v>175</v>
      </c>
      <c r="K14">
        <v>34</v>
      </c>
      <c r="L14">
        <v>2245138.3820482204</v>
      </c>
      <c r="M14">
        <v>66033.481824947652</v>
      </c>
    </row>
    <row r="15" spans="1:15" ht="16.2" thickBot="1">
      <c r="A15" s="24">
        <v>44228</v>
      </c>
      <c r="B15" s="105">
        <f>'Pivot Table and Chart Pt1'!B15</f>
        <v>2508</v>
      </c>
      <c r="C15" s="171">
        <f t="shared" ref="C15:C25" si="4">SUM($B$14:$B$25)/12</f>
        <v>3379.5833333333335</v>
      </c>
      <c r="D15" s="171">
        <f t="shared" ref="D15:D36" si="5">B15/C15</f>
        <v>0.74210331648378747</v>
      </c>
      <c r="E15" s="171">
        <f t="shared" ref="E15:E25" si="6">E3</f>
        <v>0.80246456190644644</v>
      </c>
      <c r="F15" s="171">
        <f>B15/E3</f>
        <v>3125.371660078853</v>
      </c>
      <c r="G15" s="25">
        <v>14</v>
      </c>
      <c r="J15" s="177" t="s">
        <v>176</v>
      </c>
      <c r="K15" s="177">
        <v>35</v>
      </c>
      <c r="L15" s="177">
        <v>5643264.4110521246</v>
      </c>
      <c r="M15" s="177"/>
      <c r="N15" s="177"/>
      <c r="O15" s="177"/>
    </row>
    <row r="16" spans="1:15" ht="16.2" thickBot="1">
      <c r="A16" s="24">
        <v>44256</v>
      </c>
      <c r="B16" s="105">
        <f>'Pivot Table and Chart Pt1'!B16</f>
        <v>2653</v>
      </c>
      <c r="C16" s="171">
        <f t="shared" si="4"/>
        <v>3379.5833333333335</v>
      </c>
      <c r="D16" s="171">
        <f t="shared" si="5"/>
        <v>0.78500801380840834</v>
      </c>
      <c r="E16" s="171">
        <f t="shared" si="6"/>
        <v>0.87977368869133554</v>
      </c>
      <c r="F16" s="171">
        <f t="shared" ref="F16:F24" si="7">B16/E4</f>
        <v>3015.5482416692194</v>
      </c>
      <c r="G16" s="25">
        <v>15</v>
      </c>
    </row>
    <row r="17" spans="1:18" ht="15.6">
      <c r="A17" s="24">
        <v>44287</v>
      </c>
      <c r="B17" s="105">
        <f>'Pivot Table and Chart Pt1'!B17</f>
        <v>3270</v>
      </c>
      <c r="C17" s="171">
        <f t="shared" si="4"/>
        <v>3379.5833333333335</v>
      </c>
      <c r="D17" s="171">
        <f t="shared" si="5"/>
        <v>0.96757489828627785</v>
      </c>
      <c r="E17" s="171">
        <f t="shared" si="6"/>
        <v>0.98518571553569612</v>
      </c>
      <c r="F17" s="171">
        <f t="shared" si="7"/>
        <v>3319.1711455356749</v>
      </c>
      <c r="G17" s="25">
        <v>16</v>
      </c>
      <c r="J17" s="178"/>
      <c r="K17" s="178" t="s">
        <v>183</v>
      </c>
      <c r="L17" s="178" t="s">
        <v>171</v>
      </c>
      <c r="M17" s="178" t="s">
        <v>184</v>
      </c>
      <c r="N17" s="178" t="s">
        <v>185</v>
      </c>
      <c r="O17" s="178" t="s">
        <v>186</v>
      </c>
      <c r="P17" s="178" t="s">
        <v>187</v>
      </c>
      <c r="Q17" s="178" t="s">
        <v>188</v>
      </c>
      <c r="R17" s="178" t="s">
        <v>189</v>
      </c>
    </row>
    <row r="18" spans="1:18" ht="15.6">
      <c r="A18" s="24">
        <v>44317</v>
      </c>
      <c r="B18" s="105">
        <f>'Pivot Table and Chart Pt1'!B18</f>
        <v>3770</v>
      </c>
      <c r="C18" s="171">
        <f t="shared" si="4"/>
        <v>3379.5833333333335</v>
      </c>
      <c r="D18" s="171">
        <f t="shared" si="5"/>
        <v>1.115522130440143</v>
      </c>
      <c r="E18" s="171">
        <f t="shared" si="6"/>
        <v>0.99314427583489462</v>
      </c>
      <c r="F18" s="171">
        <f t="shared" si="7"/>
        <v>3796.0244968745551</v>
      </c>
      <c r="G18" s="25">
        <v>17</v>
      </c>
      <c r="J18" t="s">
        <v>177</v>
      </c>
      <c r="K18">
        <v>2817.2030961535629</v>
      </c>
      <c r="L18">
        <v>87.472845430182872</v>
      </c>
      <c r="M18">
        <v>32.206601743647809</v>
      </c>
      <c r="N18">
        <v>4.6399082401889177E-27</v>
      </c>
      <c r="O18">
        <v>2639.436886313676</v>
      </c>
      <c r="P18">
        <v>2994.9693059934498</v>
      </c>
      <c r="Q18">
        <v>2639.436886313676</v>
      </c>
      <c r="R18">
        <v>2994.9693059934498</v>
      </c>
    </row>
    <row r="19" spans="1:18" ht="16.2" thickBot="1">
      <c r="A19" s="24">
        <v>44348</v>
      </c>
      <c r="B19" s="105">
        <f>'Pivot Table and Chart Pt1'!B19</f>
        <v>3588</v>
      </c>
      <c r="C19" s="171">
        <f t="shared" si="4"/>
        <v>3379.5833333333335</v>
      </c>
      <c r="D19" s="171">
        <f t="shared" si="5"/>
        <v>1.0616693379361362</v>
      </c>
      <c r="E19" s="171">
        <f t="shared" si="6"/>
        <v>1.1145969096836441</v>
      </c>
      <c r="F19" s="171">
        <f t="shared" si="7"/>
        <v>3219.1009761711807</v>
      </c>
      <c r="G19" s="25">
        <v>18</v>
      </c>
      <c r="J19" s="177" t="s">
        <v>13</v>
      </c>
      <c r="K19" s="177">
        <v>29.574964320250992</v>
      </c>
      <c r="L19" s="177">
        <v>4.1227460774072355</v>
      </c>
      <c r="M19" s="177">
        <v>7.1736080187723976</v>
      </c>
      <c r="N19" s="177">
        <v>2.6953586212899857E-8</v>
      </c>
      <c r="O19" s="177">
        <v>21.196536241128975</v>
      </c>
      <c r="P19" s="177">
        <v>37.953392399373008</v>
      </c>
      <c r="Q19" s="177">
        <v>21.196536241128975</v>
      </c>
      <c r="R19" s="177">
        <v>37.953392399373008</v>
      </c>
    </row>
    <row r="20" spans="1:18" ht="15.6">
      <c r="A20" s="24">
        <v>44378</v>
      </c>
      <c r="B20" s="105">
        <f>'Pivot Table and Chart Pt1'!B20</f>
        <v>2658</v>
      </c>
      <c r="C20" s="171">
        <f t="shared" si="4"/>
        <v>3379.5833333333335</v>
      </c>
      <c r="D20" s="171">
        <f t="shared" si="5"/>
        <v>0.7864874861299469</v>
      </c>
      <c r="E20" s="171">
        <f t="shared" si="6"/>
        <v>0.83107056872337781</v>
      </c>
      <c r="F20" s="171">
        <f t="shared" si="7"/>
        <v>3198.2843575883103</v>
      </c>
      <c r="G20" s="25">
        <v>19</v>
      </c>
    </row>
    <row r="21" spans="1:18" ht="15.6">
      <c r="A21" s="24">
        <v>44409</v>
      </c>
      <c r="B21" s="105">
        <f>'Pivot Table and Chart Pt1'!B21</f>
        <v>3065</v>
      </c>
      <c r="C21" s="171">
        <f t="shared" si="4"/>
        <v>3379.5833333333335</v>
      </c>
      <c r="D21" s="171">
        <f t="shared" si="5"/>
        <v>0.9069165331031932</v>
      </c>
      <c r="E21" s="171">
        <f t="shared" si="6"/>
        <v>0.86773035945606392</v>
      </c>
      <c r="F21" s="171">
        <f t="shared" si="7"/>
        <v>3532.2032548466932</v>
      </c>
      <c r="G21" s="25">
        <v>20</v>
      </c>
    </row>
    <row r="22" spans="1:18" ht="15.6">
      <c r="A22" s="24">
        <v>44440</v>
      </c>
      <c r="B22" s="105">
        <f>'Pivot Table and Chart Pt1'!B22</f>
        <v>3095</v>
      </c>
      <c r="C22" s="171">
        <f t="shared" si="4"/>
        <v>3379.5833333333335</v>
      </c>
      <c r="D22" s="171">
        <f t="shared" si="5"/>
        <v>0.91579336703242509</v>
      </c>
      <c r="E22" s="171">
        <f t="shared" si="6"/>
        <v>0.8808284418221447</v>
      </c>
      <c r="F22" s="171">
        <f t="shared" si="7"/>
        <v>3513.7375827663577</v>
      </c>
      <c r="G22" s="25">
        <v>21</v>
      </c>
    </row>
    <row r="23" spans="1:18" ht="15.6">
      <c r="A23" s="24">
        <v>44470</v>
      </c>
      <c r="B23" s="105">
        <f>'Pivot Table and Chart Pt1'!B23</f>
        <v>3634</v>
      </c>
      <c r="C23" s="171">
        <f t="shared" si="4"/>
        <v>3379.5833333333335</v>
      </c>
      <c r="D23" s="171">
        <f t="shared" si="5"/>
        <v>1.0752804832942917</v>
      </c>
      <c r="E23" s="171">
        <f t="shared" si="6"/>
        <v>1.0541740339942574</v>
      </c>
      <c r="F23" s="171">
        <f t="shared" si="7"/>
        <v>3447.2486352474475</v>
      </c>
      <c r="G23" s="25">
        <v>22</v>
      </c>
    </row>
    <row r="24" spans="1:18" ht="15.6">
      <c r="A24" s="24">
        <v>44501</v>
      </c>
      <c r="B24" s="105">
        <f>'Pivot Table and Chart Pt1'!B24</f>
        <v>4350</v>
      </c>
      <c r="C24" s="171">
        <f t="shared" si="4"/>
        <v>3379.5833333333335</v>
      </c>
      <c r="D24" s="171">
        <f t="shared" si="5"/>
        <v>1.2871409197386265</v>
      </c>
      <c r="E24" s="171">
        <f t="shared" si="6"/>
        <v>1.2851045114892574</v>
      </c>
      <c r="F24" s="171">
        <f t="shared" si="7"/>
        <v>3384.9387042918052</v>
      </c>
      <c r="G24" s="25">
        <v>23</v>
      </c>
    </row>
    <row r="25" spans="1:18" ht="15.6">
      <c r="A25" s="24">
        <v>44531</v>
      </c>
      <c r="B25" s="105">
        <f>'Pivot Table and Chart Pt1'!B25</f>
        <v>5330</v>
      </c>
      <c r="C25" s="173">
        <f t="shared" si="4"/>
        <v>3379.5833333333335</v>
      </c>
      <c r="D25" s="172">
        <f>B25/C25</f>
        <v>1.577117494760202</v>
      </c>
      <c r="E25" s="172">
        <f t="shared" si="6"/>
        <v>1.5238002738201839</v>
      </c>
      <c r="F25" s="172">
        <f>B25/E13</f>
        <v>3497.8337329193623</v>
      </c>
      <c r="G25" s="25">
        <v>24</v>
      </c>
    </row>
    <row r="26" spans="1:18" ht="15.6">
      <c r="A26" s="24">
        <v>44562</v>
      </c>
      <c r="B26" s="105">
        <f>'Pivot Table and Chart Pt1'!B26</f>
        <v>2810</v>
      </c>
      <c r="C26" s="171">
        <f>SUM($B$26:$B$37)/12</f>
        <v>3774.75</v>
      </c>
      <c r="D26" s="171">
        <f t="shared" si="5"/>
        <v>0.74442016027551494</v>
      </c>
      <c r="E26" s="171">
        <f>E14</f>
        <v>0.78212665904269807</v>
      </c>
      <c r="F26" s="171">
        <f>B26/E2</f>
        <v>3592.7684698017633</v>
      </c>
      <c r="G26" s="25">
        <v>25</v>
      </c>
    </row>
    <row r="27" spans="1:18" ht="15.6">
      <c r="A27" s="24">
        <v>44593</v>
      </c>
      <c r="B27" s="105">
        <f>'Pivot Table and Chart Pt1'!B27</f>
        <v>2999</v>
      </c>
      <c r="C27" s="171">
        <f t="shared" ref="C27:C37" si="8">SUM($B$26:$B$37)/12</f>
        <v>3774.75</v>
      </c>
      <c r="D27" s="171">
        <f t="shared" si="5"/>
        <v>0.79448970130472218</v>
      </c>
      <c r="E27" s="171">
        <f t="shared" ref="E27:E37" si="9">E15</f>
        <v>0.80246456190644644</v>
      </c>
      <c r="F27" s="171">
        <f>B27/E3</f>
        <v>3737.236686035279</v>
      </c>
      <c r="G27" s="25">
        <v>26</v>
      </c>
    </row>
    <row r="28" spans="1:18" ht="15.6">
      <c r="A28" s="24">
        <v>44621</v>
      </c>
      <c r="B28" s="105">
        <f>'Pivot Table and Chart Pt1'!B28</f>
        <v>3051</v>
      </c>
      <c r="C28" s="171">
        <f t="shared" si="8"/>
        <v>3774.75</v>
      </c>
      <c r="D28" s="171">
        <f t="shared" si="5"/>
        <v>0.80826544804291678</v>
      </c>
      <c r="E28" s="171">
        <f t="shared" si="9"/>
        <v>0.87977368869133554</v>
      </c>
      <c r="F28" s="171">
        <f t="shared" ref="F28:F37" si="10">B28/E4</f>
        <v>3467.9373107172214</v>
      </c>
      <c r="G28" s="25">
        <v>27</v>
      </c>
    </row>
    <row r="29" spans="1:18" ht="15.6">
      <c r="A29" s="24">
        <v>44652</v>
      </c>
      <c r="B29" s="105">
        <f>'Pivot Table and Chart Pt1'!B29</f>
        <v>3653</v>
      </c>
      <c r="C29" s="171">
        <f t="shared" si="8"/>
        <v>3774.75</v>
      </c>
      <c r="D29" s="171">
        <f t="shared" si="5"/>
        <v>0.96774620835816938</v>
      </c>
      <c r="E29" s="171">
        <f t="shared" si="9"/>
        <v>0.98518571553569612</v>
      </c>
      <c r="F29" s="171">
        <f t="shared" si="10"/>
        <v>3707.9303347528503</v>
      </c>
      <c r="G29" s="25">
        <v>28</v>
      </c>
    </row>
    <row r="30" spans="1:18" ht="15.6">
      <c r="A30" s="24">
        <v>44682</v>
      </c>
      <c r="B30" s="105">
        <f>'Pivot Table and Chart Pt1'!B30</f>
        <v>3709</v>
      </c>
      <c r="C30" s="171">
        <f t="shared" si="8"/>
        <v>3774.75</v>
      </c>
      <c r="D30" s="171">
        <f t="shared" si="5"/>
        <v>0.98258162792237902</v>
      </c>
      <c r="E30" s="171">
        <f t="shared" si="9"/>
        <v>0.99314427583489462</v>
      </c>
      <c r="F30" s="171">
        <f t="shared" si="10"/>
        <v>3734.6034108508552</v>
      </c>
      <c r="G30" s="25">
        <v>29</v>
      </c>
    </row>
    <row r="31" spans="1:18" ht="15.6">
      <c r="A31" s="24">
        <v>44713</v>
      </c>
      <c r="B31" s="105">
        <f>'Pivot Table and Chart Pt1'!B31</f>
        <v>3930</v>
      </c>
      <c r="C31" s="171">
        <f t="shared" si="8"/>
        <v>3774.75</v>
      </c>
      <c r="D31" s="171">
        <f t="shared" si="5"/>
        <v>1.041128551559706</v>
      </c>
      <c r="E31" s="171">
        <f t="shared" si="9"/>
        <v>1.1145969096836441</v>
      </c>
      <c r="F31" s="171">
        <f t="shared" si="10"/>
        <v>3525.938360187497</v>
      </c>
      <c r="G31" s="25">
        <v>30</v>
      </c>
    </row>
    <row r="32" spans="1:18" ht="15.6">
      <c r="A32" s="24">
        <v>44743</v>
      </c>
      <c r="B32" s="105">
        <f>'Pivot Table and Chart Pt1'!B32</f>
        <v>2949</v>
      </c>
      <c r="C32" s="171">
        <f t="shared" si="8"/>
        <v>3774.75</v>
      </c>
      <c r="D32" s="171">
        <f t="shared" si="5"/>
        <v>0.78124379097953511</v>
      </c>
      <c r="E32" s="171">
        <f t="shared" si="9"/>
        <v>0.83107056872337781</v>
      </c>
      <c r="F32" s="171">
        <f t="shared" si="10"/>
        <v>3548.435128114344</v>
      </c>
      <c r="G32" s="25">
        <v>31</v>
      </c>
    </row>
    <row r="33" spans="1:9" ht="15.6">
      <c r="A33" s="24">
        <v>44774</v>
      </c>
      <c r="B33" s="105">
        <f>'Pivot Table and Chart Pt1'!B33</f>
        <v>3348</v>
      </c>
      <c r="C33" s="171">
        <f t="shared" si="8"/>
        <v>3774.75</v>
      </c>
      <c r="D33" s="171">
        <f t="shared" si="5"/>
        <v>0.88694615537452814</v>
      </c>
      <c r="E33" s="171">
        <f t="shared" si="9"/>
        <v>0.86773035945606392</v>
      </c>
      <c r="F33" s="171">
        <f t="shared" si="10"/>
        <v>3858.3414346579866</v>
      </c>
      <c r="G33" s="25">
        <v>32</v>
      </c>
    </row>
    <row r="34" spans="1:9" ht="15.6">
      <c r="A34" s="24">
        <v>44805</v>
      </c>
      <c r="B34" s="105">
        <f>'Pivot Table and Chart Pt1'!B34</f>
        <v>3400</v>
      </c>
      <c r="C34" s="171">
        <f t="shared" si="8"/>
        <v>3774.75</v>
      </c>
      <c r="D34" s="171">
        <f t="shared" si="5"/>
        <v>0.90072190211272274</v>
      </c>
      <c r="E34" s="171">
        <f t="shared" si="9"/>
        <v>0.8808284418221447</v>
      </c>
      <c r="F34" s="171">
        <f t="shared" si="10"/>
        <v>3860.0025141859824</v>
      </c>
      <c r="G34" s="25">
        <v>33</v>
      </c>
    </row>
    <row r="35" spans="1:9" ht="15.6">
      <c r="A35" s="24">
        <v>44835</v>
      </c>
      <c r="B35" s="105">
        <f>'Pivot Table and Chart Pt1'!B35</f>
        <v>4361</v>
      </c>
      <c r="C35" s="171">
        <f t="shared" si="8"/>
        <v>3774.75</v>
      </c>
      <c r="D35" s="171">
        <f t="shared" si="5"/>
        <v>1.1553082985628187</v>
      </c>
      <c r="E35" s="171">
        <f t="shared" si="9"/>
        <v>1.0541740339942574</v>
      </c>
      <c r="F35" s="171">
        <f t="shared" si="10"/>
        <v>4136.8880842911722</v>
      </c>
      <c r="G35" s="25">
        <v>34</v>
      </c>
    </row>
    <row r="36" spans="1:9" ht="16.2" thickBot="1">
      <c r="A36" s="24">
        <v>44866</v>
      </c>
      <c r="B36" s="105">
        <f>'Pivot Table and Chart Pt1'!B36</f>
        <v>5079</v>
      </c>
      <c r="C36" s="171">
        <f t="shared" si="8"/>
        <v>3774.75</v>
      </c>
      <c r="D36" s="171">
        <f t="shared" si="5"/>
        <v>1.3455195708325054</v>
      </c>
      <c r="E36" s="171">
        <f t="shared" si="9"/>
        <v>1.2851045114892574</v>
      </c>
      <c r="F36" s="171">
        <f t="shared" si="10"/>
        <v>3952.2077423213973</v>
      </c>
      <c r="G36" s="25">
        <v>35</v>
      </c>
      <c r="I36" s="84" t="s">
        <v>136</v>
      </c>
    </row>
    <row r="37" spans="1:9" ht="16.2" thickBot="1">
      <c r="A37" s="24">
        <v>44896</v>
      </c>
      <c r="B37" s="105">
        <f>'Pivot Table and Chart Pt1'!B37</f>
        <v>6008</v>
      </c>
      <c r="C37" s="173">
        <f t="shared" si="8"/>
        <v>3774.75</v>
      </c>
      <c r="D37" s="171">
        <f>B37/C37</f>
        <v>1.5916285846744818</v>
      </c>
      <c r="E37" s="171">
        <f t="shared" si="9"/>
        <v>1.5238002738201839</v>
      </c>
      <c r="F37" s="171">
        <f t="shared" si="10"/>
        <v>3942.773933842313</v>
      </c>
      <c r="G37" s="25">
        <v>36</v>
      </c>
      <c r="H37" s="88" t="s">
        <v>45</v>
      </c>
      <c r="I37" s="88" t="s">
        <v>46</v>
      </c>
    </row>
    <row r="38" spans="1:9">
      <c r="A38" s="134"/>
      <c r="B38" s="138"/>
      <c r="C38" s="139"/>
      <c r="D38" s="139"/>
      <c r="E38" s="140"/>
      <c r="F38" s="141"/>
      <c r="G38" s="25">
        <v>37</v>
      </c>
      <c r="H38" s="175">
        <f>G38*$K$19+$K$18</f>
        <v>3911.4767760028499</v>
      </c>
      <c r="I38" s="87">
        <f>H38*E2</f>
        <v>3059.2702627382128</v>
      </c>
    </row>
    <row r="39" spans="1:9">
      <c r="A39" s="150"/>
      <c r="B39" s="142"/>
      <c r="C39" s="143"/>
      <c r="D39" s="143"/>
      <c r="E39" s="144"/>
      <c r="F39" s="145"/>
      <c r="G39" s="25">
        <v>38</v>
      </c>
      <c r="H39" s="175">
        <f t="shared" ref="H39:H49" si="11">G39*$K$19+$K$18</f>
        <v>3941.0517403231006</v>
      </c>
      <c r="I39" s="87">
        <f t="shared" ref="I39:I48" si="12">H39*E3</f>
        <v>3162.5543582490154</v>
      </c>
    </row>
    <row r="40" spans="1:9">
      <c r="A40" s="150"/>
      <c r="B40" s="142" t="s">
        <v>134</v>
      </c>
      <c r="C40" s="143"/>
      <c r="D40" s="143"/>
      <c r="E40" s="144"/>
      <c r="F40" s="145"/>
      <c r="G40" s="25">
        <v>39</v>
      </c>
      <c r="H40" s="175">
        <f t="shared" si="11"/>
        <v>3970.6267046433513</v>
      </c>
      <c r="I40" s="87">
        <f>H40*E4</f>
        <v>3493.2529023604034</v>
      </c>
    </row>
    <row r="41" spans="1:9">
      <c r="A41" s="150"/>
      <c r="B41" s="142"/>
      <c r="C41" s="143"/>
      <c r="D41" s="143"/>
      <c r="E41" s="144"/>
      <c r="F41" s="145"/>
      <c r="G41" s="25">
        <v>40</v>
      </c>
      <c r="H41" s="175">
        <f t="shared" si="11"/>
        <v>4000.2016689636025</v>
      </c>
      <c r="I41" s="87">
        <f t="shared" si="12"/>
        <v>3940.9415435249925</v>
      </c>
    </row>
    <row r="42" spans="1:9">
      <c r="A42" s="150"/>
      <c r="B42" s="142"/>
      <c r="C42" s="143"/>
      <c r="D42" s="143"/>
      <c r="E42" s="144"/>
      <c r="F42" s="145"/>
      <c r="G42" s="25">
        <v>41</v>
      </c>
      <c r="H42" s="175">
        <f t="shared" si="11"/>
        <v>4029.7766332838537</v>
      </c>
      <c r="I42" s="87">
        <f t="shared" si="12"/>
        <v>4002.1495962390727</v>
      </c>
    </row>
    <row r="43" spans="1:9">
      <c r="A43" s="150"/>
      <c r="B43" s="142"/>
      <c r="C43" s="143"/>
      <c r="D43" s="143"/>
      <c r="E43" s="144"/>
      <c r="F43" s="145"/>
      <c r="G43" s="25">
        <v>42</v>
      </c>
      <c r="H43" s="175">
        <f t="shared" si="11"/>
        <v>4059.3515976041044</v>
      </c>
      <c r="I43" s="87">
        <f t="shared" si="12"/>
        <v>4524.5407460088982</v>
      </c>
    </row>
    <row r="44" spans="1:9">
      <c r="A44" s="150"/>
      <c r="B44" s="142"/>
      <c r="C44" s="143"/>
      <c r="D44" s="143"/>
      <c r="E44" s="144"/>
      <c r="F44" s="145"/>
      <c r="G44" s="25">
        <v>43</v>
      </c>
      <c r="H44" s="175">
        <f t="shared" si="11"/>
        <v>4088.9265619243556</v>
      </c>
      <c r="I44" s="87">
        <f t="shared" si="12"/>
        <v>3398.1865232866003</v>
      </c>
    </row>
    <row r="45" spans="1:9">
      <c r="A45" s="150"/>
      <c r="B45" s="142"/>
      <c r="C45" s="143"/>
      <c r="D45" s="143"/>
      <c r="E45" s="144"/>
      <c r="F45" s="145"/>
      <c r="G45" s="25">
        <v>44</v>
      </c>
      <c r="H45" s="175">
        <f t="shared" si="11"/>
        <v>4118.5015262446068</v>
      </c>
      <c r="I45" s="87">
        <f t="shared" si="12"/>
        <v>3573.7488097885807</v>
      </c>
    </row>
    <row r="46" spans="1:9">
      <c r="A46" s="150"/>
      <c r="B46" s="142"/>
      <c r="C46" s="143"/>
      <c r="D46" s="143"/>
      <c r="E46" s="144"/>
      <c r="F46" s="145"/>
      <c r="G46" s="25">
        <v>45</v>
      </c>
      <c r="H46" s="175">
        <f t="shared" si="11"/>
        <v>4148.0764905648575</v>
      </c>
      <c r="I46" s="87">
        <f t="shared" si="12"/>
        <v>3653.7437517433136</v>
      </c>
    </row>
    <row r="47" spans="1:9">
      <c r="A47" s="150"/>
      <c r="B47" s="142"/>
      <c r="C47" s="143"/>
      <c r="D47" s="143"/>
      <c r="E47" s="144"/>
      <c r="F47" s="145"/>
      <c r="G47" s="25">
        <v>46</v>
      </c>
      <c r="H47" s="175">
        <f t="shared" si="11"/>
        <v>4177.6514548851083</v>
      </c>
      <c r="I47" s="87">
        <f t="shared" si="12"/>
        <v>4403.9716868182131</v>
      </c>
    </row>
    <row r="48" spans="1:9">
      <c r="A48" s="150"/>
      <c r="B48" s="142"/>
      <c r="C48" s="143"/>
      <c r="D48" s="143"/>
      <c r="E48" s="144"/>
      <c r="F48" s="145"/>
      <c r="G48" s="25">
        <v>47</v>
      </c>
      <c r="H48" s="175">
        <f t="shared" si="11"/>
        <v>4207.226419205359</v>
      </c>
      <c r="I48" s="87">
        <f t="shared" si="12"/>
        <v>5406.7256521776008</v>
      </c>
    </row>
    <row r="49" spans="1:9" ht="15" thickBot="1">
      <c r="A49" s="150"/>
      <c r="B49" s="146"/>
      <c r="C49" s="147"/>
      <c r="D49" s="147"/>
      <c r="E49" s="148"/>
      <c r="F49" s="149"/>
      <c r="G49" s="25">
        <v>48</v>
      </c>
      <c r="H49" s="175">
        <f t="shared" si="11"/>
        <v>4236.8013835256106</v>
      </c>
      <c r="I49" s="87">
        <f>H49*E13</f>
        <v>6456.0391083380591</v>
      </c>
    </row>
    <row r="50" spans="1:9" ht="47.4" thickBot="1">
      <c r="C50" s="135" t="s">
        <v>119</v>
      </c>
      <c r="E50" s="136" t="s">
        <v>117</v>
      </c>
      <c r="F50" s="137" t="s">
        <v>115</v>
      </c>
      <c r="H50" t="s">
        <v>113</v>
      </c>
      <c r="I50" s="87">
        <f>AVERAGE(I38:I49)</f>
        <v>4089.59374510608</v>
      </c>
    </row>
    <row r="51" spans="1:9" ht="15.9" customHeight="1" thickBot="1">
      <c r="C51" s="94">
        <f>MAX(C2:C37)</f>
        <v>3774.75</v>
      </c>
      <c r="E51" s="92">
        <f>MAX(E2:E13)</f>
        <v>1.5238002738201839</v>
      </c>
      <c r="F51" s="89">
        <f>SUM(F2:F37)</f>
        <v>121116.23769881543</v>
      </c>
      <c r="H51" s="182" t="s">
        <v>99</v>
      </c>
      <c r="I51" s="182"/>
    </row>
    <row r="52" spans="1:9" ht="47.4" thickBot="1">
      <c r="C52" s="58" t="s">
        <v>114</v>
      </c>
      <c r="F52" s="90" t="s">
        <v>116</v>
      </c>
      <c r="H52" s="182"/>
      <c r="I52" s="182"/>
    </row>
    <row r="53" spans="1:9" ht="15" thickBot="1">
      <c r="C53" s="174">
        <f>SUM(B2:B37)</f>
        <v>121185</v>
      </c>
      <c r="F53" s="91">
        <f>AVERAGE(F2:F37)</f>
        <v>3364.3399360782064</v>
      </c>
    </row>
    <row r="54" spans="1:9" ht="15" thickBot="1">
      <c r="C54" s="67" t="s">
        <v>135</v>
      </c>
    </row>
    <row r="55" spans="1:9" ht="15" thickBot="1">
      <c r="C55" s="93">
        <f>AVERAGE(C13,C25,C37)</f>
        <v>3366.25</v>
      </c>
    </row>
    <row r="100" spans="26:26">
      <c r="Z100" t="s">
        <v>107</v>
      </c>
    </row>
    <row r="102" spans="26:26">
      <c r="Z102" t="s">
        <v>106</v>
      </c>
    </row>
  </sheetData>
  <mergeCells count="1">
    <mergeCell ref="H51:I5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5334-9214-44BF-9E53-91B8F829E777}">
  <sheetPr codeName="Sheet6"/>
  <dimension ref="A1:Z201"/>
  <sheetViews>
    <sheetView topLeftCell="C31" workbookViewId="0">
      <selection activeCell="N73" sqref="N73"/>
    </sheetView>
  </sheetViews>
  <sheetFormatPr defaultColWidth="8.88671875" defaultRowHeight="14.4"/>
  <cols>
    <col min="1" max="1" width="27.5546875" bestFit="1" customWidth="1"/>
    <col min="2" max="13" width="13.44140625" customWidth="1"/>
    <col min="14" max="14" width="14.44140625" bestFit="1" customWidth="1"/>
  </cols>
  <sheetData>
    <row r="1" spans="1:26">
      <c r="A1" s="27" t="s">
        <v>47</v>
      </c>
      <c r="B1" s="183" t="s">
        <v>122</v>
      </c>
      <c r="C1" s="183"/>
      <c r="D1" s="184"/>
      <c r="E1" s="28" t="s">
        <v>32</v>
      </c>
      <c r="F1" s="28" t="s">
        <v>33</v>
      </c>
      <c r="G1" s="28" t="s">
        <v>34</v>
      </c>
      <c r="Z1" t="s">
        <v>100</v>
      </c>
    </row>
    <row r="2" spans="1:26">
      <c r="A2" s="55" t="s">
        <v>101</v>
      </c>
      <c r="B2" s="183"/>
      <c r="C2" s="183"/>
      <c r="D2" s="184"/>
      <c r="E2" s="28">
        <f>'Financial information 1 Pt1'!B31</f>
        <v>4000</v>
      </c>
      <c r="F2" s="28">
        <f>'Financial information 1 Pt1'!B32</f>
        <v>3</v>
      </c>
      <c r="G2" s="28">
        <f>'Financial information 1 Pt1'!B33</f>
        <v>1.25</v>
      </c>
      <c r="Z2" t="s">
        <v>8</v>
      </c>
    </row>
    <row r="3" spans="1:26" ht="15" thickBot="1">
      <c r="A3" s="27" t="s">
        <v>48</v>
      </c>
    </row>
    <row r="4" spans="1:26">
      <c r="A4" s="61" t="s">
        <v>7</v>
      </c>
      <c r="B4" s="59">
        <v>44927</v>
      </c>
      <c r="C4" s="59">
        <v>44958</v>
      </c>
      <c r="D4" s="59">
        <v>44986</v>
      </c>
      <c r="E4" s="59">
        <v>45017</v>
      </c>
      <c r="F4" s="59">
        <v>45047</v>
      </c>
      <c r="G4" s="59">
        <v>45078</v>
      </c>
      <c r="H4" s="59">
        <v>45108</v>
      </c>
      <c r="I4" s="59">
        <v>45139</v>
      </c>
      <c r="J4" s="59">
        <v>45170</v>
      </c>
      <c r="K4" s="59">
        <v>45200</v>
      </c>
      <c r="L4" s="59">
        <v>45231</v>
      </c>
      <c r="M4" s="59">
        <v>45261</v>
      </c>
      <c r="N4" s="68" t="s">
        <v>102</v>
      </c>
    </row>
    <row r="5" spans="1:26">
      <c r="A5" s="29" t="s">
        <v>39</v>
      </c>
      <c r="B5" s="74">
        <f>'SI and regression Pt 2'!I38</f>
        <v>3059.2702627382128</v>
      </c>
      <c r="C5" s="74">
        <f>'SI and regression Pt 2'!I39</f>
        <v>3162.5543582490154</v>
      </c>
      <c r="D5" s="74">
        <f>'SI and regression Pt 2'!I40</f>
        <v>3493.2529023604034</v>
      </c>
      <c r="E5" s="74">
        <f>'SI and regression Pt 2'!I41</f>
        <v>3940.9415435249925</v>
      </c>
      <c r="F5" s="74">
        <f>'SI and regression Pt 2'!I42</f>
        <v>4002.1495962390727</v>
      </c>
      <c r="G5" s="74">
        <f>'SI and regression Pt 2'!I43</f>
        <v>4524.5407460088982</v>
      </c>
      <c r="H5" s="74">
        <f>'SI and regression Pt 2'!I44</f>
        <v>3398.1865232866003</v>
      </c>
      <c r="I5" s="74">
        <f>'SI and regression Pt 2'!I45</f>
        <v>3573.7488097885807</v>
      </c>
      <c r="J5" s="74">
        <f>'SI and regression Pt 2'!I46</f>
        <v>3653.7437517433136</v>
      </c>
      <c r="K5" s="74">
        <f>'SI and regression Pt 2'!I47</f>
        <v>4403.9716868182131</v>
      </c>
      <c r="L5" s="74">
        <f>'SI and regression Pt 2'!I48</f>
        <v>5406.7256521776008</v>
      </c>
      <c r="M5" s="74">
        <f>'SI and regression Pt 2'!I49</f>
        <v>6456.0391083380591</v>
      </c>
      <c r="N5" s="69">
        <f>SUM(B5:M5)</f>
        <v>49075.124941272959</v>
      </c>
    </row>
    <row r="6" spans="1:26">
      <c r="A6" s="29" t="s">
        <v>49</v>
      </c>
      <c r="B6" s="74">
        <f>MIN($E$2,B5)</f>
        <v>3059.2702627382128</v>
      </c>
      <c r="C6" s="74">
        <f t="shared" ref="C6:M6" si="0">MIN($E$2,C5)</f>
        <v>3162.5543582490154</v>
      </c>
      <c r="D6" s="74">
        <f t="shared" si="0"/>
        <v>3493.2529023604034</v>
      </c>
      <c r="E6" s="74">
        <f t="shared" si="0"/>
        <v>3940.9415435249925</v>
      </c>
      <c r="F6" s="74">
        <f t="shared" si="0"/>
        <v>4000</v>
      </c>
      <c r="G6" s="74">
        <f t="shared" si="0"/>
        <v>4000</v>
      </c>
      <c r="H6" s="74">
        <f t="shared" si="0"/>
        <v>3398.1865232866003</v>
      </c>
      <c r="I6" s="74">
        <f t="shared" si="0"/>
        <v>3573.7488097885807</v>
      </c>
      <c r="J6" s="74">
        <f t="shared" si="0"/>
        <v>3653.7437517433136</v>
      </c>
      <c r="K6" s="74">
        <f t="shared" si="0"/>
        <v>4000</v>
      </c>
      <c r="L6" s="74">
        <f t="shared" si="0"/>
        <v>4000</v>
      </c>
      <c r="M6" s="74">
        <f t="shared" si="0"/>
        <v>4000</v>
      </c>
      <c r="N6" s="70">
        <f>SUM(B6:M6)</f>
        <v>44281.698151691118</v>
      </c>
    </row>
    <row r="7" spans="1:26">
      <c r="A7" s="29" t="s">
        <v>50</v>
      </c>
      <c r="B7" s="74">
        <f>IF(B5&lt;$E$2,$E$2-B5,0)</f>
        <v>940.72973726178725</v>
      </c>
      <c r="C7" s="74">
        <f t="shared" ref="C7:M7" si="1">IF(C5&lt;$E$2,$E$2-C5,0)</f>
        <v>837.44564175098458</v>
      </c>
      <c r="D7" s="74">
        <f t="shared" si="1"/>
        <v>506.74709763959663</v>
      </c>
      <c r="E7" s="74">
        <f t="shared" si="1"/>
        <v>59.058456475007461</v>
      </c>
      <c r="F7" s="74">
        <f t="shared" si="1"/>
        <v>0</v>
      </c>
      <c r="G7" s="74">
        <f t="shared" si="1"/>
        <v>0</v>
      </c>
      <c r="H7" s="74">
        <f t="shared" si="1"/>
        <v>601.81347671339972</v>
      </c>
      <c r="I7" s="74">
        <f t="shared" si="1"/>
        <v>426.25119021141927</v>
      </c>
      <c r="J7" s="74">
        <f t="shared" si="1"/>
        <v>346.25624825668638</v>
      </c>
      <c r="K7" s="74">
        <f t="shared" si="1"/>
        <v>0</v>
      </c>
      <c r="L7" s="74">
        <f t="shared" si="1"/>
        <v>0</v>
      </c>
      <c r="M7" s="74">
        <f t="shared" si="1"/>
        <v>0</v>
      </c>
      <c r="N7" s="70">
        <f>SUM(B7:M7)</f>
        <v>3718.3018483088813</v>
      </c>
    </row>
    <row r="8" spans="1:26">
      <c r="A8" s="30" t="s">
        <v>51</v>
      </c>
      <c r="B8" s="76">
        <f>IF(B5&gt;$E$2,B5-$E$2,0)</f>
        <v>0</v>
      </c>
      <c r="C8" s="76">
        <f t="shared" ref="C8:M8" si="2">IF(C5&gt;$E$2,C5-$E$2,0)</f>
        <v>0</v>
      </c>
      <c r="D8" s="76">
        <f t="shared" si="2"/>
        <v>0</v>
      </c>
      <c r="E8" s="76">
        <f t="shared" si="2"/>
        <v>0</v>
      </c>
      <c r="F8" s="76">
        <f t="shared" si="2"/>
        <v>2.1495962390727072</v>
      </c>
      <c r="G8" s="76">
        <f t="shared" si="2"/>
        <v>524.54074600889817</v>
      </c>
      <c r="H8" s="76">
        <f t="shared" si="2"/>
        <v>0</v>
      </c>
      <c r="I8" s="76">
        <f t="shared" si="2"/>
        <v>0</v>
      </c>
      <c r="J8" s="76">
        <f t="shared" si="2"/>
        <v>0</v>
      </c>
      <c r="K8" s="76">
        <f t="shared" si="2"/>
        <v>403.97168681821313</v>
      </c>
      <c r="L8" s="76">
        <f t="shared" si="2"/>
        <v>1406.7256521776008</v>
      </c>
      <c r="M8" s="76">
        <f t="shared" si="2"/>
        <v>2456.0391083380591</v>
      </c>
      <c r="N8" s="71">
        <f>SUM(B8:M8)</f>
        <v>4793.4267895818439</v>
      </c>
    </row>
    <row r="9" spans="1:26">
      <c r="A9" s="62" t="s">
        <v>52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69"/>
    </row>
    <row r="10" spans="1:26">
      <c r="A10" s="29" t="s">
        <v>53</v>
      </c>
      <c r="B10" s="74">
        <f>B6*'Financial information 1 Pt1'!$J$6</f>
        <v>9147.2180855872575</v>
      </c>
      <c r="C10" s="74">
        <f>C6*'Financial information 1 Pt1'!$J$6</f>
        <v>9456.0375311645566</v>
      </c>
      <c r="D10" s="74">
        <f>D6*'Financial information 1 Pt1'!$J$6</f>
        <v>10444.826178057607</v>
      </c>
      <c r="E10" s="74">
        <f>E6*'Financial information 1 Pt1'!$J$6</f>
        <v>11783.415215139728</v>
      </c>
      <c r="F10" s="74">
        <f>F6*'Financial information 1 Pt1'!$J$6</f>
        <v>11960</v>
      </c>
      <c r="G10" s="74">
        <f>G6*'Financial information 1 Pt1'!$J$6</f>
        <v>11960</v>
      </c>
      <c r="H10" s="74">
        <f>H6*'Financial information 1 Pt1'!$J$6</f>
        <v>10160.577704626936</v>
      </c>
      <c r="I10" s="74">
        <f>I6*'Financial information 1 Pt1'!$J$6</f>
        <v>10685.508941267857</v>
      </c>
      <c r="J10" s="74">
        <f>J6*'Financial information 1 Pt1'!$J$6</f>
        <v>10924.693817712508</v>
      </c>
      <c r="K10" s="74">
        <f>K6*'Financial information 1 Pt1'!$J$6</f>
        <v>11960</v>
      </c>
      <c r="L10" s="74">
        <f>L6*'Financial information 1 Pt1'!$J$6</f>
        <v>11960</v>
      </c>
      <c r="M10" s="74">
        <f>M6*'Financial information 1 Pt1'!$J$6</f>
        <v>11960</v>
      </c>
      <c r="N10" s="70">
        <f>SUM(B10:M10)</f>
        <v>132402.27747355646</v>
      </c>
    </row>
    <row r="11" spans="1:26">
      <c r="A11" s="29" t="s">
        <v>54</v>
      </c>
      <c r="B11" s="74">
        <f>B6*'Financial information 1 Pt1'!$J$7</f>
        <v>7648.1756568455321</v>
      </c>
      <c r="C11" s="74">
        <f>C6*'Financial information 1 Pt1'!$J$7</f>
        <v>7906.3858956225386</v>
      </c>
      <c r="D11" s="74">
        <f>D6*'Financial information 1 Pt1'!$J$7</f>
        <v>8733.1322559010077</v>
      </c>
      <c r="E11" s="74">
        <f>E6*'Financial information 1 Pt1'!$J$7</f>
        <v>9852.3538588124811</v>
      </c>
      <c r="F11" s="74">
        <f>F6*'Financial information 1 Pt1'!$J$7</f>
        <v>10000</v>
      </c>
      <c r="G11" s="74">
        <f>G6*'Financial information 1 Pt1'!$J$7</f>
        <v>10000</v>
      </c>
      <c r="H11" s="74">
        <f>H6*'Financial information 1 Pt1'!$J$7</f>
        <v>8495.4663082165007</v>
      </c>
      <c r="I11" s="74">
        <f>I6*'Financial information 1 Pt1'!$J$7</f>
        <v>8934.3720244714514</v>
      </c>
      <c r="J11" s="74">
        <f>J6*'Financial information 1 Pt1'!$J$7</f>
        <v>9134.3593793582841</v>
      </c>
      <c r="K11" s="74">
        <f>K6*'Financial information 1 Pt1'!$J$7</f>
        <v>10000</v>
      </c>
      <c r="L11" s="74">
        <f>L6*'Financial information 1 Pt1'!$J$7</f>
        <v>10000</v>
      </c>
      <c r="M11" s="74">
        <f>M6*'Financial information 1 Pt1'!$J$7</f>
        <v>10000</v>
      </c>
      <c r="N11" s="70">
        <f>SUM(B11:M11)</f>
        <v>110704.2453792278</v>
      </c>
    </row>
    <row r="12" spans="1:26" ht="15" thickBot="1">
      <c r="A12" s="29" t="s">
        <v>55</v>
      </c>
      <c r="B12" s="78">
        <f>B7*$G$2</f>
        <v>1175.9121715772339</v>
      </c>
      <c r="C12" s="78">
        <f t="shared" ref="C12:M12" si="3">C7*$G$2</f>
        <v>1046.8070521887307</v>
      </c>
      <c r="D12" s="78">
        <f t="shared" si="3"/>
        <v>633.43387204949579</v>
      </c>
      <c r="E12" s="78">
        <f t="shared" si="3"/>
        <v>73.823070593759326</v>
      </c>
      <c r="F12" s="78">
        <f t="shared" si="3"/>
        <v>0</v>
      </c>
      <c r="G12" s="78">
        <f t="shared" si="3"/>
        <v>0</v>
      </c>
      <c r="H12" s="78">
        <f t="shared" si="3"/>
        <v>752.26684589174965</v>
      </c>
      <c r="I12" s="78">
        <f t="shared" si="3"/>
        <v>532.81398776427409</v>
      </c>
      <c r="J12" s="78">
        <f t="shared" si="3"/>
        <v>432.82031032085797</v>
      </c>
      <c r="K12" s="78">
        <f t="shared" si="3"/>
        <v>0</v>
      </c>
      <c r="L12" s="78">
        <f t="shared" si="3"/>
        <v>0</v>
      </c>
      <c r="M12" s="78">
        <f t="shared" si="3"/>
        <v>0</v>
      </c>
      <c r="N12" s="70">
        <f>SUM(B12:M12)</f>
        <v>4647.8773103861013</v>
      </c>
    </row>
    <row r="13" spans="1:26" ht="15" thickTop="1">
      <c r="A13" s="63" t="s">
        <v>56</v>
      </c>
      <c r="B13" s="76">
        <f>SUM(B10:B12)</f>
        <v>17971.305914010023</v>
      </c>
      <c r="C13" s="76">
        <f t="shared" ref="C13:N13" si="4">SUM(C10:C12)</f>
        <v>18409.230478975827</v>
      </c>
      <c r="D13" s="76">
        <f t="shared" si="4"/>
        <v>19811.392306008111</v>
      </c>
      <c r="E13" s="76">
        <f t="shared" si="4"/>
        <v>21709.592144545968</v>
      </c>
      <c r="F13" s="76">
        <f t="shared" si="4"/>
        <v>21960</v>
      </c>
      <c r="G13" s="76">
        <f t="shared" si="4"/>
        <v>21960</v>
      </c>
      <c r="H13" s="76">
        <f t="shared" si="4"/>
        <v>19408.310858735185</v>
      </c>
      <c r="I13" s="76">
        <f t="shared" si="4"/>
        <v>20152.694953503582</v>
      </c>
      <c r="J13" s="76">
        <f t="shared" si="4"/>
        <v>20491.87350739165</v>
      </c>
      <c r="K13" s="76">
        <f t="shared" si="4"/>
        <v>21960</v>
      </c>
      <c r="L13" s="76">
        <f t="shared" si="4"/>
        <v>21960</v>
      </c>
      <c r="M13" s="76">
        <f t="shared" si="4"/>
        <v>21960</v>
      </c>
      <c r="N13" s="76">
        <f t="shared" si="4"/>
        <v>247754.40016317036</v>
      </c>
    </row>
    <row r="14" spans="1:26">
      <c r="A14" s="64" t="s">
        <v>57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69"/>
    </row>
    <row r="15" spans="1:26">
      <c r="A15" s="29" t="s">
        <v>58</v>
      </c>
      <c r="B15" s="74">
        <f>'Financial information 1 Pt1'!J5</f>
        <v>5800</v>
      </c>
      <c r="C15" s="74">
        <f>B15</f>
        <v>5800</v>
      </c>
      <c r="D15" s="74">
        <f>C15</f>
        <v>5800</v>
      </c>
      <c r="E15" s="74">
        <f>D15</f>
        <v>5800</v>
      </c>
      <c r="F15" s="74">
        <f t="shared" ref="F15:M15" si="5">E15</f>
        <v>5800</v>
      </c>
      <c r="G15" s="74">
        <f t="shared" si="5"/>
        <v>5800</v>
      </c>
      <c r="H15" s="74">
        <f t="shared" si="5"/>
        <v>5800</v>
      </c>
      <c r="I15" s="74">
        <f t="shared" si="5"/>
        <v>5800</v>
      </c>
      <c r="J15" s="74">
        <f t="shared" si="5"/>
        <v>5800</v>
      </c>
      <c r="K15" s="74">
        <f t="shared" si="5"/>
        <v>5800</v>
      </c>
      <c r="L15" s="74">
        <f t="shared" si="5"/>
        <v>5800</v>
      </c>
      <c r="M15" s="74">
        <f t="shared" si="5"/>
        <v>5800</v>
      </c>
      <c r="N15" s="70">
        <f>SUM(B15:M15)</f>
        <v>69600</v>
      </c>
    </row>
    <row r="16" spans="1:26">
      <c r="A16" s="57" t="s">
        <v>59</v>
      </c>
      <c r="B16" s="74">
        <f>B15</f>
        <v>5800</v>
      </c>
      <c r="C16" s="74">
        <f>C15</f>
        <v>5800</v>
      </c>
      <c r="D16" s="74">
        <f>D15</f>
        <v>5800</v>
      </c>
      <c r="E16" s="74">
        <f t="shared" ref="E16:M16" si="6">E15</f>
        <v>5800</v>
      </c>
      <c r="F16" s="74">
        <f t="shared" si="6"/>
        <v>5800</v>
      </c>
      <c r="G16" s="74">
        <f t="shared" si="6"/>
        <v>5800</v>
      </c>
      <c r="H16" s="74">
        <f t="shared" si="6"/>
        <v>5800</v>
      </c>
      <c r="I16" s="74">
        <f t="shared" si="6"/>
        <v>5800</v>
      </c>
      <c r="J16" s="74">
        <f t="shared" si="6"/>
        <v>5800</v>
      </c>
      <c r="K16" s="74">
        <f t="shared" si="6"/>
        <v>5800</v>
      </c>
      <c r="L16" s="74">
        <f t="shared" si="6"/>
        <v>5800</v>
      </c>
      <c r="M16" s="74">
        <f t="shared" si="6"/>
        <v>5800</v>
      </c>
      <c r="N16" s="70">
        <f>SUM(B16:M16)</f>
        <v>69600</v>
      </c>
      <c r="P16" s="74"/>
    </row>
    <row r="17" spans="1:16">
      <c r="A17" s="29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0"/>
      <c r="P17" s="74"/>
    </row>
    <row r="18" spans="1:16">
      <c r="A18" s="29" t="s">
        <v>60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0"/>
      <c r="P18" s="74"/>
    </row>
    <row r="19" spans="1:16">
      <c r="A19" s="29" t="s">
        <v>61</v>
      </c>
      <c r="B19" s="74">
        <f>$E$2*'Financial information 1 Pt1'!J8</f>
        <v>2000</v>
      </c>
      <c r="C19" s="74">
        <f>B19</f>
        <v>2000</v>
      </c>
      <c r="D19" s="74">
        <f>C19</f>
        <v>2000</v>
      </c>
      <c r="E19" s="74">
        <f t="shared" ref="E19:M19" si="7">D19</f>
        <v>2000</v>
      </c>
      <c r="F19" s="74">
        <f t="shared" si="7"/>
        <v>2000</v>
      </c>
      <c r="G19" s="74">
        <f t="shared" si="7"/>
        <v>2000</v>
      </c>
      <c r="H19" s="74">
        <f t="shared" si="7"/>
        <v>2000</v>
      </c>
      <c r="I19" s="74">
        <f t="shared" si="7"/>
        <v>2000</v>
      </c>
      <c r="J19" s="74">
        <f t="shared" si="7"/>
        <v>2000</v>
      </c>
      <c r="K19" s="74">
        <f t="shared" si="7"/>
        <v>2000</v>
      </c>
      <c r="L19" s="74">
        <f t="shared" si="7"/>
        <v>2000</v>
      </c>
      <c r="M19" s="74">
        <f t="shared" si="7"/>
        <v>2000</v>
      </c>
      <c r="N19" s="70">
        <f>SUM(B19:M19)</f>
        <v>24000</v>
      </c>
      <c r="P19" s="74"/>
    </row>
    <row r="20" spans="1:16">
      <c r="A20" s="29" t="s">
        <v>62</v>
      </c>
      <c r="B20" s="74">
        <f>$E$2*'Financial information 1 Pt1'!J9</f>
        <v>2400</v>
      </c>
      <c r="C20" s="74">
        <f>B20</f>
        <v>2400</v>
      </c>
      <c r="D20" s="74">
        <f>C20</f>
        <v>2400</v>
      </c>
      <c r="E20" s="74">
        <f t="shared" ref="E20:M20" si="8">D20</f>
        <v>2400</v>
      </c>
      <c r="F20" s="74">
        <f t="shared" si="8"/>
        <v>2400</v>
      </c>
      <c r="G20" s="74">
        <f t="shared" si="8"/>
        <v>2400</v>
      </c>
      <c r="H20" s="74">
        <f t="shared" si="8"/>
        <v>2400</v>
      </c>
      <c r="I20" s="74">
        <f t="shared" si="8"/>
        <v>2400</v>
      </c>
      <c r="J20" s="74">
        <f t="shared" si="8"/>
        <v>2400</v>
      </c>
      <c r="K20" s="74">
        <f t="shared" si="8"/>
        <v>2400</v>
      </c>
      <c r="L20" s="74">
        <f t="shared" si="8"/>
        <v>2400</v>
      </c>
      <c r="M20" s="74">
        <f t="shared" si="8"/>
        <v>2400</v>
      </c>
      <c r="N20" s="70">
        <f>SUM(B20:M20)</f>
        <v>28800</v>
      </c>
    </row>
    <row r="21" spans="1:16">
      <c r="A21" s="57" t="s">
        <v>63</v>
      </c>
      <c r="B21" s="79">
        <f>SUM(B19:B20)</f>
        <v>4400</v>
      </c>
      <c r="C21" s="79">
        <f t="shared" ref="C21:M21" si="9">SUM(C19:C20)</f>
        <v>4400</v>
      </c>
      <c r="D21" s="79">
        <f t="shared" si="9"/>
        <v>4400</v>
      </c>
      <c r="E21" s="79">
        <f t="shared" si="9"/>
        <v>4400</v>
      </c>
      <c r="F21" s="79">
        <f t="shared" si="9"/>
        <v>4400</v>
      </c>
      <c r="G21" s="79">
        <f t="shared" si="9"/>
        <v>4400</v>
      </c>
      <c r="H21" s="79">
        <f t="shared" si="9"/>
        <v>4400</v>
      </c>
      <c r="I21" s="79">
        <f t="shared" si="9"/>
        <v>4400</v>
      </c>
      <c r="J21" s="79">
        <f t="shared" si="9"/>
        <v>4400</v>
      </c>
      <c r="K21" s="79">
        <f t="shared" si="9"/>
        <v>4400</v>
      </c>
      <c r="L21" s="79">
        <f t="shared" si="9"/>
        <v>4400</v>
      </c>
      <c r="M21" s="79">
        <f t="shared" si="9"/>
        <v>4400</v>
      </c>
      <c r="N21" s="70">
        <f>SUM(B21:M21)</f>
        <v>52800</v>
      </c>
    </row>
    <row r="22" spans="1:16" ht="15" thickBot="1">
      <c r="A22" s="29" t="s">
        <v>64</v>
      </c>
      <c r="B22" s="80">
        <f>B8*$F$2</f>
        <v>0</v>
      </c>
      <c r="C22" s="80">
        <f t="shared" ref="C22:M22" si="10">C8*$F$2</f>
        <v>0</v>
      </c>
      <c r="D22" s="80">
        <f t="shared" si="10"/>
        <v>0</v>
      </c>
      <c r="E22" s="80">
        <f t="shared" si="10"/>
        <v>0</v>
      </c>
      <c r="F22" s="80">
        <f t="shared" si="10"/>
        <v>6.4487887172181217</v>
      </c>
      <c r="G22" s="80">
        <f t="shared" si="10"/>
        <v>1573.6222380266945</v>
      </c>
      <c r="H22" s="80">
        <f t="shared" si="10"/>
        <v>0</v>
      </c>
      <c r="I22" s="80">
        <f t="shared" si="10"/>
        <v>0</v>
      </c>
      <c r="J22" s="80">
        <f t="shared" si="10"/>
        <v>0</v>
      </c>
      <c r="K22" s="80">
        <f t="shared" si="10"/>
        <v>1211.9150604546394</v>
      </c>
      <c r="L22" s="80">
        <f t="shared" si="10"/>
        <v>4220.1769565328023</v>
      </c>
      <c r="M22" s="80">
        <f t="shared" si="10"/>
        <v>7368.1173250141774</v>
      </c>
      <c r="N22" s="72">
        <f>SUM(B22:M22)</f>
        <v>14380.280368745531</v>
      </c>
    </row>
    <row r="23" spans="1:16" ht="15" thickTop="1">
      <c r="A23" s="63" t="s">
        <v>65</v>
      </c>
      <c r="B23" s="76">
        <f>B16+B21+B22</f>
        <v>10200</v>
      </c>
      <c r="C23" s="76">
        <f t="shared" ref="C23:M23" si="11">C16+C21+C22</f>
        <v>10200</v>
      </c>
      <c r="D23" s="76">
        <f t="shared" si="11"/>
        <v>10200</v>
      </c>
      <c r="E23" s="76">
        <f t="shared" si="11"/>
        <v>10200</v>
      </c>
      <c r="F23" s="76">
        <f t="shared" si="11"/>
        <v>10206.448788717218</v>
      </c>
      <c r="G23" s="76">
        <f t="shared" si="11"/>
        <v>11773.622238026695</v>
      </c>
      <c r="H23" s="76">
        <f t="shared" si="11"/>
        <v>10200</v>
      </c>
      <c r="I23" s="76">
        <f t="shared" si="11"/>
        <v>10200</v>
      </c>
      <c r="J23" s="76">
        <f t="shared" si="11"/>
        <v>10200</v>
      </c>
      <c r="K23" s="76">
        <f t="shared" si="11"/>
        <v>11411.915060454639</v>
      </c>
      <c r="L23" s="76">
        <f t="shared" si="11"/>
        <v>14420.176956532803</v>
      </c>
      <c r="M23" s="76">
        <f t="shared" si="11"/>
        <v>17568.117325014176</v>
      </c>
      <c r="N23" s="76">
        <f>SUM(B23:M23)</f>
        <v>136780.28036874553</v>
      </c>
    </row>
    <row r="24" spans="1:16" ht="15" thickBot="1">
      <c r="A24" s="29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04"/>
    </row>
    <row r="25" spans="1:16" ht="15.6" thickTop="1" thickBot="1">
      <c r="A25" s="65" t="s">
        <v>66</v>
      </c>
      <c r="B25" s="82">
        <f>B13-B23</f>
        <v>7771.3059140100231</v>
      </c>
      <c r="C25" s="82">
        <f t="shared" ref="C25:M25" si="12">C13-C23</f>
        <v>8209.2304789758273</v>
      </c>
      <c r="D25" s="82">
        <f t="shared" si="12"/>
        <v>9611.3923060081106</v>
      </c>
      <c r="E25" s="82">
        <f t="shared" si="12"/>
        <v>11509.592144545968</v>
      </c>
      <c r="F25" s="82">
        <f t="shared" si="12"/>
        <v>11753.551211282782</v>
      </c>
      <c r="G25" s="82">
        <f t="shared" si="12"/>
        <v>10186.377761973305</v>
      </c>
      <c r="H25" s="82">
        <f t="shared" si="12"/>
        <v>9208.3108587351853</v>
      </c>
      <c r="I25" s="82">
        <f t="shared" si="12"/>
        <v>9952.6949535035819</v>
      </c>
      <c r="J25" s="82">
        <f t="shared" si="12"/>
        <v>10291.87350739165</v>
      </c>
      <c r="K25" s="82">
        <f t="shared" si="12"/>
        <v>10548.084939545361</v>
      </c>
      <c r="L25" s="82">
        <f t="shared" si="12"/>
        <v>7539.8230434671968</v>
      </c>
      <c r="M25" s="82">
        <f t="shared" si="12"/>
        <v>4391.8826749858235</v>
      </c>
      <c r="N25" s="82">
        <f>SUM(B25:M25)</f>
        <v>110974.11979442481</v>
      </c>
    </row>
    <row r="27" spans="1:16">
      <c r="A27" s="55" t="s">
        <v>103</v>
      </c>
      <c r="B27" s="43" t="s">
        <v>104</v>
      </c>
      <c r="C27" s="43"/>
      <c r="D27" s="43"/>
      <c r="E27" s="43"/>
      <c r="F27" s="43"/>
      <c r="G27" s="43"/>
    </row>
    <row r="28" spans="1:16" ht="15" thickBot="1">
      <c r="A28" s="27" t="s">
        <v>67</v>
      </c>
    </row>
    <row r="29" spans="1:16">
      <c r="A29" s="61" t="s">
        <v>7</v>
      </c>
      <c r="B29" s="59">
        <f>B4</f>
        <v>44927</v>
      </c>
      <c r="C29" s="59">
        <f t="shared" ref="C29:M29" si="13">C4</f>
        <v>44958</v>
      </c>
      <c r="D29" s="59">
        <f t="shared" si="13"/>
        <v>44986</v>
      </c>
      <c r="E29" s="59">
        <f t="shared" si="13"/>
        <v>45017</v>
      </c>
      <c r="F29" s="59">
        <f t="shared" si="13"/>
        <v>45047</v>
      </c>
      <c r="G29" s="59">
        <f t="shared" si="13"/>
        <v>45078</v>
      </c>
      <c r="H29" s="59">
        <f t="shared" si="13"/>
        <v>45108</v>
      </c>
      <c r="I29" s="59">
        <f t="shared" si="13"/>
        <v>45139</v>
      </c>
      <c r="J29" s="59">
        <f t="shared" si="13"/>
        <v>45170</v>
      </c>
      <c r="K29" s="59">
        <f t="shared" si="13"/>
        <v>45200</v>
      </c>
      <c r="L29" s="59">
        <f t="shared" si="13"/>
        <v>45231</v>
      </c>
      <c r="M29" s="59">
        <f t="shared" si="13"/>
        <v>45261</v>
      </c>
      <c r="N29" s="68" t="s">
        <v>102</v>
      </c>
    </row>
    <row r="30" spans="1:16">
      <c r="A30" s="29" t="s">
        <v>39</v>
      </c>
      <c r="B30" s="74">
        <f>B5*(1+'Financial information 1 Pt1'!$B$34)</f>
        <v>3732.3097205406193</v>
      </c>
      <c r="C30" s="74">
        <f>C5*(1+'Financial information 1 Pt1'!$B$34)</f>
        <v>3858.3163170637986</v>
      </c>
      <c r="D30" s="74">
        <f>D5*(1+'Financial information 1 Pt1'!$B$34)</f>
        <v>4261.7685408796924</v>
      </c>
      <c r="E30" s="74">
        <f>E5*(1+'Financial information 1 Pt1'!$B$34)</f>
        <v>4807.9486831004906</v>
      </c>
      <c r="F30" s="74">
        <f>F5*(1+'Financial information 1 Pt1'!$B$34)</f>
        <v>4882.6225074116683</v>
      </c>
      <c r="G30" s="74">
        <f>G5*(1+'Financial information 1 Pt1'!$B$34)</f>
        <v>5519.9397101308559</v>
      </c>
      <c r="H30" s="74">
        <f>H5*(1+'Financial information 1 Pt1'!$B$34)</f>
        <v>4145.7875584096519</v>
      </c>
      <c r="I30" s="74">
        <f>I5*(1+'Financial information 1 Pt1'!$B$34)</f>
        <v>4359.9735479420688</v>
      </c>
      <c r="J30" s="74">
        <f>J5*(1+'Financial information 1 Pt1'!$B$34)</f>
        <v>4457.5673771268421</v>
      </c>
      <c r="K30" s="74">
        <f>K5*(1+'Financial information 1 Pt1'!$B$34)</f>
        <v>5372.8454579182198</v>
      </c>
      <c r="L30" s="74">
        <f>L5*(1+'Financial information 1 Pt1'!$B$34)</f>
        <v>6596.2052956566731</v>
      </c>
      <c r="M30" s="74">
        <f>M5*(1+'Financial information 1 Pt1'!$B$34)</f>
        <v>7876.3677121724322</v>
      </c>
      <c r="N30" s="69">
        <f>SUM(B30:M30)</f>
        <v>59871.652428353016</v>
      </c>
    </row>
    <row r="31" spans="1:16">
      <c r="A31" s="29" t="s">
        <v>49</v>
      </c>
      <c r="B31" s="74">
        <f>MIN(B30,$E$2)</f>
        <v>3732.3097205406193</v>
      </c>
      <c r="C31" s="74">
        <f t="shared" ref="C31:M31" si="14">MIN(C30,$E$2)</f>
        <v>3858.3163170637986</v>
      </c>
      <c r="D31" s="74">
        <f t="shared" si="14"/>
        <v>4000</v>
      </c>
      <c r="E31" s="74">
        <f t="shared" si="14"/>
        <v>4000</v>
      </c>
      <c r="F31" s="74">
        <f t="shared" si="14"/>
        <v>4000</v>
      </c>
      <c r="G31" s="74">
        <f t="shared" si="14"/>
        <v>4000</v>
      </c>
      <c r="H31" s="74">
        <f t="shared" si="14"/>
        <v>4000</v>
      </c>
      <c r="I31" s="74">
        <f t="shared" si="14"/>
        <v>4000</v>
      </c>
      <c r="J31" s="74">
        <f t="shared" si="14"/>
        <v>4000</v>
      </c>
      <c r="K31" s="74">
        <f t="shared" si="14"/>
        <v>4000</v>
      </c>
      <c r="L31" s="74">
        <f t="shared" si="14"/>
        <v>4000</v>
      </c>
      <c r="M31" s="74">
        <f t="shared" si="14"/>
        <v>4000</v>
      </c>
      <c r="N31" s="69">
        <f t="shared" ref="N31:N33" si="15">SUM(B31:M31)</f>
        <v>47590.626037604416</v>
      </c>
    </row>
    <row r="32" spans="1:16">
      <c r="A32" s="29" t="s">
        <v>50</v>
      </c>
      <c r="B32" s="74">
        <f>IF(B30&lt;$E$2,$E$2-B30,0)</f>
        <v>267.69027945938069</v>
      </c>
      <c r="C32" s="74">
        <f t="shared" ref="C32:M32" si="16">IF(C30&lt;$E$2,$E$2-C30,0)</f>
        <v>141.68368293620142</v>
      </c>
      <c r="D32" s="74">
        <f t="shared" si="16"/>
        <v>0</v>
      </c>
      <c r="E32" s="74">
        <f t="shared" si="16"/>
        <v>0</v>
      </c>
      <c r="F32" s="74">
        <f t="shared" si="16"/>
        <v>0</v>
      </c>
      <c r="G32" s="74">
        <f t="shared" si="16"/>
        <v>0</v>
      </c>
      <c r="H32" s="74">
        <f t="shared" si="16"/>
        <v>0</v>
      </c>
      <c r="I32" s="74">
        <f t="shared" si="16"/>
        <v>0</v>
      </c>
      <c r="J32" s="74">
        <f t="shared" si="16"/>
        <v>0</v>
      </c>
      <c r="K32" s="74">
        <f t="shared" si="16"/>
        <v>0</v>
      </c>
      <c r="L32" s="74">
        <f t="shared" si="16"/>
        <v>0</v>
      </c>
      <c r="M32" s="74">
        <f t="shared" si="16"/>
        <v>0</v>
      </c>
      <c r="N32" s="69">
        <f t="shared" si="15"/>
        <v>409.37396239558211</v>
      </c>
    </row>
    <row r="33" spans="1:14">
      <c r="A33" s="30" t="s">
        <v>51</v>
      </c>
      <c r="B33" s="75">
        <f>IF(B30&gt;$E$2,B30-$E$2,0)</f>
        <v>0</v>
      </c>
      <c r="C33" s="75">
        <f t="shared" ref="C33:M33" si="17">IF(C30&gt;$E$2,C30-$E$2,0)</f>
        <v>0</v>
      </c>
      <c r="D33" s="75">
        <f t="shared" si="17"/>
        <v>261.76854087969241</v>
      </c>
      <c r="E33" s="75">
        <f t="shared" si="17"/>
        <v>807.9486831004906</v>
      </c>
      <c r="F33" s="75">
        <f t="shared" si="17"/>
        <v>882.62250741166827</v>
      </c>
      <c r="G33" s="75">
        <f t="shared" si="17"/>
        <v>1519.9397101308559</v>
      </c>
      <c r="H33" s="75">
        <f t="shared" si="17"/>
        <v>145.78755840965187</v>
      </c>
      <c r="I33" s="75">
        <f t="shared" si="17"/>
        <v>359.97354794206876</v>
      </c>
      <c r="J33" s="75">
        <f t="shared" si="17"/>
        <v>457.56737712684208</v>
      </c>
      <c r="K33" s="75">
        <f t="shared" si="17"/>
        <v>1372.8454579182198</v>
      </c>
      <c r="L33" s="75">
        <f t="shared" si="17"/>
        <v>2596.2052956566731</v>
      </c>
      <c r="M33" s="75">
        <f t="shared" si="17"/>
        <v>3876.3677121724322</v>
      </c>
      <c r="N33" s="69">
        <f t="shared" si="15"/>
        <v>12281.026390748595</v>
      </c>
    </row>
    <row r="34" spans="1:14">
      <c r="A34" s="62" t="s">
        <v>52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69"/>
    </row>
    <row r="35" spans="1:14">
      <c r="A35" s="29" t="s">
        <v>53</v>
      </c>
      <c r="B35" s="74">
        <f>B31*'Financial information 1 Pt1'!$J$6</f>
        <v>11159.606064416452</v>
      </c>
      <c r="C35" s="74">
        <f>C31*'Financial information 1 Pt1'!$J$6</f>
        <v>11536.365788020759</v>
      </c>
      <c r="D35" s="74">
        <f>D31*'Financial information 1 Pt1'!$J$6</f>
        <v>11960</v>
      </c>
      <c r="E35" s="74">
        <f>E31*'Financial information 1 Pt1'!$J$6</f>
        <v>11960</v>
      </c>
      <c r="F35" s="74">
        <f>F31*'Financial information 1 Pt1'!$J$6</f>
        <v>11960</v>
      </c>
      <c r="G35" s="74">
        <f>G31*'Financial information 1 Pt1'!$J$6</f>
        <v>11960</v>
      </c>
      <c r="H35" s="74">
        <f>H31*'Financial information 1 Pt1'!$J$6</f>
        <v>11960</v>
      </c>
      <c r="I35" s="74">
        <f>I31*'Financial information 1 Pt1'!$J$6</f>
        <v>11960</v>
      </c>
      <c r="J35" s="74">
        <f>J31*'Financial information 1 Pt1'!$J$6</f>
        <v>11960</v>
      </c>
      <c r="K35" s="74">
        <f>K31*'Financial information 1 Pt1'!$J$6</f>
        <v>11960</v>
      </c>
      <c r="L35" s="74">
        <f>L31*'Financial information 1 Pt1'!$J$6</f>
        <v>11960</v>
      </c>
      <c r="M35" s="74">
        <f>M31*'Financial information 1 Pt1'!$J$6</f>
        <v>11960</v>
      </c>
      <c r="N35" s="70">
        <f>SUM(B35:M35)</f>
        <v>142295.97185243721</v>
      </c>
    </row>
    <row r="36" spans="1:14">
      <c r="A36" s="29" t="s">
        <v>54</v>
      </c>
      <c r="B36" s="74">
        <f>B31*'Financial information 1 Pt1'!$J$7</f>
        <v>9330.7743013515483</v>
      </c>
      <c r="C36" s="74">
        <f>C31*'Financial information 1 Pt1'!$J$7</f>
        <v>9645.7907926594962</v>
      </c>
      <c r="D36" s="74">
        <f>D31*'Financial information 1 Pt1'!$J$7</f>
        <v>10000</v>
      </c>
      <c r="E36" s="74">
        <f>E31*'Financial information 1 Pt1'!$J$7</f>
        <v>10000</v>
      </c>
      <c r="F36" s="74">
        <f>F31*'Financial information 1 Pt1'!$J$7</f>
        <v>10000</v>
      </c>
      <c r="G36" s="74">
        <f>G31*'Financial information 1 Pt1'!$J$7</f>
        <v>10000</v>
      </c>
      <c r="H36" s="74">
        <f>H31*'Financial information 1 Pt1'!$J$7</f>
        <v>10000</v>
      </c>
      <c r="I36" s="74">
        <f>I31*'Financial information 1 Pt1'!$J$7</f>
        <v>10000</v>
      </c>
      <c r="J36" s="74">
        <f>J31*'Financial information 1 Pt1'!$J$7</f>
        <v>10000</v>
      </c>
      <c r="K36" s="74">
        <f>K31*'Financial information 1 Pt1'!$J$7</f>
        <v>10000</v>
      </c>
      <c r="L36" s="74">
        <f>L31*'Financial information 1 Pt1'!$J$7</f>
        <v>10000</v>
      </c>
      <c r="M36" s="74">
        <f>M31*'Financial information 1 Pt1'!$J$7</f>
        <v>10000</v>
      </c>
      <c r="N36" s="70">
        <f t="shared" ref="N36:N37" si="18">SUM(B36:M36)</f>
        <v>118976.56509401105</v>
      </c>
    </row>
    <row r="37" spans="1:14" ht="15" thickBot="1">
      <c r="A37" s="29" t="s">
        <v>55</v>
      </c>
      <c r="B37" s="78">
        <f>B32*$G$2</f>
        <v>334.61284932422586</v>
      </c>
      <c r="C37" s="78">
        <f t="shared" ref="C37:M37" si="19">C32*$G$2</f>
        <v>177.10460367025178</v>
      </c>
      <c r="D37" s="78">
        <f t="shared" si="19"/>
        <v>0</v>
      </c>
      <c r="E37" s="78">
        <f t="shared" si="19"/>
        <v>0</v>
      </c>
      <c r="F37" s="78">
        <f t="shared" si="19"/>
        <v>0</v>
      </c>
      <c r="G37" s="78">
        <f t="shared" si="19"/>
        <v>0</v>
      </c>
      <c r="H37" s="78">
        <f t="shared" si="19"/>
        <v>0</v>
      </c>
      <c r="I37" s="78">
        <f t="shared" si="19"/>
        <v>0</v>
      </c>
      <c r="J37" s="78">
        <f t="shared" si="19"/>
        <v>0</v>
      </c>
      <c r="K37" s="78">
        <f t="shared" si="19"/>
        <v>0</v>
      </c>
      <c r="L37" s="78">
        <f t="shared" si="19"/>
        <v>0</v>
      </c>
      <c r="M37" s="78">
        <f t="shared" si="19"/>
        <v>0</v>
      </c>
      <c r="N37" s="70">
        <f t="shared" si="18"/>
        <v>511.71745299447764</v>
      </c>
    </row>
    <row r="38" spans="1:14" ht="15" thickTop="1">
      <c r="A38" s="63" t="s">
        <v>56</v>
      </c>
      <c r="B38" s="76">
        <f>SUM(B35:B37)</f>
        <v>20824.993215092225</v>
      </c>
      <c r="C38" s="76">
        <f t="shared" ref="C38:M38" si="20">SUM(C35:C37)</f>
        <v>21359.261184350504</v>
      </c>
      <c r="D38" s="76">
        <f t="shared" si="20"/>
        <v>21960</v>
      </c>
      <c r="E38" s="76">
        <f t="shared" si="20"/>
        <v>21960</v>
      </c>
      <c r="F38" s="76">
        <f t="shared" si="20"/>
        <v>21960</v>
      </c>
      <c r="G38" s="76">
        <f t="shared" si="20"/>
        <v>21960</v>
      </c>
      <c r="H38" s="76">
        <f t="shared" si="20"/>
        <v>21960</v>
      </c>
      <c r="I38" s="76">
        <f t="shared" si="20"/>
        <v>21960</v>
      </c>
      <c r="J38" s="76">
        <f t="shared" si="20"/>
        <v>21960</v>
      </c>
      <c r="K38" s="76">
        <f t="shared" si="20"/>
        <v>21960</v>
      </c>
      <c r="L38" s="76">
        <f t="shared" si="20"/>
        <v>21960</v>
      </c>
      <c r="M38" s="76">
        <f t="shared" si="20"/>
        <v>21960</v>
      </c>
      <c r="N38" s="71">
        <f>SUM(B38:M38)</f>
        <v>261784.25439944273</v>
      </c>
    </row>
    <row r="39" spans="1:14">
      <c r="A39" s="64" t="s">
        <v>57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69"/>
    </row>
    <row r="40" spans="1:14">
      <c r="A40" s="29" t="s">
        <v>58</v>
      </c>
      <c r="B40" s="74">
        <f>B15</f>
        <v>5800</v>
      </c>
      <c r="C40" s="74">
        <f t="shared" ref="C40:M40" si="21">C15</f>
        <v>5800</v>
      </c>
      <c r="D40" s="74">
        <f t="shared" si="21"/>
        <v>5800</v>
      </c>
      <c r="E40" s="74">
        <f t="shared" si="21"/>
        <v>5800</v>
      </c>
      <c r="F40" s="74">
        <f t="shared" si="21"/>
        <v>5800</v>
      </c>
      <c r="G40" s="74">
        <f t="shared" si="21"/>
        <v>5800</v>
      </c>
      <c r="H40" s="74">
        <f t="shared" si="21"/>
        <v>5800</v>
      </c>
      <c r="I40" s="74">
        <f t="shared" si="21"/>
        <v>5800</v>
      </c>
      <c r="J40" s="74">
        <f t="shared" si="21"/>
        <v>5800</v>
      </c>
      <c r="K40" s="74">
        <f t="shared" si="21"/>
        <v>5800</v>
      </c>
      <c r="L40" s="74">
        <f t="shared" si="21"/>
        <v>5800</v>
      </c>
      <c r="M40" s="74">
        <f t="shared" si="21"/>
        <v>5800</v>
      </c>
      <c r="N40" s="70">
        <f>SUM(B40:M40)</f>
        <v>69600</v>
      </c>
    </row>
    <row r="41" spans="1:14">
      <c r="A41" s="57" t="s">
        <v>59</v>
      </c>
      <c r="B41" s="74">
        <f>B40</f>
        <v>5800</v>
      </c>
      <c r="C41" s="74">
        <f t="shared" ref="C41:M41" si="22">C40</f>
        <v>5800</v>
      </c>
      <c r="D41" s="74">
        <f t="shared" si="22"/>
        <v>5800</v>
      </c>
      <c r="E41" s="74">
        <f t="shared" si="22"/>
        <v>5800</v>
      </c>
      <c r="F41" s="74">
        <f t="shared" si="22"/>
        <v>5800</v>
      </c>
      <c r="G41" s="74">
        <f t="shared" si="22"/>
        <v>5800</v>
      </c>
      <c r="H41" s="74">
        <f t="shared" si="22"/>
        <v>5800</v>
      </c>
      <c r="I41" s="74">
        <f t="shared" si="22"/>
        <v>5800</v>
      </c>
      <c r="J41" s="74">
        <f t="shared" si="22"/>
        <v>5800</v>
      </c>
      <c r="K41" s="74">
        <f t="shared" si="22"/>
        <v>5800</v>
      </c>
      <c r="L41" s="74">
        <f t="shared" si="22"/>
        <v>5800</v>
      </c>
      <c r="M41" s="74">
        <f t="shared" si="22"/>
        <v>5800</v>
      </c>
      <c r="N41" s="70">
        <f>SUM(B41:M41)</f>
        <v>69600</v>
      </c>
    </row>
    <row r="42" spans="1:14">
      <c r="A42" s="29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0"/>
    </row>
    <row r="43" spans="1:14">
      <c r="A43" s="29" t="s">
        <v>60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0"/>
    </row>
    <row r="44" spans="1:14">
      <c r="A44" s="29" t="s">
        <v>61</v>
      </c>
      <c r="B44" s="74">
        <f>B19</f>
        <v>2000</v>
      </c>
      <c r="C44" s="74">
        <f t="shared" ref="C44:N44" si="23">C19</f>
        <v>2000</v>
      </c>
      <c r="D44" s="74">
        <f t="shared" si="23"/>
        <v>2000</v>
      </c>
      <c r="E44" s="74">
        <f t="shared" si="23"/>
        <v>2000</v>
      </c>
      <c r="F44" s="74">
        <f t="shared" si="23"/>
        <v>2000</v>
      </c>
      <c r="G44" s="74">
        <f t="shared" si="23"/>
        <v>2000</v>
      </c>
      <c r="H44" s="74">
        <f t="shared" si="23"/>
        <v>2000</v>
      </c>
      <c r="I44" s="74">
        <f t="shared" si="23"/>
        <v>2000</v>
      </c>
      <c r="J44" s="74">
        <f t="shared" si="23"/>
        <v>2000</v>
      </c>
      <c r="K44" s="74">
        <f t="shared" si="23"/>
        <v>2000</v>
      </c>
      <c r="L44" s="74">
        <f t="shared" si="23"/>
        <v>2000</v>
      </c>
      <c r="M44" s="74">
        <f t="shared" si="23"/>
        <v>2000</v>
      </c>
      <c r="N44" s="74">
        <f t="shared" si="23"/>
        <v>24000</v>
      </c>
    </row>
    <row r="45" spans="1:14">
      <c r="A45" s="29" t="s">
        <v>62</v>
      </c>
      <c r="B45" s="74">
        <f>B20</f>
        <v>2400</v>
      </c>
      <c r="C45" s="74">
        <f t="shared" ref="C45:N45" si="24">C20</f>
        <v>2400</v>
      </c>
      <c r="D45" s="74">
        <f t="shared" si="24"/>
        <v>2400</v>
      </c>
      <c r="E45" s="74">
        <f t="shared" si="24"/>
        <v>2400</v>
      </c>
      <c r="F45" s="74">
        <f t="shared" si="24"/>
        <v>2400</v>
      </c>
      <c r="G45" s="74">
        <f t="shared" si="24"/>
        <v>2400</v>
      </c>
      <c r="H45" s="74">
        <f t="shared" si="24"/>
        <v>2400</v>
      </c>
      <c r="I45" s="74">
        <f t="shared" si="24"/>
        <v>2400</v>
      </c>
      <c r="J45" s="74">
        <f t="shared" si="24"/>
        <v>2400</v>
      </c>
      <c r="K45" s="74">
        <f t="shared" si="24"/>
        <v>2400</v>
      </c>
      <c r="L45" s="74">
        <f t="shared" si="24"/>
        <v>2400</v>
      </c>
      <c r="M45" s="74">
        <f t="shared" si="24"/>
        <v>2400</v>
      </c>
      <c r="N45" s="74">
        <f t="shared" si="24"/>
        <v>28800</v>
      </c>
    </row>
    <row r="46" spans="1:14">
      <c r="A46" s="57" t="s">
        <v>63</v>
      </c>
      <c r="B46" s="74">
        <f>B21</f>
        <v>4400</v>
      </c>
      <c r="C46" s="74">
        <f t="shared" ref="C46:N46" si="25">C21</f>
        <v>4400</v>
      </c>
      <c r="D46" s="74">
        <f t="shared" si="25"/>
        <v>4400</v>
      </c>
      <c r="E46" s="74">
        <f t="shared" si="25"/>
        <v>4400</v>
      </c>
      <c r="F46" s="74">
        <f t="shared" si="25"/>
        <v>4400</v>
      </c>
      <c r="G46" s="74">
        <f t="shared" si="25"/>
        <v>4400</v>
      </c>
      <c r="H46" s="74">
        <f t="shared" si="25"/>
        <v>4400</v>
      </c>
      <c r="I46" s="74">
        <f t="shared" si="25"/>
        <v>4400</v>
      </c>
      <c r="J46" s="74">
        <f t="shared" si="25"/>
        <v>4400</v>
      </c>
      <c r="K46" s="74">
        <f t="shared" si="25"/>
        <v>4400</v>
      </c>
      <c r="L46" s="74">
        <f t="shared" si="25"/>
        <v>4400</v>
      </c>
      <c r="M46" s="74">
        <f t="shared" si="25"/>
        <v>4400</v>
      </c>
      <c r="N46" s="74">
        <f t="shared" si="25"/>
        <v>52800</v>
      </c>
    </row>
    <row r="47" spans="1:14" ht="15" thickBot="1">
      <c r="A47" s="29" t="s">
        <v>64</v>
      </c>
      <c r="B47" s="80">
        <f>B33*$F$2</f>
        <v>0</v>
      </c>
      <c r="C47" s="80">
        <f t="shared" ref="C47:M47" si="26">C33*$F$2</f>
        <v>0</v>
      </c>
      <c r="D47" s="80">
        <f t="shared" si="26"/>
        <v>785.30562263907723</v>
      </c>
      <c r="E47" s="80">
        <f t="shared" si="26"/>
        <v>2423.8460493014718</v>
      </c>
      <c r="F47" s="80">
        <f t="shared" si="26"/>
        <v>2647.8675222350048</v>
      </c>
      <c r="G47" s="80">
        <f t="shared" si="26"/>
        <v>4559.8191303925678</v>
      </c>
      <c r="H47" s="80">
        <f t="shared" si="26"/>
        <v>437.3626752289556</v>
      </c>
      <c r="I47" s="80">
        <f t="shared" si="26"/>
        <v>1079.9206438262063</v>
      </c>
      <c r="J47" s="80">
        <f t="shared" si="26"/>
        <v>1372.7021313805262</v>
      </c>
      <c r="K47" s="80">
        <f t="shared" si="26"/>
        <v>4118.5363737546595</v>
      </c>
      <c r="L47" s="80">
        <f t="shared" si="26"/>
        <v>7788.6158869700193</v>
      </c>
      <c r="M47" s="80">
        <f t="shared" si="26"/>
        <v>11629.103136517297</v>
      </c>
      <c r="N47" s="74">
        <f>SUM(B47:M47)</f>
        <v>36843.07917224578</v>
      </c>
    </row>
    <row r="48" spans="1:14" ht="15" thickTop="1">
      <c r="A48" s="63" t="s">
        <v>65</v>
      </c>
      <c r="B48" s="76">
        <f>B41+B46+B47</f>
        <v>10200</v>
      </c>
      <c r="C48" s="76">
        <f t="shared" ref="C48:M48" si="27">C41+C46+C47</f>
        <v>10200</v>
      </c>
      <c r="D48" s="76">
        <f t="shared" si="27"/>
        <v>10985.305622639076</v>
      </c>
      <c r="E48" s="76">
        <f t="shared" si="27"/>
        <v>12623.846049301472</v>
      </c>
      <c r="F48" s="76">
        <f t="shared" si="27"/>
        <v>12847.867522235005</v>
      </c>
      <c r="G48" s="76">
        <f t="shared" si="27"/>
        <v>14759.819130392567</v>
      </c>
      <c r="H48" s="76">
        <f t="shared" si="27"/>
        <v>10637.362675228957</v>
      </c>
      <c r="I48" s="76">
        <f t="shared" si="27"/>
        <v>11279.920643826206</v>
      </c>
      <c r="J48" s="76">
        <f t="shared" si="27"/>
        <v>11572.702131380527</v>
      </c>
      <c r="K48" s="76">
        <f t="shared" si="27"/>
        <v>14318.53637375466</v>
      </c>
      <c r="L48" s="76">
        <f t="shared" si="27"/>
        <v>17988.615886970019</v>
      </c>
      <c r="M48" s="76">
        <f t="shared" si="27"/>
        <v>21829.103136517297</v>
      </c>
      <c r="N48" s="70">
        <f>SUM(B48:M48)</f>
        <v>159243.07917224581</v>
      </c>
    </row>
    <row r="49" spans="1:14" ht="15" thickBot="1">
      <c r="A49" s="29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104"/>
    </row>
    <row r="50" spans="1:14" ht="15.6" thickTop="1" thickBot="1">
      <c r="A50" s="65" t="s">
        <v>66</v>
      </c>
      <c r="B50" s="82">
        <f>B38-B48</f>
        <v>10624.993215092225</v>
      </c>
      <c r="C50" s="82">
        <f t="shared" ref="C50:M50" si="28">C38-C48</f>
        <v>11159.261184350504</v>
      </c>
      <c r="D50" s="82">
        <f t="shared" si="28"/>
        <v>10974.694377360924</v>
      </c>
      <c r="E50" s="82">
        <f t="shared" si="28"/>
        <v>9336.1539506985282</v>
      </c>
      <c r="F50" s="82">
        <f t="shared" si="28"/>
        <v>9112.1324777649952</v>
      </c>
      <c r="G50" s="82">
        <f t="shared" si="28"/>
        <v>7200.1808696074331</v>
      </c>
      <c r="H50" s="82">
        <f t="shared" si="28"/>
        <v>11322.637324771043</v>
      </c>
      <c r="I50" s="82">
        <f t="shared" si="28"/>
        <v>10680.079356173794</v>
      </c>
      <c r="J50" s="82">
        <f t="shared" si="28"/>
        <v>10387.297868619473</v>
      </c>
      <c r="K50" s="82">
        <f t="shared" si="28"/>
        <v>7641.4636262453405</v>
      </c>
      <c r="L50" s="82">
        <f t="shared" si="28"/>
        <v>3971.3841130299807</v>
      </c>
      <c r="M50" s="82">
        <f t="shared" si="28"/>
        <v>130.89686348270334</v>
      </c>
      <c r="N50" s="73">
        <f>SUM(B50:M50)</f>
        <v>102541.17522719695</v>
      </c>
    </row>
    <row r="52" spans="1:14">
      <c r="A52" s="55" t="s">
        <v>103</v>
      </c>
    </row>
    <row r="53" spans="1:14" ht="15" thickBot="1">
      <c r="A53" s="27" t="s">
        <v>68</v>
      </c>
      <c r="M53" s="60"/>
    </row>
    <row r="54" spans="1:14">
      <c r="A54" s="61" t="s">
        <v>7</v>
      </c>
      <c r="B54" s="59">
        <f>B29</f>
        <v>44927</v>
      </c>
      <c r="C54" s="59">
        <f t="shared" ref="C54:M54" si="29">C29</f>
        <v>44958</v>
      </c>
      <c r="D54" s="59">
        <f t="shared" si="29"/>
        <v>44986</v>
      </c>
      <c r="E54" s="59">
        <f t="shared" si="29"/>
        <v>45017</v>
      </c>
      <c r="F54" s="59">
        <f t="shared" si="29"/>
        <v>45047</v>
      </c>
      <c r="G54" s="59">
        <f t="shared" si="29"/>
        <v>45078</v>
      </c>
      <c r="H54" s="59">
        <f t="shared" si="29"/>
        <v>45108</v>
      </c>
      <c r="I54" s="59">
        <f t="shared" si="29"/>
        <v>45139</v>
      </c>
      <c r="J54" s="59">
        <f t="shared" si="29"/>
        <v>45170</v>
      </c>
      <c r="K54" s="59">
        <f t="shared" si="29"/>
        <v>45200</v>
      </c>
      <c r="L54" s="59">
        <f t="shared" si="29"/>
        <v>45231</v>
      </c>
      <c r="M54" s="59">
        <f t="shared" si="29"/>
        <v>45261</v>
      </c>
      <c r="N54" s="68" t="s">
        <v>102</v>
      </c>
    </row>
    <row r="55" spans="1:14">
      <c r="A55" s="29" t="s">
        <v>39</v>
      </c>
      <c r="B55" s="74">
        <f>B5*(1-'Financial information 1 Pt1'!$B$35)</f>
        <v>2263.8599944262774</v>
      </c>
      <c r="C55" s="74">
        <f>C5*(1-'Financial information 1 Pt1'!$B$35)</f>
        <v>2340.2902251042715</v>
      </c>
      <c r="D55" s="74">
        <f>D5*(1-'Financial information 1 Pt1'!$B$35)</f>
        <v>2585.0071477466986</v>
      </c>
      <c r="E55" s="74">
        <f>E5*(1-'Financial information 1 Pt1'!$B$35)</f>
        <v>2916.2967422084944</v>
      </c>
      <c r="F55" s="74">
        <f>F5*(1-'Financial information 1 Pt1'!$B$35)</f>
        <v>2961.5907012169137</v>
      </c>
      <c r="G55" s="74">
        <f>G5*(1-'Financial information 1 Pt1'!$B$35)</f>
        <v>3348.1601520465847</v>
      </c>
      <c r="H55" s="74">
        <f>H5*(1-'Financial information 1 Pt1'!$B$35)</f>
        <v>2514.6580272320844</v>
      </c>
      <c r="I55" s="74">
        <f>I5*(1-'Financial information 1 Pt1'!$B$35)</f>
        <v>2644.5741192435498</v>
      </c>
      <c r="J55" s="74">
        <f>J5*(1-'Financial information 1 Pt1'!$B$35)</f>
        <v>2703.7703762900519</v>
      </c>
      <c r="K55" s="74">
        <f>K5*(1-'Financial information 1 Pt1'!$B$35)</f>
        <v>3258.9390482454778</v>
      </c>
      <c r="L55" s="74">
        <f>L5*(1-'Financial information 1 Pt1'!$B$35)</f>
        <v>4000.9769826114243</v>
      </c>
      <c r="M55" s="74">
        <f>M5*(1-'Financial information 1 Pt1'!$B$35)</f>
        <v>4777.4689401701635</v>
      </c>
      <c r="N55" s="69">
        <f>SUM(B55:M55)</f>
        <v>36315.592456541992</v>
      </c>
    </row>
    <row r="56" spans="1:14">
      <c r="A56" s="29" t="s">
        <v>49</v>
      </c>
      <c r="B56" s="74">
        <f>MIN(B55,$E$2)</f>
        <v>2263.8599944262774</v>
      </c>
      <c r="C56" s="74">
        <f t="shared" ref="C56:M56" si="30">MIN(C55,$E$2)</f>
        <v>2340.2902251042715</v>
      </c>
      <c r="D56" s="74">
        <f t="shared" si="30"/>
        <v>2585.0071477466986</v>
      </c>
      <c r="E56" s="74">
        <f t="shared" si="30"/>
        <v>2916.2967422084944</v>
      </c>
      <c r="F56" s="74">
        <f t="shared" si="30"/>
        <v>2961.5907012169137</v>
      </c>
      <c r="G56" s="74">
        <f t="shared" si="30"/>
        <v>3348.1601520465847</v>
      </c>
      <c r="H56" s="74">
        <f t="shared" si="30"/>
        <v>2514.6580272320844</v>
      </c>
      <c r="I56" s="74">
        <f t="shared" si="30"/>
        <v>2644.5741192435498</v>
      </c>
      <c r="J56" s="74">
        <f t="shared" si="30"/>
        <v>2703.7703762900519</v>
      </c>
      <c r="K56" s="74">
        <f t="shared" si="30"/>
        <v>3258.9390482454778</v>
      </c>
      <c r="L56" s="74">
        <f t="shared" si="30"/>
        <v>4000</v>
      </c>
      <c r="M56" s="74">
        <f t="shared" si="30"/>
        <v>4000</v>
      </c>
      <c r="N56" s="70">
        <f>SUM(B56:M56)</f>
        <v>35537.146533760402</v>
      </c>
    </row>
    <row r="57" spans="1:14">
      <c r="A57" s="29" t="s">
        <v>50</v>
      </c>
      <c r="B57" s="74">
        <f>IF(B55&lt;$E$2,$E$2-B55,0)</f>
        <v>1736.1400055737226</v>
      </c>
      <c r="C57" s="74">
        <f t="shared" ref="C57:M57" si="31">IF(C55&lt;$E$2,$E$2-C55,0)</f>
        <v>1659.7097748957285</v>
      </c>
      <c r="D57" s="74">
        <f t="shared" si="31"/>
        <v>1414.9928522533014</v>
      </c>
      <c r="E57" s="74">
        <f t="shared" si="31"/>
        <v>1083.7032577915056</v>
      </c>
      <c r="F57" s="74">
        <f t="shared" si="31"/>
        <v>1038.4092987830863</v>
      </c>
      <c r="G57" s="74">
        <f t="shared" si="31"/>
        <v>651.8398479534153</v>
      </c>
      <c r="H57" s="74">
        <f t="shared" si="31"/>
        <v>1485.3419727679156</v>
      </c>
      <c r="I57" s="74">
        <f t="shared" si="31"/>
        <v>1355.4258807564502</v>
      </c>
      <c r="J57" s="74">
        <f t="shared" si="31"/>
        <v>1296.2296237099481</v>
      </c>
      <c r="K57" s="74">
        <f t="shared" si="31"/>
        <v>741.06095175452219</v>
      </c>
      <c r="L57" s="74">
        <f t="shared" si="31"/>
        <v>0</v>
      </c>
      <c r="M57" s="74">
        <f t="shared" si="31"/>
        <v>0</v>
      </c>
      <c r="N57" s="70">
        <f>SUM(B57:M57)</f>
        <v>12462.853466239596</v>
      </c>
    </row>
    <row r="58" spans="1:14">
      <c r="A58" s="30" t="s">
        <v>51</v>
      </c>
      <c r="B58" s="76">
        <f>IF(B55&gt;$E$2,B55-$E$2,0)</f>
        <v>0</v>
      </c>
      <c r="C58" s="76">
        <f t="shared" ref="C58:M58" si="32">IF(C55&gt;$E$2,C55-$E$2,0)</f>
        <v>0</v>
      </c>
      <c r="D58" s="76">
        <f t="shared" si="32"/>
        <v>0</v>
      </c>
      <c r="E58" s="76">
        <f t="shared" si="32"/>
        <v>0</v>
      </c>
      <c r="F58" s="76">
        <f t="shared" si="32"/>
        <v>0</v>
      </c>
      <c r="G58" s="76">
        <f t="shared" si="32"/>
        <v>0</v>
      </c>
      <c r="H58" s="76">
        <f t="shared" si="32"/>
        <v>0</v>
      </c>
      <c r="I58" s="76">
        <f t="shared" si="32"/>
        <v>0</v>
      </c>
      <c r="J58" s="76">
        <f t="shared" si="32"/>
        <v>0</v>
      </c>
      <c r="K58" s="76">
        <f t="shared" si="32"/>
        <v>0</v>
      </c>
      <c r="L58" s="76">
        <f t="shared" si="32"/>
        <v>0.97698261142431875</v>
      </c>
      <c r="M58" s="76">
        <f t="shared" si="32"/>
        <v>777.46894017016348</v>
      </c>
      <c r="N58" s="70">
        <f>SUM(B58:M58)</f>
        <v>778.4459227815878</v>
      </c>
    </row>
    <row r="59" spans="1:14">
      <c r="A59" s="62" t="s">
        <v>52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69"/>
    </row>
    <row r="60" spans="1:14">
      <c r="A60" s="29" t="s">
        <v>53</v>
      </c>
      <c r="B60" s="74">
        <f>B56*'Financial information 1 Pt1'!$J$6</f>
        <v>6768.9413833345698</v>
      </c>
      <c r="C60" s="74">
        <f>C56*'Financial information 1 Pt1'!$J$6</f>
        <v>6997.4677730617723</v>
      </c>
      <c r="D60" s="74">
        <f>D56*'Financial information 1 Pt1'!$J$6</f>
        <v>7729.171371762629</v>
      </c>
      <c r="E60" s="74">
        <f>E56*'Financial information 1 Pt1'!$J$6</f>
        <v>8719.7272592033987</v>
      </c>
      <c r="F60" s="74">
        <f>F56*'Financial information 1 Pt1'!$J$6</f>
        <v>8855.1561966385725</v>
      </c>
      <c r="G60" s="74">
        <f>G56*'Financial information 1 Pt1'!$J$6</f>
        <v>10010.998854619289</v>
      </c>
      <c r="H60" s="74">
        <f>H56*'Financial information 1 Pt1'!$J$6</f>
        <v>7518.8275014239325</v>
      </c>
      <c r="I60" s="74">
        <f>I56*'Financial information 1 Pt1'!$J$6</f>
        <v>7907.2766165382145</v>
      </c>
      <c r="J60" s="74">
        <f>J56*'Financial information 1 Pt1'!$J$6</f>
        <v>8084.2734251072561</v>
      </c>
      <c r="K60" s="74">
        <f>K56*'Financial information 1 Pt1'!$J$6</f>
        <v>9744.2277542539796</v>
      </c>
      <c r="L60" s="74">
        <f>L56*'Financial information 1 Pt1'!$J$6</f>
        <v>11960</v>
      </c>
      <c r="M60" s="74">
        <f>M56*'Financial information 1 Pt1'!$J$6</f>
        <v>11960</v>
      </c>
      <c r="N60" s="70">
        <f>SUM(B60:M60)</f>
        <v>106256.06813594361</v>
      </c>
    </row>
    <row r="61" spans="1:14">
      <c r="A61" s="29" t="s">
        <v>54</v>
      </c>
      <c r="B61" s="74">
        <f>B56*'Financial information 1 Pt1'!$J$7</f>
        <v>5659.6499860656932</v>
      </c>
      <c r="C61" s="74">
        <f>C56*'Financial information 1 Pt1'!$J$7</f>
        <v>5850.7255627606792</v>
      </c>
      <c r="D61" s="74">
        <f>D56*'Financial information 1 Pt1'!$J$7</f>
        <v>6462.5178693667467</v>
      </c>
      <c r="E61" s="74">
        <f>E56*'Financial information 1 Pt1'!$J$7</f>
        <v>7290.7418555212362</v>
      </c>
      <c r="F61" s="74">
        <f>F56*'Financial information 1 Pt1'!$J$7</f>
        <v>7403.9767530422841</v>
      </c>
      <c r="G61" s="74">
        <f>G56*'Financial information 1 Pt1'!$J$7</f>
        <v>8370.4003801164617</v>
      </c>
      <c r="H61" s="74">
        <f>H56*'Financial information 1 Pt1'!$J$7</f>
        <v>6286.6450680802109</v>
      </c>
      <c r="I61" s="74">
        <f>I56*'Financial information 1 Pt1'!$J$7</f>
        <v>6611.4352981088741</v>
      </c>
      <c r="J61" s="74">
        <f>J56*'Financial information 1 Pt1'!$J$7</f>
        <v>6759.4259407251302</v>
      </c>
      <c r="K61" s="74">
        <f>K56*'Financial information 1 Pt1'!$J$7</f>
        <v>8147.3476206136947</v>
      </c>
      <c r="L61" s="74">
        <f>L56*'Financial information 1 Pt1'!$J$7</f>
        <v>10000</v>
      </c>
      <c r="M61" s="74">
        <f>M56*'Financial information 1 Pt1'!$J$7</f>
        <v>10000</v>
      </c>
      <c r="N61" s="70">
        <f t="shared" ref="N61:N63" si="33">SUM(B61:M61)</f>
        <v>88842.866334400998</v>
      </c>
    </row>
    <row r="62" spans="1:14" ht="15" thickBot="1">
      <c r="A62" s="29" t="s">
        <v>55</v>
      </c>
      <c r="B62" s="78">
        <f>B57*$G$2</f>
        <v>2170.1750069671534</v>
      </c>
      <c r="C62" s="78">
        <f t="shared" ref="C62:M62" si="34">C57*$G$2</f>
        <v>2074.6372186196604</v>
      </c>
      <c r="D62" s="78">
        <f t="shared" si="34"/>
        <v>1768.7410653166266</v>
      </c>
      <c r="E62" s="78">
        <f t="shared" si="34"/>
        <v>1354.6290722393819</v>
      </c>
      <c r="F62" s="78">
        <f t="shared" si="34"/>
        <v>1298.0116234788579</v>
      </c>
      <c r="G62" s="78">
        <f t="shared" si="34"/>
        <v>814.79980994176913</v>
      </c>
      <c r="H62" s="78">
        <f t="shared" si="34"/>
        <v>1856.6774659598946</v>
      </c>
      <c r="I62" s="78">
        <f t="shared" si="34"/>
        <v>1694.2823509455627</v>
      </c>
      <c r="J62" s="78">
        <f t="shared" si="34"/>
        <v>1620.2870296374351</v>
      </c>
      <c r="K62" s="78">
        <f t="shared" si="34"/>
        <v>926.32618969315274</v>
      </c>
      <c r="L62" s="78">
        <f t="shared" si="34"/>
        <v>0</v>
      </c>
      <c r="M62" s="78">
        <f t="shared" si="34"/>
        <v>0</v>
      </c>
      <c r="N62" s="70">
        <f t="shared" si="33"/>
        <v>15578.566832799495</v>
      </c>
    </row>
    <row r="63" spans="1:14" ht="15" thickTop="1">
      <c r="A63" s="63" t="s">
        <v>56</v>
      </c>
      <c r="B63" s="76">
        <f>SUM(B60:B62)</f>
        <v>14598.766376367417</v>
      </c>
      <c r="C63" s="76">
        <f t="shared" ref="C63:M63" si="35">SUM(C60:C62)</f>
        <v>14922.830554442113</v>
      </c>
      <c r="D63" s="76">
        <f t="shared" si="35"/>
        <v>15960.430306446002</v>
      </c>
      <c r="E63" s="76">
        <f t="shared" si="35"/>
        <v>17365.098186964016</v>
      </c>
      <c r="F63" s="76">
        <f t="shared" si="35"/>
        <v>17557.144573159716</v>
      </c>
      <c r="G63" s="76">
        <f t="shared" si="35"/>
        <v>19196.199044677516</v>
      </c>
      <c r="H63" s="76">
        <f t="shared" si="35"/>
        <v>15662.150035464038</v>
      </c>
      <c r="I63" s="76">
        <f t="shared" si="35"/>
        <v>16212.994265592652</v>
      </c>
      <c r="J63" s="76">
        <f t="shared" si="35"/>
        <v>16463.986395469823</v>
      </c>
      <c r="K63" s="76">
        <f t="shared" si="35"/>
        <v>18817.901564560827</v>
      </c>
      <c r="L63" s="76">
        <f t="shared" si="35"/>
        <v>21960</v>
      </c>
      <c r="M63" s="76">
        <f t="shared" si="35"/>
        <v>21960</v>
      </c>
      <c r="N63" s="70">
        <f t="shared" si="33"/>
        <v>210677.50130314415</v>
      </c>
    </row>
    <row r="64" spans="1:14">
      <c r="A64" s="64" t="s">
        <v>57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69"/>
    </row>
    <row r="65" spans="1:14">
      <c r="A65" s="29" t="s">
        <v>58</v>
      </c>
      <c r="B65" s="74">
        <f>B40</f>
        <v>5800</v>
      </c>
      <c r="C65" s="74">
        <f t="shared" ref="C65:N65" si="36">C40</f>
        <v>5800</v>
      </c>
      <c r="D65" s="74">
        <f t="shared" si="36"/>
        <v>5800</v>
      </c>
      <c r="E65" s="74">
        <f t="shared" si="36"/>
        <v>5800</v>
      </c>
      <c r="F65" s="74">
        <f t="shared" si="36"/>
        <v>5800</v>
      </c>
      <c r="G65" s="74">
        <f t="shared" si="36"/>
        <v>5800</v>
      </c>
      <c r="H65" s="74">
        <f t="shared" si="36"/>
        <v>5800</v>
      </c>
      <c r="I65" s="74">
        <f t="shared" si="36"/>
        <v>5800</v>
      </c>
      <c r="J65" s="74">
        <f t="shared" si="36"/>
        <v>5800</v>
      </c>
      <c r="K65" s="74">
        <f t="shared" si="36"/>
        <v>5800</v>
      </c>
      <c r="L65" s="74">
        <f t="shared" si="36"/>
        <v>5800</v>
      </c>
      <c r="M65" s="74">
        <f t="shared" si="36"/>
        <v>5800</v>
      </c>
      <c r="N65" s="74">
        <f t="shared" si="36"/>
        <v>69600</v>
      </c>
    </row>
    <row r="66" spans="1:14">
      <c r="A66" s="57" t="s">
        <v>59</v>
      </c>
      <c r="B66" s="74">
        <f>B41</f>
        <v>5800</v>
      </c>
      <c r="C66" s="74">
        <f t="shared" ref="C66:N66" si="37">C41</f>
        <v>5800</v>
      </c>
      <c r="D66" s="74">
        <f t="shared" si="37"/>
        <v>5800</v>
      </c>
      <c r="E66" s="74">
        <f t="shared" si="37"/>
        <v>5800</v>
      </c>
      <c r="F66" s="74">
        <f t="shared" si="37"/>
        <v>5800</v>
      </c>
      <c r="G66" s="74">
        <f t="shared" si="37"/>
        <v>5800</v>
      </c>
      <c r="H66" s="74">
        <f t="shared" si="37"/>
        <v>5800</v>
      </c>
      <c r="I66" s="74">
        <f t="shared" si="37"/>
        <v>5800</v>
      </c>
      <c r="J66" s="74">
        <f t="shared" si="37"/>
        <v>5800</v>
      </c>
      <c r="K66" s="74">
        <f t="shared" si="37"/>
        <v>5800</v>
      </c>
      <c r="L66" s="74">
        <f t="shared" si="37"/>
        <v>5800</v>
      </c>
      <c r="M66" s="74">
        <f t="shared" si="37"/>
        <v>5800</v>
      </c>
      <c r="N66" s="74">
        <f t="shared" si="37"/>
        <v>69600</v>
      </c>
    </row>
    <row r="67" spans="1:14">
      <c r="A67" s="29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0"/>
    </row>
    <row r="68" spans="1:14">
      <c r="A68" s="29" t="s">
        <v>60</v>
      </c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0"/>
    </row>
    <row r="69" spans="1:14">
      <c r="A69" s="29" t="s">
        <v>61</v>
      </c>
      <c r="B69" s="74">
        <f>B44</f>
        <v>2000</v>
      </c>
      <c r="C69" s="74">
        <f t="shared" ref="C69:N69" si="38">C44</f>
        <v>2000</v>
      </c>
      <c r="D69" s="74">
        <f t="shared" si="38"/>
        <v>2000</v>
      </c>
      <c r="E69" s="74">
        <f t="shared" si="38"/>
        <v>2000</v>
      </c>
      <c r="F69" s="74">
        <f t="shared" si="38"/>
        <v>2000</v>
      </c>
      <c r="G69" s="74">
        <f t="shared" si="38"/>
        <v>2000</v>
      </c>
      <c r="H69" s="74">
        <f t="shared" si="38"/>
        <v>2000</v>
      </c>
      <c r="I69" s="74">
        <f t="shared" si="38"/>
        <v>2000</v>
      </c>
      <c r="J69" s="74">
        <f t="shared" si="38"/>
        <v>2000</v>
      </c>
      <c r="K69" s="74">
        <f t="shared" si="38"/>
        <v>2000</v>
      </c>
      <c r="L69" s="74">
        <f t="shared" si="38"/>
        <v>2000</v>
      </c>
      <c r="M69" s="74">
        <f t="shared" si="38"/>
        <v>2000</v>
      </c>
      <c r="N69" s="74">
        <f t="shared" si="38"/>
        <v>24000</v>
      </c>
    </row>
    <row r="70" spans="1:14">
      <c r="A70" s="29" t="s">
        <v>62</v>
      </c>
      <c r="B70" s="74">
        <f>B45</f>
        <v>2400</v>
      </c>
      <c r="C70" s="74">
        <f t="shared" ref="C70:N70" si="39">C45</f>
        <v>2400</v>
      </c>
      <c r="D70" s="74">
        <f t="shared" si="39"/>
        <v>2400</v>
      </c>
      <c r="E70" s="74">
        <f t="shared" si="39"/>
        <v>2400</v>
      </c>
      <c r="F70" s="74">
        <f t="shared" si="39"/>
        <v>2400</v>
      </c>
      <c r="G70" s="74">
        <f t="shared" si="39"/>
        <v>2400</v>
      </c>
      <c r="H70" s="74">
        <f t="shared" si="39"/>
        <v>2400</v>
      </c>
      <c r="I70" s="74">
        <f t="shared" si="39"/>
        <v>2400</v>
      </c>
      <c r="J70" s="74">
        <f t="shared" si="39"/>
        <v>2400</v>
      </c>
      <c r="K70" s="74">
        <f t="shared" si="39"/>
        <v>2400</v>
      </c>
      <c r="L70" s="74">
        <f t="shared" si="39"/>
        <v>2400</v>
      </c>
      <c r="M70" s="74">
        <f t="shared" si="39"/>
        <v>2400</v>
      </c>
      <c r="N70" s="74">
        <f t="shared" si="39"/>
        <v>28800</v>
      </c>
    </row>
    <row r="71" spans="1:14">
      <c r="A71" s="57" t="s">
        <v>63</v>
      </c>
      <c r="B71" s="74">
        <f>B46</f>
        <v>4400</v>
      </c>
      <c r="C71" s="74">
        <f t="shared" ref="C71:N71" si="40">C46</f>
        <v>4400</v>
      </c>
      <c r="D71" s="74">
        <f t="shared" si="40"/>
        <v>4400</v>
      </c>
      <c r="E71" s="74">
        <f t="shared" si="40"/>
        <v>4400</v>
      </c>
      <c r="F71" s="74">
        <f t="shared" si="40"/>
        <v>4400</v>
      </c>
      <c r="G71" s="74">
        <f t="shared" si="40"/>
        <v>4400</v>
      </c>
      <c r="H71" s="74">
        <f t="shared" si="40"/>
        <v>4400</v>
      </c>
      <c r="I71" s="74">
        <f t="shared" si="40"/>
        <v>4400</v>
      </c>
      <c r="J71" s="74">
        <f t="shared" si="40"/>
        <v>4400</v>
      </c>
      <c r="K71" s="74">
        <f t="shared" si="40"/>
        <v>4400</v>
      </c>
      <c r="L71" s="74">
        <f t="shared" si="40"/>
        <v>4400</v>
      </c>
      <c r="M71" s="74">
        <f t="shared" si="40"/>
        <v>4400</v>
      </c>
      <c r="N71" s="74">
        <f t="shared" si="40"/>
        <v>52800</v>
      </c>
    </row>
    <row r="72" spans="1:14" ht="15" thickBot="1">
      <c r="A72" s="29" t="s">
        <v>64</v>
      </c>
      <c r="B72" s="80">
        <f>B58*$F$2</f>
        <v>0</v>
      </c>
      <c r="C72" s="80">
        <f t="shared" ref="C72:M72" si="41">C58*$F$2</f>
        <v>0</v>
      </c>
      <c r="D72" s="80">
        <f t="shared" si="41"/>
        <v>0</v>
      </c>
      <c r="E72" s="80">
        <f t="shared" si="41"/>
        <v>0</v>
      </c>
      <c r="F72" s="80">
        <f t="shared" si="41"/>
        <v>0</v>
      </c>
      <c r="G72" s="80">
        <f t="shared" si="41"/>
        <v>0</v>
      </c>
      <c r="H72" s="80">
        <f t="shared" si="41"/>
        <v>0</v>
      </c>
      <c r="I72" s="80">
        <f t="shared" si="41"/>
        <v>0</v>
      </c>
      <c r="J72" s="80">
        <f t="shared" si="41"/>
        <v>0</v>
      </c>
      <c r="K72" s="80">
        <f t="shared" si="41"/>
        <v>0</v>
      </c>
      <c r="L72" s="80">
        <f t="shared" si="41"/>
        <v>2.9309478342729562</v>
      </c>
      <c r="M72" s="80">
        <f t="shared" si="41"/>
        <v>2332.4068205104904</v>
      </c>
      <c r="N72" s="72">
        <f>SUM(B72:M72)</f>
        <v>2335.3377683447634</v>
      </c>
    </row>
    <row r="73" spans="1:14" ht="15" thickTop="1">
      <c r="A73" s="63" t="s">
        <v>65</v>
      </c>
      <c r="B73" s="76">
        <f>B66+B71+B72</f>
        <v>10200</v>
      </c>
      <c r="C73" s="76">
        <f t="shared" ref="C73:M73" si="42">C66+C71+C72</f>
        <v>10200</v>
      </c>
      <c r="D73" s="76">
        <f t="shared" si="42"/>
        <v>10200</v>
      </c>
      <c r="E73" s="76">
        <f t="shared" si="42"/>
        <v>10200</v>
      </c>
      <c r="F73" s="76">
        <f t="shared" si="42"/>
        <v>10200</v>
      </c>
      <c r="G73" s="76">
        <f t="shared" si="42"/>
        <v>10200</v>
      </c>
      <c r="H73" s="76">
        <f t="shared" si="42"/>
        <v>10200</v>
      </c>
      <c r="I73" s="76">
        <f t="shared" si="42"/>
        <v>10200</v>
      </c>
      <c r="J73" s="76">
        <f t="shared" si="42"/>
        <v>10200</v>
      </c>
      <c r="K73" s="76">
        <f t="shared" si="42"/>
        <v>10200</v>
      </c>
      <c r="L73" s="76">
        <f t="shared" si="42"/>
        <v>10202.930947834273</v>
      </c>
      <c r="M73" s="76">
        <f t="shared" si="42"/>
        <v>12532.40682051049</v>
      </c>
      <c r="N73" s="70">
        <f>SUM(B73:M73)</f>
        <v>124735.33776834476</v>
      </c>
    </row>
    <row r="74" spans="1:14" ht="15" thickBot="1">
      <c r="A74" s="29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104"/>
    </row>
    <row r="75" spans="1:14" ht="15.6" thickTop="1" thickBot="1">
      <c r="A75" s="65" t="s">
        <v>66</v>
      </c>
      <c r="B75" s="82">
        <f>B63-B73</f>
        <v>4398.7663763674173</v>
      </c>
      <c r="C75" s="82">
        <f t="shared" ref="C75:M75" si="43">C63-C73</f>
        <v>4722.8305544421128</v>
      </c>
      <c r="D75" s="82">
        <f t="shared" si="43"/>
        <v>5760.4303064460019</v>
      </c>
      <c r="E75" s="82">
        <f t="shared" si="43"/>
        <v>7165.0981869640163</v>
      </c>
      <c r="F75" s="82">
        <f t="shared" si="43"/>
        <v>7357.1445731597159</v>
      </c>
      <c r="G75" s="82">
        <f t="shared" si="43"/>
        <v>8996.1990446775162</v>
      </c>
      <c r="H75" s="82">
        <f t="shared" si="43"/>
        <v>5462.1500354640375</v>
      </c>
      <c r="I75" s="82">
        <f t="shared" si="43"/>
        <v>6012.9942655926516</v>
      </c>
      <c r="J75" s="82">
        <f t="shared" si="43"/>
        <v>6263.986395469823</v>
      </c>
      <c r="K75" s="82">
        <f t="shared" si="43"/>
        <v>8617.901564560827</v>
      </c>
      <c r="L75" s="82">
        <f t="shared" si="43"/>
        <v>11757.069052165727</v>
      </c>
      <c r="M75" s="82">
        <f t="shared" si="43"/>
        <v>9427.5931794895096</v>
      </c>
      <c r="N75" s="73">
        <f>SUM(B75:M75)</f>
        <v>85942.163534799358</v>
      </c>
    </row>
    <row r="200" spans="26:26">
      <c r="Z200" t="s">
        <v>107</v>
      </c>
    </row>
    <row r="201" spans="26:26">
      <c r="Z201" t="s">
        <v>106</v>
      </c>
    </row>
  </sheetData>
  <mergeCells count="1">
    <mergeCell ref="B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BF12-166F-4CC4-8926-9C87680F07BC}">
  <sheetPr codeName="Sheet7"/>
  <dimension ref="A1:N75"/>
  <sheetViews>
    <sheetView topLeftCell="A28" zoomScale="98" zoomScaleNormal="98" workbookViewId="0">
      <selection activeCell="N1" sqref="N1"/>
    </sheetView>
  </sheetViews>
  <sheetFormatPr defaultColWidth="8.88671875" defaultRowHeight="14.4"/>
  <cols>
    <col min="1" max="1" width="25.109375" bestFit="1" customWidth="1"/>
    <col min="2" max="13" width="13.44140625" customWidth="1"/>
    <col min="14" max="14" width="14.44140625" bestFit="1" customWidth="1"/>
  </cols>
  <sheetData>
    <row r="1" spans="1:14">
      <c r="A1" s="27" t="s">
        <v>105</v>
      </c>
      <c r="B1" s="183" t="s">
        <v>122</v>
      </c>
      <c r="C1" s="183"/>
      <c r="D1" s="184"/>
      <c r="E1" s="28" t="s">
        <v>32</v>
      </c>
      <c r="F1" s="28" t="s">
        <v>33</v>
      </c>
      <c r="G1" s="31" t="s">
        <v>34</v>
      </c>
    </row>
    <row r="2" spans="1:14">
      <c r="A2" s="55" t="s">
        <v>101</v>
      </c>
      <c r="B2" s="183"/>
      <c r="C2" s="183"/>
      <c r="D2" s="184"/>
      <c r="E2" s="32">
        <f>'Financial information 1 Pt1'!B31*(1+'Financial information 1 Pt1'!B38)</f>
        <v>5280</v>
      </c>
      <c r="F2" s="32">
        <f>'Financial information 1 Pt1'!B32</f>
        <v>3</v>
      </c>
      <c r="G2" s="33">
        <f>'Financial information 1 Pt1'!B33</f>
        <v>1.25</v>
      </c>
    </row>
    <row r="3" spans="1:14" ht="15" thickBot="1">
      <c r="A3" s="27" t="s">
        <v>48</v>
      </c>
    </row>
    <row r="4" spans="1:14">
      <c r="A4" s="61" t="s">
        <v>7</v>
      </c>
      <c r="B4" s="59">
        <v>44927</v>
      </c>
      <c r="C4" s="59">
        <v>44958</v>
      </c>
      <c r="D4" s="59">
        <v>44986</v>
      </c>
      <c r="E4" s="59">
        <v>45017</v>
      </c>
      <c r="F4" s="59">
        <v>45047</v>
      </c>
      <c r="G4" s="59">
        <v>45078</v>
      </c>
      <c r="H4" s="59">
        <v>45108</v>
      </c>
      <c r="I4" s="59">
        <v>45139</v>
      </c>
      <c r="J4" s="59">
        <v>45170</v>
      </c>
      <c r="K4" s="59">
        <v>45200</v>
      </c>
      <c r="L4" s="59">
        <v>45231</v>
      </c>
      <c r="M4" s="59">
        <v>45261</v>
      </c>
      <c r="N4" s="68" t="s">
        <v>102</v>
      </c>
    </row>
    <row r="5" spans="1:14">
      <c r="A5" s="29" t="s">
        <v>39</v>
      </c>
      <c r="B5" s="74">
        <f>'Current operations  Pt3 '!B5*(1+'Financial information 1 Pt1'!$B$39)</f>
        <v>3732.3097205406193</v>
      </c>
      <c r="C5" s="74">
        <f>'Current operations  Pt3 '!C5*(1+'Financial information 1 Pt1'!$B$39)</f>
        <v>3858.3163170637986</v>
      </c>
      <c r="D5" s="74">
        <f>'Current operations  Pt3 '!D5*(1+'Financial information 1 Pt1'!$B$39)</f>
        <v>4261.7685408796924</v>
      </c>
      <c r="E5" s="74">
        <f>'Current operations  Pt3 '!E5*(1+'Financial information 1 Pt1'!$B$39)</f>
        <v>4807.9486831004906</v>
      </c>
      <c r="F5" s="74">
        <f>'Current operations  Pt3 '!F5*(1+'Financial information 1 Pt1'!$B$39)</f>
        <v>4882.6225074116683</v>
      </c>
      <c r="G5" s="74">
        <f>'Current operations  Pt3 '!G5*(1+'Financial information 1 Pt1'!$B$39)</f>
        <v>5519.9397101308559</v>
      </c>
      <c r="H5" s="74">
        <f>'Current operations  Pt3 '!H5*(1+'Financial information 1 Pt1'!$B$39)</f>
        <v>4145.7875584096519</v>
      </c>
      <c r="I5" s="74">
        <f>'Current operations  Pt3 '!I5*(1+'Financial information 1 Pt1'!$B$39)</f>
        <v>4359.9735479420688</v>
      </c>
      <c r="J5" s="74">
        <f>'Current operations  Pt3 '!J5*(1+'Financial information 1 Pt1'!$B$39)</f>
        <v>4457.5673771268421</v>
      </c>
      <c r="K5" s="74">
        <f>'Current operations  Pt3 '!K5*(1+'Financial information 1 Pt1'!$B$39)</f>
        <v>5372.8454579182198</v>
      </c>
      <c r="L5" s="74">
        <f>'Current operations  Pt3 '!L5*(1+'Financial information 1 Pt1'!$B$39)</f>
        <v>6596.2052956566731</v>
      </c>
      <c r="M5" s="74">
        <f>'Current operations  Pt3 '!M5*(1+'Financial information 1 Pt1'!$B$39)</f>
        <v>7876.3677121724322</v>
      </c>
      <c r="N5" s="74">
        <f>'Current operations  Pt3 '!N5</f>
        <v>49075.124941272959</v>
      </c>
    </row>
    <row r="6" spans="1:14">
      <c r="A6" s="29" t="s">
        <v>49</v>
      </c>
      <c r="B6" s="74">
        <f>MIN(B5,$E$2)</f>
        <v>3732.3097205406193</v>
      </c>
      <c r="C6" s="74">
        <f t="shared" ref="C6:M6" si="0">MIN(C5,$E$2)</f>
        <v>3858.3163170637986</v>
      </c>
      <c r="D6" s="74">
        <f t="shared" si="0"/>
        <v>4261.7685408796924</v>
      </c>
      <c r="E6" s="74">
        <f t="shared" si="0"/>
        <v>4807.9486831004906</v>
      </c>
      <c r="F6" s="74">
        <f t="shared" si="0"/>
        <v>4882.6225074116683</v>
      </c>
      <c r="G6" s="74">
        <f t="shared" si="0"/>
        <v>5280</v>
      </c>
      <c r="H6" s="74">
        <f t="shared" si="0"/>
        <v>4145.7875584096519</v>
      </c>
      <c r="I6" s="74">
        <f t="shared" si="0"/>
        <v>4359.9735479420688</v>
      </c>
      <c r="J6" s="74">
        <f t="shared" si="0"/>
        <v>4457.5673771268421</v>
      </c>
      <c r="K6" s="74">
        <f t="shared" si="0"/>
        <v>5280</v>
      </c>
      <c r="L6" s="74">
        <f t="shared" si="0"/>
        <v>5280</v>
      </c>
      <c r="M6" s="74">
        <f t="shared" si="0"/>
        <v>5280</v>
      </c>
      <c r="N6" s="74">
        <f>SUM(B6:M6)</f>
        <v>55626.294252474829</v>
      </c>
    </row>
    <row r="7" spans="1:14">
      <c r="A7" s="29" t="s">
        <v>50</v>
      </c>
      <c r="B7" s="74">
        <f>IF(B5&lt;$E$2,$E$2-B5,0)</f>
        <v>1547.6902794593807</v>
      </c>
      <c r="C7" s="74">
        <f t="shared" ref="C7:M7" si="1">IF(C5&lt;$E$2,$E$2-C5,0)</f>
        <v>1421.6836829362014</v>
      </c>
      <c r="D7" s="74">
        <f t="shared" si="1"/>
        <v>1018.2314591203076</v>
      </c>
      <c r="E7" s="74">
        <f t="shared" si="1"/>
        <v>472.0513168995094</v>
      </c>
      <c r="F7" s="74">
        <f t="shared" si="1"/>
        <v>397.37749258833173</v>
      </c>
      <c r="G7" s="74">
        <f t="shared" si="1"/>
        <v>0</v>
      </c>
      <c r="H7" s="74">
        <f t="shared" si="1"/>
        <v>1134.2124415903481</v>
      </c>
      <c r="I7" s="74">
        <f t="shared" si="1"/>
        <v>920.02645205793124</v>
      </c>
      <c r="J7" s="74">
        <f t="shared" si="1"/>
        <v>822.43262287315792</v>
      </c>
      <c r="K7" s="74">
        <f t="shared" si="1"/>
        <v>0</v>
      </c>
      <c r="L7" s="74">
        <f t="shared" si="1"/>
        <v>0</v>
      </c>
      <c r="M7" s="74">
        <f t="shared" si="1"/>
        <v>0</v>
      </c>
      <c r="N7" s="74">
        <f t="shared" ref="N7:N8" si="2">SUM(B7:M7)</f>
        <v>7733.7057475251677</v>
      </c>
    </row>
    <row r="8" spans="1:14">
      <c r="A8" s="30" t="s">
        <v>51</v>
      </c>
      <c r="B8" s="75">
        <f>IF(B5&gt;$E$2,B5-$E$2,0)</f>
        <v>0</v>
      </c>
      <c r="C8" s="75">
        <f t="shared" ref="C8:M8" si="3">IF(C5&gt;$E$2,C5-$E$2,0)</f>
        <v>0</v>
      </c>
      <c r="D8" s="75">
        <f t="shared" si="3"/>
        <v>0</v>
      </c>
      <c r="E8" s="75">
        <f t="shared" si="3"/>
        <v>0</v>
      </c>
      <c r="F8" s="75">
        <f t="shared" si="3"/>
        <v>0</v>
      </c>
      <c r="G8" s="75">
        <f t="shared" si="3"/>
        <v>239.93971013085593</v>
      </c>
      <c r="H8" s="75">
        <f t="shared" si="3"/>
        <v>0</v>
      </c>
      <c r="I8" s="75">
        <f t="shared" si="3"/>
        <v>0</v>
      </c>
      <c r="J8" s="75">
        <f t="shared" si="3"/>
        <v>0</v>
      </c>
      <c r="K8" s="75">
        <f t="shared" si="3"/>
        <v>92.845457918219836</v>
      </c>
      <c r="L8" s="75">
        <f t="shared" si="3"/>
        <v>1316.2052956566731</v>
      </c>
      <c r="M8" s="75">
        <f t="shared" si="3"/>
        <v>2596.3677121724322</v>
      </c>
      <c r="N8" s="74">
        <f t="shared" si="2"/>
        <v>4245.3581758781811</v>
      </c>
    </row>
    <row r="9" spans="1:14">
      <c r="A9" s="62" t="s">
        <v>52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69"/>
    </row>
    <row r="10" spans="1:14">
      <c r="A10" s="29" t="s">
        <v>53</v>
      </c>
      <c r="B10" s="74">
        <f>B6*'Financial information 1 Pt1'!$J$6</f>
        <v>11159.606064416452</v>
      </c>
      <c r="C10" s="74">
        <f>C6*'Financial information 1 Pt1'!$J$6</f>
        <v>11536.365788020759</v>
      </c>
      <c r="D10" s="74">
        <f>D6*'Financial information 1 Pt1'!$J$6</f>
        <v>12742.687937230281</v>
      </c>
      <c r="E10" s="74">
        <f>E6*'Financial information 1 Pt1'!$J$6</f>
        <v>14375.766562470468</v>
      </c>
      <c r="F10" s="74">
        <f>F6*'Financial information 1 Pt1'!$J$6</f>
        <v>14599.041297160889</v>
      </c>
      <c r="G10" s="74">
        <f>G6*'Financial information 1 Pt1'!$J$6</f>
        <v>15787.2</v>
      </c>
      <c r="H10" s="74">
        <f>H6*'Financial information 1 Pt1'!$J$6</f>
        <v>12395.904799644861</v>
      </c>
      <c r="I10" s="74">
        <f>I6*'Financial information 1 Pt1'!$J$6</f>
        <v>13036.320908346786</v>
      </c>
      <c r="J10" s="74">
        <f>J6*'Financial information 1 Pt1'!$J$6</f>
        <v>13328.126457609258</v>
      </c>
      <c r="K10" s="74">
        <f>K6*'Financial information 1 Pt1'!$J$6</f>
        <v>15787.2</v>
      </c>
      <c r="L10" s="74">
        <f>L6*'Financial information 1 Pt1'!$J$6</f>
        <v>15787.2</v>
      </c>
      <c r="M10" s="74">
        <f>M6*'Financial information 1 Pt1'!$J$6</f>
        <v>15787.2</v>
      </c>
      <c r="N10" s="70">
        <f>SUM(B10:M10)</f>
        <v>166322.61981489978</v>
      </c>
    </row>
    <row r="11" spans="1:14">
      <c r="A11" s="29" t="s">
        <v>54</v>
      </c>
      <c r="B11" s="74">
        <f>B6*'Financial information 1 Pt1'!$J$7</f>
        <v>9330.7743013515483</v>
      </c>
      <c r="C11" s="74">
        <f>C6*'Financial information 1 Pt1'!$J$7</f>
        <v>9645.7907926594962</v>
      </c>
      <c r="D11" s="74">
        <f>D6*'Financial information 1 Pt1'!$J$7</f>
        <v>10654.421352199231</v>
      </c>
      <c r="E11" s="74">
        <f>E6*'Financial information 1 Pt1'!$J$7</f>
        <v>12019.871707751226</v>
      </c>
      <c r="F11" s="74">
        <f>F6*'Financial information 1 Pt1'!$J$7</f>
        <v>12206.55626852917</v>
      </c>
      <c r="G11" s="74">
        <f>G6*'Financial information 1 Pt1'!$J$7</f>
        <v>13200</v>
      </c>
      <c r="H11" s="74">
        <f>H6*'Financial information 1 Pt1'!$J$7</f>
        <v>10364.468896024129</v>
      </c>
      <c r="I11" s="74">
        <f>I6*'Financial information 1 Pt1'!$J$7</f>
        <v>10899.933869855173</v>
      </c>
      <c r="J11" s="74">
        <f>J6*'Financial information 1 Pt1'!$J$7</f>
        <v>11143.918442817105</v>
      </c>
      <c r="K11" s="74">
        <f>K6*'Financial information 1 Pt1'!$J$7</f>
        <v>13200</v>
      </c>
      <c r="L11" s="74">
        <f>L6*'Financial information 1 Pt1'!$J$7</f>
        <v>13200</v>
      </c>
      <c r="M11" s="74">
        <f>M6*'Financial information 1 Pt1'!$J$7</f>
        <v>13200</v>
      </c>
      <c r="N11" s="70">
        <f>SUM(B11:M11)</f>
        <v>139065.73563118707</v>
      </c>
    </row>
    <row r="12" spans="1:14" ht="15" thickBot="1">
      <c r="A12" s="29" t="s">
        <v>55</v>
      </c>
      <c r="B12" s="78">
        <f>B7*$G$2</f>
        <v>1934.6128493242259</v>
      </c>
      <c r="C12" s="78">
        <f t="shared" ref="C12:M12" si="4">C7*$G$2</f>
        <v>1777.1046036702519</v>
      </c>
      <c r="D12" s="78">
        <f t="shared" si="4"/>
        <v>1272.7893239003845</v>
      </c>
      <c r="E12" s="78">
        <f t="shared" si="4"/>
        <v>590.06414612438675</v>
      </c>
      <c r="F12" s="78">
        <f t="shared" si="4"/>
        <v>496.72186573541467</v>
      </c>
      <c r="G12" s="78">
        <f t="shared" si="4"/>
        <v>0</v>
      </c>
      <c r="H12" s="78">
        <f t="shared" si="4"/>
        <v>1417.7655519879352</v>
      </c>
      <c r="I12" s="78">
        <f t="shared" si="4"/>
        <v>1150.033065072414</v>
      </c>
      <c r="J12" s="78">
        <f t="shared" si="4"/>
        <v>1028.0407785914474</v>
      </c>
      <c r="K12" s="78">
        <f t="shared" si="4"/>
        <v>0</v>
      </c>
      <c r="L12" s="78">
        <f t="shared" si="4"/>
        <v>0</v>
      </c>
      <c r="M12" s="78">
        <f t="shared" si="4"/>
        <v>0</v>
      </c>
      <c r="N12" s="72">
        <f>SUM(B12:M12)</f>
        <v>9667.1321844064587</v>
      </c>
    </row>
    <row r="13" spans="1:14" ht="15.6" thickTop="1" thickBot="1">
      <c r="A13" s="63" t="s">
        <v>56</v>
      </c>
      <c r="B13" s="76">
        <f>SUM(B10:B12)</f>
        <v>22424.993215092225</v>
      </c>
      <c r="C13" s="76">
        <f t="shared" ref="C13:M13" si="5">SUM(C10:C12)</f>
        <v>22959.261184350507</v>
      </c>
      <c r="D13" s="76">
        <f t="shared" si="5"/>
        <v>24669.8986133299</v>
      </c>
      <c r="E13" s="76">
        <f t="shared" si="5"/>
        <v>26985.702416346081</v>
      </c>
      <c r="F13" s="76">
        <f t="shared" si="5"/>
        <v>27302.319431425472</v>
      </c>
      <c r="G13" s="76">
        <f t="shared" si="5"/>
        <v>28987.200000000001</v>
      </c>
      <c r="H13" s="76">
        <f t="shared" si="5"/>
        <v>24178.139247656924</v>
      </c>
      <c r="I13" s="76">
        <f t="shared" si="5"/>
        <v>25086.287843274375</v>
      </c>
      <c r="J13" s="76">
        <f t="shared" si="5"/>
        <v>25500.085679017811</v>
      </c>
      <c r="K13" s="76">
        <f t="shared" si="5"/>
        <v>28987.200000000001</v>
      </c>
      <c r="L13" s="76">
        <f t="shared" si="5"/>
        <v>28987.200000000001</v>
      </c>
      <c r="M13" s="76">
        <f t="shared" si="5"/>
        <v>28987.200000000001</v>
      </c>
      <c r="N13" s="72">
        <f>SUM(B13:M13)</f>
        <v>315055.48763049336</v>
      </c>
    </row>
    <row r="14" spans="1:14" ht="15" thickTop="1">
      <c r="A14" s="64" t="s">
        <v>57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69"/>
    </row>
    <row r="15" spans="1:14">
      <c r="A15" s="29" t="s">
        <v>58</v>
      </c>
      <c r="B15" s="74">
        <f>'Financial information 1 Pt1'!B37+'Financial information 1 Pt1'!J5</f>
        <v>10150</v>
      </c>
      <c r="C15" s="74">
        <f>B15</f>
        <v>10150</v>
      </c>
      <c r="D15" s="74">
        <f>C15</f>
        <v>10150</v>
      </c>
      <c r="E15" s="74">
        <f t="shared" ref="E15:M15" si="6">D15</f>
        <v>10150</v>
      </c>
      <c r="F15" s="74">
        <f t="shared" si="6"/>
        <v>10150</v>
      </c>
      <c r="G15" s="74">
        <f t="shared" si="6"/>
        <v>10150</v>
      </c>
      <c r="H15" s="74">
        <f t="shared" si="6"/>
        <v>10150</v>
      </c>
      <c r="I15" s="74">
        <f t="shared" si="6"/>
        <v>10150</v>
      </c>
      <c r="J15" s="74">
        <f t="shared" si="6"/>
        <v>10150</v>
      </c>
      <c r="K15" s="74">
        <f t="shared" si="6"/>
        <v>10150</v>
      </c>
      <c r="L15" s="74">
        <f t="shared" si="6"/>
        <v>10150</v>
      </c>
      <c r="M15" s="74">
        <f t="shared" si="6"/>
        <v>10150</v>
      </c>
      <c r="N15" s="70">
        <f>SUM(B15:M15)</f>
        <v>121800</v>
      </c>
    </row>
    <row r="16" spans="1:14">
      <c r="A16" s="57" t="s">
        <v>59</v>
      </c>
      <c r="B16" s="74">
        <f>B15</f>
        <v>10150</v>
      </c>
      <c r="C16" s="74">
        <f>B16</f>
        <v>10150</v>
      </c>
      <c r="D16" s="74">
        <f t="shared" ref="D16" si="7">D15</f>
        <v>10150</v>
      </c>
      <c r="E16" s="74">
        <f t="shared" ref="E16" si="8">D16</f>
        <v>10150</v>
      </c>
      <c r="F16" s="74">
        <f t="shared" ref="F16" si="9">F15</f>
        <v>10150</v>
      </c>
      <c r="G16" s="74">
        <f t="shared" ref="G16" si="10">F16</f>
        <v>10150</v>
      </c>
      <c r="H16" s="74">
        <f t="shared" ref="H16" si="11">H15</f>
        <v>10150</v>
      </c>
      <c r="I16" s="74">
        <f t="shared" ref="I16" si="12">H16</f>
        <v>10150</v>
      </c>
      <c r="J16" s="74">
        <f t="shared" ref="J16" si="13">J15</f>
        <v>10150</v>
      </c>
      <c r="K16" s="74">
        <f t="shared" ref="K16" si="14">J16</f>
        <v>10150</v>
      </c>
      <c r="L16" s="74">
        <f t="shared" ref="L16" si="15">L15</f>
        <v>10150</v>
      </c>
      <c r="M16" s="74">
        <f t="shared" ref="M16" si="16">L16</f>
        <v>10150</v>
      </c>
      <c r="N16" s="70">
        <f>SUM(B16:M16)</f>
        <v>121800</v>
      </c>
    </row>
    <row r="17" spans="1:14">
      <c r="A17" s="29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0"/>
    </row>
    <row r="18" spans="1:14">
      <c r="A18" s="29" t="s">
        <v>60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0"/>
    </row>
    <row r="19" spans="1:14">
      <c r="A19" s="29" t="s">
        <v>61</v>
      </c>
      <c r="B19" s="74">
        <f>$E$2*'Financial information 1 Pt1'!J8</f>
        <v>2640</v>
      </c>
      <c r="C19" s="74">
        <f>B19</f>
        <v>2640</v>
      </c>
      <c r="D19" s="74">
        <f>C19</f>
        <v>2640</v>
      </c>
      <c r="E19" s="74">
        <f t="shared" ref="E19:M19" si="17">D19</f>
        <v>2640</v>
      </c>
      <c r="F19" s="74">
        <f t="shared" si="17"/>
        <v>2640</v>
      </c>
      <c r="G19" s="74">
        <f t="shared" si="17"/>
        <v>2640</v>
      </c>
      <c r="H19" s="74">
        <f t="shared" si="17"/>
        <v>2640</v>
      </c>
      <c r="I19" s="74">
        <f t="shared" si="17"/>
        <v>2640</v>
      </c>
      <c r="J19" s="74">
        <f t="shared" si="17"/>
        <v>2640</v>
      </c>
      <c r="K19" s="74">
        <f t="shared" si="17"/>
        <v>2640</v>
      </c>
      <c r="L19" s="74">
        <f t="shared" si="17"/>
        <v>2640</v>
      </c>
      <c r="M19" s="74">
        <f t="shared" si="17"/>
        <v>2640</v>
      </c>
      <c r="N19" s="74">
        <f>SUM(B19:M19)</f>
        <v>31680</v>
      </c>
    </row>
    <row r="20" spans="1:14">
      <c r="A20" s="29" t="s">
        <v>62</v>
      </c>
      <c r="B20" s="74">
        <f>E2*'Financial information 1 Pt1'!$J$9</f>
        <v>3168</v>
      </c>
      <c r="C20" s="74">
        <f>E2*'Financial information 1 Pt1'!$J$9</f>
        <v>3168</v>
      </c>
      <c r="D20" s="74">
        <f>C20</f>
        <v>3168</v>
      </c>
      <c r="E20" s="74">
        <f t="shared" ref="E20:M20" si="18">D20</f>
        <v>3168</v>
      </c>
      <c r="F20" s="74">
        <f t="shared" si="18"/>
        <v>3168</v>
      </c>
      <c r="G20" s="74">
        <f t="shared" si="18"/>
        <v>3168</v>
      </c>
      <c r="H20" s="74">
        <f t="shared" si="18"/>
        <v>3168</v>
      </c>
      <c r="I20" s="74">
        <f t="shared" si="18"/>
        <v>3168</v>
      </c>
      <c r="J20" s="74">
        <f t="shared" si="18"/>
        <v>3168</v>
      </c>
      <c r="K20" s="74">
        <f t="shared" si="18"/>
        <v>3168</v>
      </c>
      <c r="L20" s="74">
        <f t="shared" si="18"/>
        <v>3168</v>
      </c>
      <c r="M20" s="74">
        <f t="shared" si="18"/>
        <v>3168</v>
      </c>
      <c r="N20" s="74">
        <f>SUM(B20:M20)</f>
        <v>38016</v>
      </c>
    </row>
    <row r="21" spans="1:14">
      <c r="A21" s="57" t="s">
        <v>63</v>
      </c>
      <c r="B21" s="74">
        <f>SUM(B19:B20)</f>
        <v>5808</v>
      </c>
      <c r="C21" s="74">
        <f t="shared" ref="C21:M21" si="19">SUM(C19:C20)</f>
        <v>5808</v>
      </c>
      <c r="D21" s="74">
        <f t="shared" si="19"/>
        <v>5808</v>
      </c>
      <c r="E21" s="74">
        <f t="shared" si="19"/>
        <v>5808</v>
      </c>
      <c r="F21" s="74">
        <f t="shared" si="19"/>
        <v>5808</v>
      </c>
      <c r="G21" s="74">
        <f t="shared" si="19"/>
        <v>5808</v>
      </c>
      <c r="H21" s="74">
        <f t="shared" si="19"/>
        <v>5808</v>
      </c>
      <c r="I21" s="74">
        <f t="shared" si="19"/>
        <v>5808</v>
      </c>
      <c r="J21" s="74">
        <f t="shared" si="19"/>
        <v>5808</v>
      </c>
      <c r="K21" s="74">
        <f t="shared" si="19"/>
        <v>5808</v>
      </c>
      <c r="L21" s="74">
        <f t="shared" si="19"/>
        <v>5808</v>
      </c>
      <c r="M21" s="74">
        <f t="shared" si="19"/>
        <v>5808</v>
      </c>
      <c r="N21" s="74">
        <f>SUM(B21:M21)</f>
        <v>69696</v>
      </c>
    </row>
    <row r="22" spans="1:14" ht="15" thickBot="1">
      <c r="A22" s="29" t="s">
        <v>64</v>
      </c>
      <c r="B22" s="80">
        <f>B8*$F$2</f>
        <v>0</v>
      </c>
      <c r="C22" s="80">
        <f t="shared" ref="C22:M22" si="20">C8*$F$2</f>
        <v>0</v>
      </c>
      <c r="D22" s="80">
        <f t="shared" si="20"/>
        <v>0</v>
      </c>
      <c r="E22" s="80">
        <f t="shared" si="20"/>
        <v>0</v>
      </c>
      <c r="F22" s="80">
        <f t="shared" si="20"/>
        <v>0</v>
      </c>
      <c r="G22" s="80">
        <f t="shared" si="20"/>
        <v>719.81913039256779</v>
      </c>
      <c r="H22" s="80">
        <f t="shared" si="20"/>
        <v>0</v>
      </c>
      <c r="I22" s="80">
        <f t="shared" si="20"/>
        <v>0</v>
      </c>
      <c r="J22" s="80">
        <f t="shared" si="20"/>
        <v>0</v>
      </c>
      <c r="K22" s="80">
        <f t="shared" si="20"/>
        <v>278.53637375465951</v>
      </c>
      <c r="L22" s="80">
        <f t="shared" si="20"/>
        <v>3948.6158869700193</v>
      </c>
      <c r="M22" s="80">
        <f t="shared" si="20"/>
        <v>7789.1031365172967</v>
      </c>
      <c r="N22" s="72">
        <f>SUM(B22:M22)</f>
        <v>12736.074527634544</v>
      </c>
    </row>
    <row r="23" spans="1:14" ht="15.6" thickTop="1" thickBot="1">
      <c r="A23" s="63" t="s">
        <v>65</v>
      </c>
      <c r="B23" s="76">
        <f>B16+B21+B22</f>
        <v>15958</v>
      </c>
      <c r="C23" s="76">
        <f t="shared" ref="C23:M23" si="21">C16+C21+C22</f>
        <v>15958</v>
      </c>
      <c r="D23" s="76">
        <f t="shared" si="21"/>
        <v>15958</v>
      </c>
      <c r="E23" s="76">
        <f t="shared" si="21"/>
        <v>15958</v>
      </c>
      <c r="F23" s="76">
        <f t="shared" si="21"/>
        <v>15958</v>
      </c>
      <c r="G23" s="76">
        <f t="shared" si="21"/>
        <v>16677.819130392567</v>
      </c>
      <c r="H23" s="76">
        <f t="shared" si="21"/>
        <v>15958</v>
      </c>
      <c r="I23" s="76">
        <f t="shared" si="21"/>
        <v>15958</v>
      </c>
      <c r="J23" s="76">
        <f t="shared" si="21"/>
        <v>15958</v>
      </c>
      <c r="K23" s="76">
        <f t="shared" si="21"/>
        <v>16236.53637375466</v>
      </c>
      <c r="L23" s="76">
        <f t="shared" si="21"/>
        <v>19906.615886970019</v>
      </c>
      <c r="M23" s="76">
        <f t="shared" si="21"/>
        <v>23747.103136517297</v>
      </c>
      <c r="N23" s="72">
        <f>SUM(B23:M23)</f>
        <v>204232.07452763454</v>
      </c>
    </row>
    <row r="24" spans="1:14" ht="15.6" thickTop="1" thickBot="1">
      <c r="A24" s="29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04"/>
    </row>
    <row r="25" spans="1:14" ht="15.6" thickTop="1" thickBot="1">
      <c r="A25" s="65" t="s">
        <v>66</v>
      </c>
      <c r="B25" s="82">
        <f>B13-B23</f>
        <v>6466.993215092225</v>
      </c>
      <c r="C25" s="82">
        <f t="shared" ref="C25:M25" si="22">C13-C23</f>
        <v>7001.2611843505074</v>
      </c>
      <c r="D25" s="82">
        <f t="shared" si="22"/>
        <v>8711.8986133299004</v>
      </c>
      <c r="E25" s="82">
        <f t="shared" si="22"/>
        <v>11027.702416346081</v>
      </c>
      <c r="F25" s="82">
        <f t="shared" si="22"/>
        <v>11344.319431425472</v>
      </c>
      <c r="G25" s="82">
        <f t="shared" si="22"/>
        <v>12309.380869607434</v>
      </c>
      <c r="H25" s="82">
        <f t="shared" si="22"/>
        <v>8220.1392476569235</v>
      </c>
      <c r="I25" s="82">
        <f t="shared" si="22"/>
        <v>9128.2878432743746</v>
      </c>
      <c r="J25" s="82">
        <f t="shared" si="22"/>
        <v>9542.0856790178113</v>
      </c>
      <c r="K25" s="82">
        <f t="shared" si="22"/>
        <v>12750.663626245341</v>
      </c>
      <c r="L25" s="82">
        <f t="shared" si="22"/>
        <v>9080.5841130299814</v>
      </c>
      <c r="M25" s="82">
        <f t="shared" si="22"/>
        <v>5240.0968634827041</v>
      </c>
      <c r="N25" s="73">
        <f>SUM(B25:M25)</f>
        <v>110823.41310285876</v>
      </c>
    </row>
    <row r="27" spans="1:14">
      <c r="A27" s="55" t="s">
        <v>103</v>
      </c>
      <c r="B27" t="s">
        <v>104</v>
      </c>
    </row>
    <row r="28" spans="1:14" ht="15" thickBot="1">
      <c r="A28" s="27" t="s">
        <v>67</v>
      </c>
    </row>
    <row r="29" spans="1:14">
      <c r="A29" s="61" t="s">
        <v>7</v>
      </c>
      <c r="B29" s="59">
        <f>B4</f>
        <v>44927</v>
      </c>
      <c r="C29" s="59">
        <f t="shared" ref="C29:M29" si="23">C4</f>
        <v>44958</v>
      </c>
      <c r="D29" s="59">
        <f t="shared" si="23"/>
        <v>44986</v>
      </c>
      <c r="E29" s="59">
        <f t="shared" si="23"/>
        <v>45017</v>
      </c>
      <c r="F29" s="59">
        <f t="shared" si="23"/>
        <v>45047</v>
      </c>
      <c r="G29" s="59">
        <f t="shared" si="23"/>
        <v>45078</v>
      </c>
      <c r="H29" s="59">
        <f t="shared" si="23"/>
        <v>45108</v>
      </c>
      <c r="I29" s="59">
        <f t="shared" si="23"/>
        <v>45139</v>
      </c>
      <c r="J29" s="59">
        <f t="shared" si="23"/>
        <v>45170</v>
      </c>
      <c r="K29" s="59">
        <f t="shared" si="23"/>
        <v>45200</v>
      </c>
      <c r="L29" s="59">
        <f t="shared" si="23"/>
        <v>45231</v>
      </c>
      <c r="M29" s="59">
        <f t="shared" si="23"/>
        <v>45261</v>
      </c>
      <c r="N29" s="68" t="s">
        <v>102</v>
      </c>
    </row>
    <row r="30" spans="1:14">
      <c r="A30" s="29" t="s">
        <v>39</v>
      </c>
      <c r="B30" s="74">
        <f>'Current operations  Pt3 '!B30*(1+'Financial information 1 Pt1'!$B$39)</f>
        <v>4553.4178590595557</v>
      </c>
      <c r="C30" s="74">
        <f>'Current operations  Pt3 '!C30*(1+'Financial information 1 Pt1'!$B$39)</f>
        <v>4707.1459068178337</v>
      </c>
      <c r="D30" s="74">
        <f>'Current operations  Pt3 '!D30*(1+'Financial information 1 Pt1'!$B$39)</f>
        <v>5199.3576198732244</v>
      </c>
      <c r="E30" s="74">
        <f>'Current operations  Pt3 '!E30*(1+'Financial information 1 Pt1'!$B$39)</f>
        <v>5865.6973933825984</v>
      </c>
      <c r="F30" s="74">
        <f>'Current operations  Pt3 '!F30*(1+'Financial information 1 Pt1'!$B$39)</f>
        <v>5956.799459042235</v>
      </c>
      <c r="G30" s="74">
        <f>'Current operations  Pt3 '!G30*(1+'Financial information 1 Pt1'!$B$39)</f>
        <v>6734.3264463596443</v>
      </c>
      <c r="H30" s="74">
        <f>'Current operations  Pt3 '!H30*(1+'Financial information 1 Pt1'!$B$39)</f>
        <v>5057.8608212597755</v>
      </c>
      <c r="I30" s="74">
        <f>'Current operations  Pt3 '!I30*(1+'Financial information 1 Pt1'!$B$39)</f>
        <v>5319.167728489324</v>
      </c>
      <c r="J30" s="74">
        <f>'Current operations  Pt3 '!J30*(1+'Financial information 1 Pt1'!$B$39)</f>
        <v>5438.232200094747</v>
      </c>
      <c r="K30" s="74">
        <f>'Current operations  Pt3 '!K30*(1+'Financial information 1 Pt1'!$B$39)</f>
        <v>6554.8714586602282</v>
      </c>
      <c r="L30" s="74">
        <f>'Current operations  Pt3 '!L30*(1+'Financial information 1 Pt1'!$B$39)</f>
        <v>8047.3704607011414</v>
      </c>
      <c r="M30" s="74">
        <f>'Current operations  Pt3 '!M30*(1+'Financial information 1 Pt1'!$B$39)</f>
        <v>9609.1686088503666</v>
      </c>
      <c r="N30" s="69">
        <f>SUM(B30:M30)</f>
        <v>73043.415962590676</v>
      </c>
    </row>
    <row r="31" spans="1:14">
      <c r="A31" s="29" t="s">
        <v>49</v>
      </c>
      <c r="B31" s="74">
        <f>MIN(B30,$E$2)</f>
        <v>4553.4178590595557</v>
      </c>
      <c r="C31" s="74">
        <f t="shared" ref="C31:M31" si="24">MIN(C30,$E$2)</f>
        <v>4707.1459068178337</v>
      </c>
      <c r="D31" s="74">
        <f t="shared" si="24"/>
        <v>5199.3576198732244</v>
      </c>
      <c r="E31" s="74">
        <f t="shared" si="24"/>
        <v>5280</v>
      </c>
      <c r="F31" s="74">
        <f t="shared" si="24"/>
        <v>5280</v>
      </c>
      <c r="G31" s="74">
        <f t="shared" si="24"/>
        <v>5280</v>
      </c>
      <c r="H31" s="74">
        <f t="shared" si="24"/>
        <v>5057.8608212597755</v>
      </c>
      <c r="I31" s="74">
        <f t="shared" si="24"/>
        <v>5280</v>
      </c>
      <c r="J31" s="74">
        <f t="shared" si="24"/>
        <v>5280</v>
      </c>
      <c r="K31" s="74">
        <f t="shared" si="24"/>
        <v>5280</v>
      </c>
      <c r="L31" s="74">
        <f t="shared" si="24"/>
        <v>5280</v>
      </c>
      <c r="M31" s="74">
        <f t="shared" si="24"/>
        <v>5280</v>
      </c>
      <c r="N31" s="69">
        <f t="shared" ref="N31:N33" si="25">SUM(B31:M31)</f>
        <v>61757.782207010387</v>
      </c>
    </row>
    <row r="32" spans="1:14">
      <c r="A32" s="29" t="s">
        <v>50</v>
      </c>
      <c r="B32" s="74">
        <f>IF(B30&lt;$E$2,$E$2-B30,0)</f>
        <v>726.58214094044433</v>
      </c>
      <c r="C32" s="74">
        <f t="shared" ref="C32:M32" si="26">IF(C30&lt;$E$2,$E$2-C30,0)</f>
        <v>572.85409318216625</v>
      </c>
      <c r="D32" s="74">
        <f t="shared" si="26"/>
        <v>80.642380126775606</v>
      </c>
      <c r="E32" s="74">
        <f t="shared" si="26"/>
        <v>0</v>
      </c>
      <c r="F32" s="74">
        <f t="shared" si="26"/>
        <v>0</v>
      </c>
      <c r="G32" s="74">
        <f t="shared" si="26"/>
        <v>0</v>
      </c>
      <c r="H32" s="74">
        <f t="shared" si="26"/>
        <v>222.13917874022445</v>
      </c>
      <c r="I32" s="74">
        <f t="shared" si="26"/>
        <v>0</v>
      </c>
      <c r="J32" s="74">
        <f t="shared" si="26"/>
        <v>0</v>
      </c>
      <c r="K32" s="74">
        <f t="shared" si="26"/>
        <v>0</v>
      </c>
      <c r="L32" s="74">
        <f t="shared" si="26"/>
        <v>0</v>
      </c>
      <c r="M32" s="74">
        <f t="shared" si="26"/>
        <v>0</v>
      </c>
      <c r="N32" s="69">
        <f t="shared" si="25"/>
        <v>1602.2177929896106</v>
      </c>
    </row>
    <row r="33" spans="1:14">
      <c r="A33" s="30" t="s">
        <v>51</v>
      </c>
      <c r="B33" s="75">
        <f>IF(B30&gt;$E$2,B30-$E$2,0)</f>
        <v>0</v>
      </c>
      <c r="C33" s="75">
        <f t="shared" ref="C33:M33" si="27">IF(C30&gt;$E$2,C30-$E$2,0)</f>
        <v>0</v>
      </c>
      <c r="D33" s="75">
        <f t="shared" si="27"/>
        <v>0</v>
      </c>
      <c r="E33" s="75">
        <f t="shared" si="27"/>
        <v>585.69739338259842</v>
      </c>
      <c r="F33" s="75">
        <f t="shared" si="27"/>
        <v>676.79945904223496</v>
      </c>
      <c r="G33" s="75">
        <f t="shared" si="27"/>
        <v>1454.3264463596443</v>
      </c>
      <c r="H33" s="75">
        <f t="shared" si="27"/>
        <v>0</v>
      </c>
      <c r="I33" s="75">
        <f t="shared" si="27"/>
        <v>39.167728489323963</v>
      </c>
      <c r="J33" s="75">
        <f t="shared" si="27"/>
        <v>158.23220009474699</v>
      </c>
      <c r="K33" s="75">
        <f t="shared" si="27"/>
        <v>1274.8714586602282</v>
      </c>
      <c r="L33" s="75">
        <f t="shared" si="27"/>
        <v>2767.3704607011414</v>
      </c>
      <c r="M33" s="75">
        <f t="shared" si="27"/>
        <v>4329.1686088503666</v>
      </c>
      <c r="N33" s="69">
        <f t="shared" si="25"/>
        <v>11285.633755580286</v>
      </c>
    </row>
    <row r="34" spans="1:14">
      <c r="A34" s="62" t="s">
        <v>52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69"/>
    </row>
    <row r="35" spans="1:14">
      <c r="A35" s="29" t="s">
        <v>53</v>
      </c>
      <c r="B35" s="74">
        <f>B31*'Financial information 1 Pt1'!$J$6</f>
        <v>13614.719398588073</v>
      </c>
      <c r="C35" s="74">
        <f>C31*'Financial information 1 Pt1'!$J$6</f>
        <v>14074.366261385323</v>
      </c>
      <c r="D35" s="74">
        <f>D31*'Financial information 1 Pt1'!$J$6</f>
        <v>15546.079283420942</v>
      </c>
      <c r="E35" s="74">
        <f>E31*'Financial information 1 Pt1'!$J$6</f>
        <v>15787.2</v>
      </c>
      <c r="F35" s="74">
        <f>F31*'Financial information 1 Pt1'!$J$6</f>
        <v>15787.2</v>
      </c>
      <c r="G35" s="74">
        <f>G31*'Financial information 1 Pt1'!$J$6</f>
        <v>15787.2</v>
      </c>
      <c r="H35" s="74">
        <f>H31*'Financial information 1 Pt1'!$J$6</f>
        <v>15123.003855566731</v>
      </c>
      <c r="I35" s="74">
        <f>I31*'Financial information 1 Pt1'!$J$6</f>
        <v>15787.2</v>
      </c>
      <c r="J35" s="74">
        <f>J31*'Financial information 1 Pt1'!$J$6</f>
        <v>15787.2</v>
      </c>
      <c r="K35" s="74">
        <f>K31*'Financial information 1 Pt1'!$J$6</f>
        <v>15787.2</v>
      </c>
      <c r="L35" s="74">
        <f>L31*'Financial information 1 Pt1'!$J$6</f>
        <v>15787.2</v>
      </c>
      <c r="M35" s="74">
        <f>M31*'Financial information 1 Pt1'!$J$6</f>
        <v>15787.2</v>
      </c>
      <c r="N35" s="70">
        <f>SUM(B35:M35)</f>
        <v>184655.7687989611</v>
      </c>
    </row>
    <row r="36" spans="1:14">
      <c r="A36" s="29" t="s">
        <v>54</v>
      </c>
      <c r="B36" s="74">
        <f>B31*'Financial information 1 Pt1'!$J$7</f>
        <v>11383.544647648889</v>
      </c>
      <c r="C36" s="74">
        <f>C31*'Financial information 1 Pt1'!$J$7</f>
        <v>11767.864767044584</v>
      </c>
      <c r="D36" s="74">
        <f>D31*'Financial information 1 Pt1'!$J$7</f>
        <v>12998.394049683062</v>
      </c>
      <c r="E36" s="74">
        <f>E31*'Financial information 1 Pt1'!$J$7</f>
        <v>13200</v>
      </c>
      <c r="F36" s="74">
        <f>F31*'Financial information 1 Pt1'!$J$7</f>
        <v>13200</v>
      </c>
      <c r="G36" s="74">
        <f>G31*'Financial information 1 Pt1'!$J$7</f>
        <v>13200</v>
      </c>
      <c r="H36" s="74">
        <f>H31*'Financial information 1 Pt1'!$J$7</f>
        <v>12644.652053149439</v>
      </c>
      <c r="I36" s="74">
        <f>I31*'Financial information 1 Pt1'!$J$7</f>
        <v>13200</v>
      </c>
      <c r="J36" s="74">
        <f>J31*'Financial information 1 Pt1'!$J$7</f>
        <v>13200</v>
      </c>
      <c r="K36" s="74">
        <f>K31*'Financial information 1 Pt1'!$J$7</f>
        <v>13200</v>
      </c>
      <c r="L36" s="74">
        <f>L31*'Financial information 1 Pt1'!$J$7</f>
        <v>13200</v>
      </c>
      <c r="M36" s="74">
        <f>M31*'Financial information 1 Pt1'!$J$7</f>
        <v>13200</v>
      </c>
      <c r="N36" s="70">
        <f>SUM(B36:M36)</f>
        <v>154394.45551752599</v>
      </c>
    </row>
    <row r="37" spans="1:14" ht="15" thickBot="1">
      <c r="A37" s="29" t="s">
        <v>55</v>
      </c>
      <c r="B37" s="78">
        <f>B32*$G$2</f>
        <v>908.22767617555542</v>
      </c>
      <c r="C37" s="78">
        <f t="shared" ref="C37:M37" si="28">C32*$G$2</f>
        <v>716.06761647770782</v>
      </c>
      <c r="D37" s="78">
        <f t="shared" si="28"/>
        <v>100.80297515846951</v>
      </c>
      <c r="E37" s="78">
        <f t="shared" si="28"/>
        <v>0</v>
      </c>
      <c r="F37" s="78">
        <f t="shared" si="28"/>
        <v>0</v>
      </c>
      <c r="G37" s="78">
        <f t="shared" si="28"/>
        <v>0</v>
      </c>
      <c r="H37" s="78">
        <f t="shared" si="28"/>
        <v>277.67397342528056</v>
      </c>
      <c r="I37" s="78">
        <f t="shared" si="28"/>
        <v>0</v>
      </c>
      <c r="J37" s="78">
        <f t="shared" si="28"/>
        <v>0</v>
      </c>
      <c r="K37" s="78">
        <f t="shared" si="28"/>
        <v>0</v>
      </c>
      <c r="L37" s="78">
        <f t="shared" si="28"/>
        <v>0</v>
      </c>
      <c r="M37" s="78">
        <f t="shared" si="28"/>
        <v>0</v>
      </c>
      <c r="N37" s="70">
        <f>SUM(B37:M37)</f>
        <v>2002.7722412370133</v>
      </c>
    </row>
    <row r="38" spans="1:14" ht="15" thickTop="1">
      <c r="A38" s="63" t="s">
        <v>56</v>
      </c>
      <c r="B38" s="76">
        <f>SUM(B35:B37)</f>
        <v>25906.491722412517</v>
      </c>
      <c r="C38" s="76">
        <f t="shared" ref="C38:M38" si="29">SUM(C35:C37)</f>
        <v>26558.298644907616</v>
      </c>
      <c r="D38" s="76">
        <f t="shared" si="29"/>
        <v>28645.276308262473</v>
      </c>
      <c r="E38" s="76">
        <f t="shared" si="29"/>
        <v>28987.200000000001</v>
      </c>
      <c r="F38" s="76">
        <f t="shared" si="29"/>
        <v>28987.200000000001</v>
      </c>
      <c r="G38" s="76">
        <f t="shared" si="29"/>
        <v>28987.200000000001</v>
      </c>
      <c r="H38" s="76">
        <f t="shared" si="29"/>
        <v>28045.32988214145</v>
      </c>
      <c r="I38" s="76">
        <f t="shared" si="29"/>
        <v>28987.200000000001</v>
      </c>
      <c r="J38" s="76">
        <f t="shared" si="29"/>
        <v>28987.200000000001</v>
      </c>
      <c r="K38" s="76">
        <f t="shared" si="29"/>
        <v>28987.200000000001</v>
      </c>
      <c r="L38" s="76">
        <f t="shared" si="29"/>
        <v>28987.200000000001</v>
      </c>
      <c r="M38" s="76">
        <f t="shared" si="29"/>
        <v>28987.200000000001</v>
      </c>
      <c r="N38" s="70">
        <f>SUM(B38:M38)</f>
        <v>341052.99655772414</v>
      </c>
    </row>
    <row r="39" spans="1:14">
      <c r="A39" s="64" t="s">
        <v>57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69"/>
    </row>
    <row r="40" spans="1:14">
      <c r="A40" s="29" t="s">
        <v>58</v>
      </c>
      <c r="B40" s="74">
        <f>'Financial information 1 Pt1'!J5+'Financial information 1 Pt1'!B37</f>
        <v>10150</v>
      </c>
      <c r="C40" s="74">
        <f>B40</f>
        <v>10150</v>
      </c>
      <c r="D40" s="74">
        <f>C40</f>
        <v>10150</v>
      </c>
      <c r="E40" s="74">
        <f t="shared" ref="E40:M40" si="30">D40</f>
        <v>10150</v>
      </c>
      <c r="F40" s="74">
        <f t="shared" si="30"/>
        <v>10150</v>
      </c>
      <c r="G40" s="74">
        <f t="shared" si="30"/>
        <v>10150</v>
      </c>
      <c r="H40" s="74">
        <f t="shared" si="30"/>
        <v>10150</v>
      </c>
      <c r="I40" s="74">
        <f t="shared" si="30"/>
        <v>10150</v>
      </c>
      <c r="J40" s="74">
        <f t="shared" si="30"/>
        <v>10150</v>
      </c>
      <c r="K40" s="74">
        <f t="shared" si="30"/>
        <v>10150</v>
      </c>
      <c r="L40" s="74">
        <f t="shared" si="30"/>
        <v>10150</v>
      </c>
      <c r="M40" s="74">
        <f t="shared" si="30"/>
        <v>10150</v>
      </c>
      <c r="N40" s="70">
        <f>SUM(B40:M40)</f>
        <v>121800</v>
      </c>
    </row>
    <row r="41" spans="1:14">
      <c r="A41" s="57" t="s">
        <v>59</v>
      </c>
      <c r="B41" s="74">
        <f>C40</f>
        <v>10150</v>
      </c>
      <c r="C41" s="74">
        <f t="shared" ref="C41:L41" si="31">D40</f>
        <v>10150</v>
      </c>
      <c r="D41" s="74">
        <f t="shared" si="31"/>
        <v>10150</v>
      </c>
      <c r="E41" s="74">
        <f t="shared" si="31"/>
        <v>10150</v>
      </c>
      <c r="F41" s="74">
        <f t="shared" si="31"/>
        <v>10150</v>
      </c>
      <c r="G41" s="74">
        <f t="shared" si="31"/>
        <v>10150</v>
      </c>
      <c r="H41" s="74">
        <f t="shared" si="31"/>
        <v>10150</v>
      </c>
      <c r="I41" s="74">
        <f t="shared" si="31"/>
        <v>10150</v>
      </c>
      <c r="J41" s="74">
        <f t="shared" si="31"/>
        <v>10150</v>
      </c>
      <c r="K41" s="74">
        <f t="shared" si="31"/>
        <v>10150</v>
      </c>
      <c r="L41" s="74">
        <f t="shared" si="31"/>
        <v>10150</v>
      </c>
      <c r="M41" s="74">
        <f>M40</f>
        <v>10150</v>
      </c>
      <c r="N41" s="70">
        <f>SUM(B41:M41)</f>
        <v>121800</v>
      </c>
    </row>
    <row r="42" spans="1:14">
      <c r="A42" s="29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0"/>
    </row>
    <row r="43" spans="1:14">
      <c r="A43" s="29" t="s">
        <v>60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0"/>
    </row>
    <row r="44" spans="1:14">
      <c r="A44" s="29" t="s">
        <v>61</v>
      </c>
      <c r="B44" s="74">
        <f>B19</f>
        <v>2640</v>
      </c>
      <c r="C44" s="74">
        <f t="shared" ref="C44:N44" si="32">C19</f>
        <v>2640</v>
      </c>
      <c r="D44" s="74">
        <f t="shared" si="32"/>
        <v>2640</v>
      </c>
      <c r="E44" s="74">
        <f t="shared" si="32"/>
        <v>2640</v>
      </c>
      <c r="F44" s="74">
        <f t="shared" si="32"/>
        <v>2640</v>
      </c>
      <c r="G44" s="74">
        <f t="shared" si="32"/>
        <v>2640</v>
      </c>
      <c r="H44" s="74">
        <f t="shared" si="32"/>
        <v>2640</v>
      </c>
      <c r="I44" s="74">
        <f t="shared" si="32"/>
        <v>2640</v>
      </c>
      <c r="J44" s="74">
        <f t="shared" si="32"/>
        <v>2640</v>
      </c>
      <c r="K44" s="74">
        <f t="shared" si="32"/>
        <v>2640</v>
      </c>
      <c r="L44" s="74">
        <f t="shared" si="32"/>
        <v>2640</v>
      </c>
      <c r="M44" s="74">
        <f t="shared" si="32"/>
        <v>2640</v>
      </c>
      <c r="N44" s="74">
        <f t="shared" si="32"/>
        <v>31680</v>
      </c>
    </row>
    <row r="45" spans="1:14">
      <c r="A45" s="29" t="s">
        <v>62</v>
      </c>
      <c r="B45" s="74">
        <f t="shared" ref="B45:N46" si="33">B20</f>
        <v>3168</v>
      </c>
      <c r="C45" s="74">
        <f t="shared" si="33"/>
        <v>3168</v>
      </c>
      <c r="D45" s="74">
        <f t="shared" si="33"/>
        <v>3168</v>
      </c>
      <c r="E45" s="74">
        <f t="shared" si="33"/>
        <v>3168</v>
      </c>
      <c r="F45" s="74">
        <f t="shared" si="33"/>
        <v>3168</v>
      </c>
      <c r="G45" s="74">
        <f t="shared" si="33"/>
        <v>3168</v>
      </c>
      <c r="H45" s="74">
        <f t="shared" si="33"/>
        <v>3168</v>
      </c>
      <c r="I45" s="74">
        <f t="shared" si="33"/>
        <v>3168</v>
      </c>
      <c r="J45" s="74">
        <f t="shared" si="33"/>
        <v>3168</v>
      </c>
      <c r="K45" s="74">
        <f t="shared" si="33"/>
        <v>3168</v>
      </c>
      <c r="L45" s="74">
        <f t="shared" si="33"/>
        <v>3168</v>
      </c>
      <c r="M45" s="74">
        <f t="shared" si="33"/>
        <v>3168</v>
      </c>
      <c r="N45" s="74">
        <f t="shared" si="33"/>
        <v>38016</v>
      </c>
    </row>
    <row r="46" spans="1:14">
      <c r="A46" s="57" t="s">
        <v>63</v>
      </c>
      <c r="B46" s="74">
        <f t="shared" si="33"/>
        <v>5808</v>
      </c>
      <c r="C46" s="74">
        <f t="shared" si="33"/>
        <v>5808</v>
      </c>
      <c r="D46" s="74">
        <f t="shared" si="33"/>
        <v>5808</v>
      </c>
      <c r="E46" s="74">
        <f t="shared" si="33"/>
        <v>5808</v>
      </c>
      <c r="F46" s="74">
        <f t="shared" si="33"/>
        <v>5808</v>
      </c>
      <c r="G46" s="74">
        <f t="shared" si="33"/>
        <v>5808</v>
      </c>
      <c r="H46" s="74">
        <f t="shared" si="33"/>
        <v>5808</v>
      </c>
      <c r="I46" s="74">
        <f t="shared" si="33"/>
        <v>5808</v>
      </c>
      <c r="J46" s="74">
        <f t="shared" si="33"/>
        <v>5808</v>
      </c>
      <c r="K46" s="74">
        <f t="shared" si="33"/>
        <v>5808</v>
      </c>
      <c r="L46" s="74">
        <f t="shared" si="33"/>
        <v>5808</v>
      </c>
      <c r="M46" s="74">
        <f t="shared" si="33"/>
        <v>5808</v>
      </c>
      <c r="N46" s="74">
        <f t="shared" si="33"/>
        <v>69696</v>
      </c>
    </row>
    <row r="47" spans="1:14" ht="15" thickBot="1">
      <c r="A47" s="29" t="s">
        <v>64</v>
      </c>
      <c r="B47" s="80">
        <f>B33*$F$2</f>
        <v>0</v>
      </c>
      <c r="C47" s="80">
        <f t="shared" ref="C47:M47" si="34">C33*$F$2</f>
        <v>0</v>
      </c>
      <c r="D47" s="80">
        <f t="shared" si="34"/>
        <v>0</v>
      </c>
      <c r="E47" s="80">
        <f t="shared" si="34"/>
        <v>1757.0921801477953</v>
      </c>
      <c r="F47" s="80">
        <f t="shared" si="34"/>
        <v>2030.3983771267049</v>
      </c>
      <c r="G47" s="80">
        <f t="shared" si="34"/>
        <v>4362.9793390789328</v>
      </c>
      <c r="H47" s="80">
        <f t="shared" si="34"/>
        <v>0</v>
      </c>
      <c r="I47" s="80">
        <f t="shared" si="34"/>
        <v>117.50318546797189</v>
      </c>
      <c r="J47" s="80">
        <f t="shared" si="34"/>
        <v>474.69660028424096</v>
      </c>
      <c r="K47" s="80">
        <f t="shared" si="34"/>
        <v>3824.6143759806846</v>
      </c>
      <c r="L47" s="80">
        <f t="shared" si="34"/>
        <v>8302.1113821034232</v>
      </c>
      <c r="M47" s="80">
        <f t="shared" si="34"/>
        <v>12987.5058265511</v>
      </c>
      <c r="N47" s="72">
        <f>SUM(B47:M47)</f>
        <v>33856.901266740853</v>
      </c>
    </row>
    <row r="48" spans="1:14" ht="15" thickTop="1">
      <c r="A48" s="63" t="s">
        <v>65</v>
      </c>
      <c r="B48" s="76">
        <f>B41+B46+B47</f>
        <v>15958</v>
      </c>
      <c r="C48" s="76">
        <f t="shared" ref="C48:M48" si="35">C41+C46+C47</f>
        <v>15958</v>
      </c>
      <c r="D48" s="76">
        <f t="shared" si="35"/>
        <v>15958</v>
      </c>
      <c r="E48" s="76">
        <f t="shared" si="35"/>
        <v>17715.092180147796</v>
      </c>
      <c r="F48" s="76">
        <f t="shared" si="35"/>
        <v>17988.398377126705</v>
      </c>
      <c r="G48" s="76">
        <f t="shared" si="35"/>
        <v>20320.979339078935</v>
      </c>
      <c r="H48" s="76">
        <f t="shared" si="35"/>
        <v>15958</v>
      </c>
      <c r="I48" s="76">
        <f t="shared" si="35"/>
        <v>16075.503185467973</v>
      </c>
      <c r="J48" s="76">
        <f t="shared" si="35"/>
        <v>16432.696600284242</v>
      </c>
      <c r="K48" s="76">
        <f t="shared" si="35"/>
        <v>19782.614375980684</v>
      </c>
      <c r="L48" s="76">
        <f t="shared" si="35"/>
        <v>24260.111382103423</v>
      </c>
      <c r="M48" s="76">
        <f t="shared" si="35"/>
        <v>28945.5058265511</v>
      </c>
      <c r="N48" s="70">
        <f>SUM(B48:M48)</f>
        <v>225352.90126674084</v>
      </c>
    </row>
    <row r="49" spans="1:14" ht="15" thickBot="1">
      <c r="A49" s="29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104"/>
    </row>
    <row r="50" spans="1:14" ht="15.6" thickTop="1" thickBot="1">
      <c r="A50" s="65" t="s">
        <v>66</v>
      </c>
      <c r="B50" s="82">
        <f>B38-B48</f>
        <v>9948.4917224125165</v>
      </c>
      <c r="C50" s="82">
        <f t="shared" ref="C50:M50" si="36">C38-C48</f>
        <v>10600.298644907616</v>
      </c>
      <c r="D50" s="82">
        <f t="shared" si="36"/>
        <v>12687.276308262473</v>
      </c>
      <c r="E50" s="82">
        <f t="shared" si="36"/>
        <v>11272.107819852205</v>
      </c>
      <c r="F50" s="82">
        <f t="shared" si="36"/>
        <v>10998.801622873296</v>
      </c>
      <c r="G50" s="82">
        <f t="shared" si="36"/>
        <v>8666.2206609210662</v>
      </c>
      <c r="H50" s="82">
        <f t="shared" si="36"/>
        <v>12087.32988214145</v>
      </c>
      <c r="I50" s="82">
        <f t="shared" si="36"/>
        <v>12911.696814532028</v>
      </c>
      <c r="J50" s="82">
        <f t="shared" si="36"/>
        <v>12554.503399715759</v>
      </c>
      <c r="K50" s="82">
        <f t="shared" si="36"/>
        <v>9204.585624019317</v>
      </c>
      <c r="L50" s="82">
        <f t="shared" si="36"/>
        <v>4727.0886178965775</v>
      </c>
      <c r="M50" s="82">
        <f t="shared" si="36"/>
        <v>41.694173448900983</v>
      </c>
      <c r="N50" s="73">
        <f>SUM(B50:M50)</f>
        <v>115700.09529098318</v>
      </c>
    </row>
    <row r="52" spans="1:14">
      <c r="A52" s="55" t="s">
        <v>103</v>
      </c>
    </row>
    <row r="53" spans="1:14" ht="15" thickBot="1">
      <c r="A53" s="27" t="s">
        <v>68</v>
      </c>
    </row>
    <row r="54" spans="1:14">
      <c r="A54" s="61" t="s">
        <v>7</v>
      </c>
      <c r="B54" s="59">
        <f>B29</f>
        <v>44927</v>
      </c>
      <c r="C54" s="59">
        <f t="shared" ref="C54:M54" si="37">C29</f>
        <v>44958</v>
      </c>
      <c r="D54" s="59">
        <f t="shared" si="37"/>
        <v>44986</v>
      </c>
      <c r="E54" s="59">
        <f t="shared" si="37"/>
        <v>45017</v>
      </c>
      <c r="F54" s="59">
        <f t="shared" si="37"/>
        <v>45047</v>
      </c>
      <c r="G54" s="59">
        <f t="shared" si="37"/>
        <v>45078</v>
      </c>
      <c r="H54" s="59">
        <f t="shared" si="37"/>
        <v>45108</v>
      </c>
      <c r="I54" s="59">
        <f t="shared" si="37"/>
        <v>45139</v>
      </c>
      <c r="J54" s="59">
        <f t="shared" si="37"/>
        <v>45170</v>
      </c>
      <c r="K54" s="59">
        <f t="shared" si="37"/>
        <v>45200</v>
      </c>
      <c r="L54" s="59">
        <f t="shared" si="37"/>
        <v>45231</v>
      </c>
      <c r="M54" s="59">
        <f t="shared" si="37"/>
        <v>45261</v>
      </c>
      <c r="N54" s="68" t="s">
        <v>102</v>
      </c>
    </row>
    <row r="55" spans="1:14">
      <c r="A55" s="29" t="s">
        <v>39</v>
      </c>
      <c r="B55" s="74">
        <f>'Current operations  Pt3 '!B55*(1+'Financial information 1 Pt1'!$B$39)</f>
        <v>2761.9091932000583</v>
      </c>
      <c r="C55" s="74">
        <f>'Current operations  Pt3 '!C55*(1+'Financial information 1 Pt1'!$B$39)</f>
        <v>2855.1540746272112</v>
      </c>
      <c r="D55" s="74">
        <f>'Current operations  Pt3 '!D55*(1+'Financial information 1 Pt1'!$B$39)</f>
        <v>3153.7087202509724</v>
      </c>
      <c r="E55" s="74">
        <f>'Current operations  Pt3 '!E55*(1+'Financial information 1 Pt1'!$B$39)</f>
        <v>3557.882025494363</v>
      </c>
      <c r="F55" s="74">
        <f>'Current operations  Pt3 '!F55*(1+'Financial information 1 Pt1'!$B$39)</f>
        <v>3613.1406554846344</v>
      </c>
      <c r="G55" s="74">
        <f>'Current operations  Pt3 '!G55*(1+'Financial information 1 Pt1'!$B$39)</f>
        <v>4084.7553854968332</v>
      </c>
      <c r="H55" s="74">
        <f>'Current operations  Pt3 '!H55*(1+'Financial information 1 Pt1'!$B$39)</f>
        <v>3067.8827932231429</v>
      </c>
      <c r="I55" s="74">
        <f>'Current operations  Pt3 '!I55*(1+'Financial information 1 Pt1'!$B$39)</f>
        <v>3226.3804254771308</v>
      </c>
      <c r="J55" s="74">
        <f>'Current operations  Pt3 '!J55*(1+'Financial information 1 Pt1'!$B$39)</f>
        <v>3298.5998590738632</v>
      </c>
      <c r="K55" s="74">
        <f>'Current operations  Pt3 '!K55*(1+'Financial information 1 Pt1'!$B$39)</f>
        <v>3975.9056388594827</v>
      </c>
      <c r="L55" s="74">
        <f>'Current operations  Pt3 '!L55*(1+'Financial information 1 Pt1'!$B$39)</f>
        <v>4881.1919187859376</v>
      </c>
      <c r="M55" s="74">
        <f>'Current operations  Pt3 '!M55*(1+'Financial information 1 Pt1'!$B$39)</f>
        <v>5828.5121070075993</v>
      </c>
      <c r="N55" s="74">
        <f>SUM(B55:M55)</f>
        <v>44305.022796981233</v>
      </c>
    </row>
    <row r="56" spans="1:14">
      <c r="A56" s="29" t="s">
        <v>49</v>
      </c>
      <c r="B56" s="74">
        <f>MIN(B55,$E$2)</f>
        <v>2761.9091932000583</v>
      </c>
      <c r="C56" s="74">
        <f t="shared" ref="C56:M56" si="38">MIN(C55,$E$2)</f>
        <v>2855.1540746272112</v>
      </c>
      <c r="D56" s="74">
        <f t="shared" si="38"/>
        <v>3153.7087202509724</v>
      </c>
      <c r="E56" s="74">
        <f t="shared" si="38"/>
        <v>3557.882025494363</v>
      </c>
      <c r="F56" s="74">
        <f t="shared" si="38"/>
        <v>3613.1406554846344</v>
      </c>
      <c r="G56" s="74">
        <f t="shared" si="38"/>
        <v>4084.7553854968332</v>
      </c>
      <c r="H56" s="74">
        <f t="shared" si="38"/>
        <v>3067.8827932231429</v>
      </c>
      <c r="I56" s="74">
        <f t="shared" si="38"/>
        <v>3226.3804254771308</v>
      </c>
      <c r="J56" s="74">
        <f t="shared" si="38"/>
        <v>3298.5998590738632</v>
      </c>
      <c r="K56" s="74">
        <f t="shared" si="38"/>
        <v>3975.9056388594827</v>
      </c>
      <c r="L56" s="74">
        <f t="shared" si="38"/>
        <v>4881.1919187859376</v>
      </c>
      <c r="M56" s="74">
        <f t="shared" si="38"/>
        <v>5280</v>
      </c>
      <c r="N56" s="70">
        <f>SUM(B56:M56)</f>
        <v>43756.510689973635</v>
      </c>
    </row>
    <row r="57" spans="1:14">
      <c r="A57" s="29" t="s">
        <v>50</v>
      </c>
      <c r="B57" s="74">
        <f>IF(B55&lt;$E$2,$E$2-B55,0)</f>
        <v>2518.0908067999417</v>
      </c>
      <c r="C57" s="74">
        <f t="shared" ref="C57:M57" si="39">IF(C55&lt;$E$2,$E$2-C55,0)</f>
        <v>2424.8459253727888</v>
      </c>
      <c r="D57" s="74">
        <f t="shared" si="39"/>
        <v>2126.2912797490276</v>
      </c>
      <c r="E57" s="74">
        <f t="shared" si="39"/>
        <v>1722.117974505637</v>
      </c>
      <c r="F57" s="74">
        <f t="shared" si="39"/>
        <v>1666.8593445153656</v>
      </c>
      <c r="G57" s="74">
        <f t="shared" si="39"/>
        <v>1195.2446145031668</v>
      </c>
      <c r="H57" s="74">
        <f t="shared" si="39"/>
        <v>2212.1172067768571</v>
      </c>
      <c r="I57" s="74">
        <f t="shared" si="39"/>
        <v>2053.6195745228692</v>
      </c>
      <c r="J57" s="74">
        <f t="shared" si="39"/>
        <v>1981.4001409261368</v>
      </c>
      <c r="K57" s="74">
        <f t="shared" si="39"/>
        <v>1304.0943611405173</v>
      </c>
      <c r="L57" s="74">
        <f t="shared" si="39"/>
        <v>398.80808121406244</v>
      </c>
      <c r="M57" s="74">
        <f t="shared" si="39"/>
        <v>0</v>
      </c>
      <c r="N57" s="70">
        <f>SUM(B57:M57)</f>
        <v>19603.489310026365</v>
      </c>
    </row>
    <row r="58" spans="1:14">
      <c r="A58" s="30" t="s">
        <v>51</v>
      </c>
      <c r="B58" s="75">
        <f>IF(B55&gt;$E$46,B55-$E$2,0)</f>
        <v>0</v>
      </c>
      <c r="C58" s="75">
        <f t="shared" ref="C58:M58" si="40">IF(C55&gt;$E$46,C55-$E$2,0)</f>
        <v>0</v>
      </c>
      <c r="D58" s="75">
        <f t="shared" si="40"/>
        <v>0</v>
      </c>
      <c r="E58" s="75">
        <f t="shared" si="40"/>
        <v>0</v>
      </c>
      <c r="F58" s="75">
        <f t="shared" si="40"/>
        <v>0</v>
      </c>
      <c r="G58" s="75">
        <f t="shared" si="40"/>
        <v>0</v>
      </c>
      <c r="H58" s="75">
        <f t="shared" si="40"/>
        <v>0</v>
      </c>
      <c r="I58" s="75">
        <f t="shared" si="40"/>
        <v>0</v>
      </c>
      <c r="J58" s="75">
        <f t="shared" si="40"/>
        <v>0</v>
      </c>
      <c r="K58" s="75">
        <f t="shared" si="40"/>
        <v>0</v>
      </c>
      <c r="L58" s="75">
        <f t="shared" si="40"/>
        <v>0</v>
      </c>
      <c r="M58" s="75">
        <f t="shared" si="40"/>
        <v>548.5121070075993</v>
      </c>
      <c r="N58" s="71">
        <f>SUM(B58:M58)</f>
        <v>548.5121070075993</v>
      </c>
    </row>
    <row r="59" spans="1:14">
      <c r="A59" s="62" t="s">
        <v>52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69"/>
    </row>
    <row r="60" spans="1:14">
      <c r="A60" s="29" t="s">
        <v>53</v>
      </c>
      <c r="B60" s="74">
        <f>B56*'Financial information 1 Pt1'!$J$6</f>
        <v>8258.1084876681743</v>
      </c>
      <c r="C60" s="74">
        <f>C56*'Financial information 1 Pt1'!$J$6</f>
        <v>8536.910683135362</v>
      </c>
      <c r="D60" s="74">
        <f>D56*'Financial information 1 Pt1'!$J$6</f>
        <v>9429.589073550409</v>
      </c>
      <c r="E60" s="74">
        <f>E56*'Financial information 1 Pt1'!$J$6</f>
        <v>10638.067256228147</v>
      </c>
      <c r="F60" s="74">
        <f>F56*'Financial information 1 Pt1'!$J$6</f>
        <v>10803.290559899058</v>
      </c>
      <c r="G60" s="74">
        <f>G56*'Financial information 1 Pt1'!$J$6</f>
        <v>12213.418602635533</v>
      </c>
      <c r="H60" s="74">
        <f>H56*'Financial information 1 Pt1'!$J$6</f>
        <v>9172.9695517371983</v>
      </c>
      <c r="I60" s="74">
        <f>I56*'Financial information 1 Pt1'!$J$6</f>
        <v>9646.8774721766222</v>
      </c>
      <c r="J60" s="74">
        <f>J56*'Financial information 1 Pt1'!$J$6</f>
        <v>9862.8135786308521</v>
      </c>
      <c r="K60" s="74">
        <f>K56*'Financial information 1 Pt1'!$J$6</f>
        <v>11887.957860189854</v>
      </c>
      <c r="L60" s="74">
        <f>L56*'Financial information 1 Pt1'!$J$6</f>
        <v>14594.763837169954</v>
      </c>
      <c r="M60" s="74">
        <f>M56*'Financial information 1 Pt1'!$J$6</f>
        <v>15787.2</v>
      </c>
      <c r="N60" s="70">
        <f>SUM(B60:M60)</f>
        <v>130831.96696302117</v>
      </c>
    </row>
    <row r="61" spans="1:14">
      <c r="A61" s="29" t="s">
        <v>54</v>
      </c>
      <c r="B61" s="74">
        <f>B56*'Financial information 1 Pt1'!$J$7</f>
        <v>6904.7729830001463</v>
      </c>
      <c r="C61" s="74">
        <f>C56*'Financial information 1 Pt1'!$J$7</f>
        <v>7137.8851865680281</v>
      </c>
      <c r="D61" s="74">
        <f>D56*'Financial information 1 Pt1'!$J$7</f>
        <v>7884.2718006274308</v>
      </c>
      <c r="E61" s="74">
        <f>E56*'Financial information 1 Pt1'!$J$7</f>
        <v>8894.705063735908</v>
      </c>
      <c r="F61" s="74">
        <f>F56*'Financial information 1 Pt1'!$J$7</f>
        <v>9032.8516387115851</v>
      </c>
      <c r="G61" s="74">
        <f>G56*'Financial information 1 Pt1'!$J$7</f>
        <v>10211.888463742083</v>
      </c>
      <c r="H61" s="74">
        <f>H56*'Financial information 1 Pt1'!$J$7</f>
        <v>7669.7069830578575</v>
      </c>
      <c r="I61" s="74">
        <f>I56*'Financial information 1 Pt1'!$J$7</f>
        <v>8065.9510636928271</v>
      </c>
      <c r="J61" s="74">
        <f>J56*'Financial information 1 Pt1'!$J$7</f>
        <v>8246.4996476846572</v>
      </c>
      <c r="K61" s="74">
        <f>K56*'Financial information 1 Pt1'!$J$7</f>
        <v>9939.7640971487072</v>
      </c>
      <c r="L61" s="74">
        <f>L56*'Financial information 1 Pt1'!$J$7</f>
        <v>12202.979796964844</v>
      </c>
      <c r="M61" s="74">
        <f>M56*'Financial information 1 Pt1'!$J$7</f>
        <v>13200</v>
      </c>
      <c r="N61" s="70">
        <f t="shared" ref="N61:N63" si="41">SUM(B61:M61)</f>
        <v>109391.27672493408</v>
      </c>
    </row>
    <row r="62" spans="1:14" ht="15" thickBot="1">
      <c r="A62" s="29" t="s">
        <v>55</v>
      </c>
      <c r="B62" s="78">
        <f>B57*$G$2</f>
        <v>3147.6135084999269</v>
      </c>
      <c r="C62" s="78">
        <f t="shared" ref="C62:M62" si="42">C57*$G$2</f>
        <v>3031.057406715986</v>
      </c>
      <c r="D62" s="78">
        <f t="shared" si="42"/>
        <v>2657.8640996862846</v>
      </c>
      <c r="E62" s="78">
        <f t="shared" si="42"/>
        <v>2152.647468132046</v>
      </c>
      <c r="F62" s="78">
        <f t="shared" si="42"/>
        <v>2083.574180644207</v>
      </c>
      <c r="G62" s="78">
        <f t="shared" si="42"/>
        <v>1494.0557681289583</v>
      </c>
      <c r="H62" s="78">
        <f t="shared" si="42"/>
        <v>2765.1465084710712</v>
      </c>
      <c r="I62" s="78">
        <f t="shared" si="42"/>
        <v>2567.0244681535864</v>
      </c>
      <c r="J62" s="78">
        <f t="shared" si="42"/>
        <v>2476.7501761576709</v>
      </c>
      <c r="K62" s="78">
        <f t="shared" si="42"/>
        <v>1630.1179514256467</v>
      </c>
      <c r="L62" s="78">
        <f t="shared" si="42"/>
        <v>498.51010151757805</v>
      </c>
      <c r="M62" s="78">
        <f t="shared" si="42"/>
        <v>0</v>
      </c>
      <c r="N62" s="70">
        <f t="shared" si="41"/>
        <v>24504.361637532969</v>
      </c>
    </row>
    <row r="63" spans="1:14" ht="15" thickTop="1">
      <c r="A63" s="63" t="s">
        <v>56</v>
      </c>
      <c r="B63" s="76">
        <f>SUM(B60:B62)</f>
        <v>18310.494979168248</v>
      </c>
      <c r="C63" s="76">
        <f t="shared" ref="C63:M63" si="43">SUM(C60:C62)</f>
        <v>18705.853276419377</v>
      </c>
      <c r="D63" s="76">
        <f t="shared" si="43"/>
        <v>19971.724973864126</v>
      </c>
      <c r="E63" s="76">
        <f t="shared" si="43"/>
        <v>21685.4197880961</v>
      </c>
      <c r="F63" s="76">
        <f t="shared" si="43"/>
        <v>21919.716379254849</v>
      </c>
      <c r="G63" s="76">
        <f t="shared" si="43"/>
        <v>23919.362834506574</v>
      </c>
      <c r="H63" s="76">
        <f t="shared" si="43"/>
        <v>19607.823043266129</v>
      </c>
      <c r="I63" s="76">
        <f t="shared" si="43"/>
        <v>20279.853004023036</v>
      </c>
      <c r="J63" s="76">
        <f t="shared" si="43"/>
        <v>20586.063402473181</v>
      </c>
      <c r="K63" s="76">
        <f t="shared" si="43"/>
        <v>23457.839908764206</v>
      </c>
      <c r="L63" s="76">
        <f t="shared" si="43"/>
        <v>27296.253735652379</v>
      </c>
      <c r="M63" s="76">
        <f t="shared" si="43"/>
        <v>28987.200000000001</v>
      </c>
      <c r="N63" s="70">
        <f t="shared" si="41"/>
        <v>264727.6053254882</v>
      </c>
    </row>
    <row r="64" spans="1:14">
      <c r="A64" s="64" t="s">
        <v>57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69"/>
    </row>
    <row r="65" spans="1:14">
      <c r="A65" s="29" t="s">
        <v>58</v>
      </c>
      <c r="B65" s="74">
        <f>B40</f>
        <v>10150</v>
      </c>
      <c r="C65" s="74">
        <f t="shared" ref="C65:N65" si="44">C40</f>
        <v>10150</v>
      </c>
      <c r="D65" s="74">
        <f t="shared" si="44"/>
        <v>10150</v>
      </c>
      <c r="E65" s="74">
        <f t="shared" si="44"/>
        <v>10150</v>
      </c>
      <c r="F65" s="74">
        <f t="shared" si="44"/>
        <v>10150</v>
      </c>
      <c r="G65" s="74">
        <f t="shared" si="44"/>
        <v>10150</v>
      </c>
      <c r="H65" s="74">
        <f t="shared" si="44"/>
        <v>10150</v>
      </c>
      <c r="I65" s="74">
        <f t="shared" si="44"/>
        <v>10150</v>
      </c>
      <c r="J65" s="74">
        <f t="shared" si="44"/>
        <v>10150</v>
      </c>
      <c r="K65" s="74">
        <f t="shared" si="44"/>
        <v>10150</v>
      </c>
      <c r="L65" s="74">
        <f t="shared" si="44"/>
        <v>10150</v>
      </c>
      <c r="M65" s="74">
        <f t="shared" si="44"/>
        <v>10150</v>
      </c>
      <c r="N65" s="74">
        <f t="shared" si="44"/>
        <v>121800</v>
      </c>
    </row>
    <row r="66" spans="1:14">
      <c r="A66" s="57" t="s">
        <v>59</v>
      </c>
      <c r="B66" s="74">
        <f>B16</f>
        <v>10150</v>
      </c>
      <c r="C66" s="74">
        <f t="shared" ref="C66:N66" si="45">C16</f>
        <v>10150</v>
      </c>
      <c r="D66" s="74">
        <f t="shared" si="45"/>
        <v>10150</v>
      </c>
      <c r="E66" s="74">
        <f t="shared" si="45"/>
        <v>10150</v>
      </c>
      <c r="F66" s="74">
        <f t="shared" si="45"/>
        <v>10150</v>
      </c>
      <c r="G66" s="74">
        <f t="shared" si="45"/>
        <v>10150</v>
      </c>
      <c r="H66" s="74">
        <f t="shared" si="45"/>
        <v>10150</v>
      </c>
      <c r="I66" s="74">
        <f t="shared" si="45"/>
        <v>10150</v>
      </c>
      <c r="J66" s="74">
        <f t="shared" si="45"/>
        <v>10150</v>
      </c>
      <c r="K66" s="74">
        <f t="shared" si="45"/>
        <v>10150</v>
      </c>
      <c r="L66" s="74">
        <f t="shared" si="45"/>
        <v>10150</v>
      </c>
      <c r="M66" s="74">
        <f t="shared" si="45"/>
        <v>10150</v>
      </c>
      <c r="N66" s="74">
        <f t="shared" si="45"/>
        <v>121800</v>
      </c>
    </row>
    <row r="67" spans="1:14">
      <c r="A67" s="29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0"/>
    </row>
    <row r="68" spans="1:14">
      <c r="A68" s="29" t="s">
        <v>60</v>
      </c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0"/>
    </row>
    <row r="69" spans="1:14">
      <c r="A69" s="29" t="s">
        <v>61</v>
      </c>
      <c r="B69" s="74">
        <f>B44</f>
        <v>2640</v>
      </c>
      <c r="C69" s="74">
        <f t="shared" ref="C69:N69" si="46">C44</f>
        <v>2640</v>
      </c>
      <c r="D69" s="74">
        <f t="shared" si="46"/>
        <v>2640</v>
      </c>
      <c r="E69" s="74">
        <f t="shared" si="46"/>
        <v>2640</v>
      </c>
      <c r="F69" s="74">
        <f t="shared" si="46"/>
        <v>2640</v>
      </c>
      <c r="G69" s="74">
        <f t="shared" si="46"/>
        <v>2640</v>
      </c>
      <c r="H69" s="74">
        <f t="shared" si="46"/>
        <v>2640</v>
      </c>
      <c r="I69" s="74">
        <f t="shared" si="46"/>
        <v>2640</v>
      </c>
      <c r="J69" s="74">
        <f t="shared" si="46"/>
        <v>2640</v>
      </c>
      <c r="K69" s="74">
        <f t="shared" si="46"/>
        <v>2640</v>
      </c>
      <c r="L69" s="74">
        <f t="shared" si="46"/>
        <v>2640</v>
      </c>
      <c r="M69" s="74">
        <f t="shared" si="46"/>
        <v>2640</v>
      </c>
      <c r="N69" s="74">
        <f t="shared" si="46"/>
        <v>31680</v>
      </c>
    </row>
    <row r="70" spans="1:14">
      <c r="A70" s="29" t="s">
        <v>62</v>
      </c>
      <c r="B70" s="74">
        <f t="shared" ref="B70:N71" si="47">B45</f>
        <v>3168</v>
      </c>
      <c r="C70" s="74">
        <f t="shared" si="47"/>
        <v>3168</v>
      </c>
      <c r="D70" s="74">
        <f t="shared" si="47"/>
        <v>3168</v>
      </c>
      <c r="E70" s="74">
        <f t="shared" si="47"/>
        <v>3168</v>
      </c>
      <c r="F70" s="74">
        <f t="shared" si="47"/>
        <v>3168</v>
      </c>
      <c r="G70" s="74">
        <f t="shared" si="47"/>
        <v>3168</v>
      </c>
      <c r="H70" s="74">
        <f t="shared" si="47"/>
        <v>3168</v>
      </c>
      <c r="I70" s="74">
        <f t="shared" si="47"/>
        <v>3168</v>
      </c>
      <c r="J70" s="74">
        <f t="shared" si="47"/>
        <v>3168</v>
      </c>
      <c r="K70" s="74">
        <f t="shared" si="47"/>
        <v>3168</v>
      </c>
      <c r="L70" s="74">
        <f t="shared" si="47"/>
        <v>3168</v>
      </c>
      <c r="M70" s="74">
        <f t="shared" si="47"/>
        <v>3168</v>
      </c>
      <c r="N70" s="74">
        <f t="shared" si="47"/>
        <v>38016</v>
      </c>
    </row>
    <row r="71" spans="1:14">
      <c r="A71" s="57" t="s">
        <v>63</v>
      </c>
      <c r="B71" s="74">
        <f t="shared" si="47"/>
        <v>5808</v>
      </c>
      <c r="C71" s="74">
        <f t="shared" si="47"/>
        <v>5808</v>
      </c>
      <c r="D71" s="74">
        <f t="shared" si="47"/>
        <v>5808</v>
      </c>
      <c r="E71" s="74">
        <f t="shared" si="47"/>
        <v>5808</v>
      </c>
      <c r="F71" s="74">
        <f t="shared" si="47"/>
        <v>5808</v>
      </c>
      <c r="G71" s="74">
        <f t="shared" si="47"/>
        <v>5808</v>
      </c>
      <c r="H71" s="74">
        <f t="shared" si="47"/>
        <v>5808</v>
      </c>
      <c r="I71" s="74">
        <f t="shared" si="47"/>
        <v>5808</v>
      </c>
      <c r="J71" s="74">
        <f t="shared" si="47"/>
        <v>5808</v>
      </c>
      <c r="K71" s="74">
        <f t="shared" si="47"/>
        <v>5808</v>
      </c>
      <c r="L71" s="74">
        <f t="shared" si="47"/>
        <v>5808</v>
      </c>
      <c r="M71" s="74">
        <f t="shared" si="47"/>
        <v>5808</v>
      </c>
      <c r="N71" s="74">
        <f t="shared" si="47"/>
        <v>69696</v>
      </c>
    </row>
    <row r="72" spans="1:14" ht="15" thickBot="1">
      <c r="A72" s="29" t="s">
        <v>64</v>
      </c>
      <c r="B72" s="80">
        <f>B58*$F$2</f>
        <v>0</v>
      </c>
      <c r="C72" s="80">
        <f t="shared" ref="C72:M72" si="48">C58*$F$2</f>
        <v>0</v>
      </c>
      <c r="D72" s="80">
        <f t="shared" si="48"/>
        <v>0</v>
      </c>
      <c r="E72" s="80">
        <f t="shared" si="48"/>
        <v>0</v>
      </c>
      <c r="F72" s="80">
        <f t="shared" si="48"/>
        <v>0</v>
      </c>
      <c r="G72" s="80">
        <f t="shared" si="48"/>
        <v>0</v>
      </c>
      <c r="H72" s="80">
        <f t="shared" si="48"/>
        <v>0</v>
      </c>
      <c r="I72" s="80">
        <f t="shared" si="48"/>
        <v>0</v>
      </c>
      <c r="J72" s="80">
        <f t="shared" si="48"/>
        <v>0</v>
      </c>
      <c r="K72" s="80">
        <f t="shared" si="48"/>
        <v>0</v>
      </c>
      <c r="L72" s="80">
        <f t="shared" si="48"/>
        <v>0</v>
      </c>
      <c r="M72" s="80">
        <f t="shared" si="48"/>
        <v>1645.5363210227979</v>
      </c>
      <c r="N72" s="72">
        <f>SUM(B72:M72)</f>
        <v>1645.5363210227979</v>
      </c>
    </row>
    <row r="73" spans="1:14" ht="15" thickTop="1">
      <c r="A73" s="63" t="s">
        <v>65</v>
      </c>
      <c r="B73" s="76">
        <f>B66+B71+B72</f>
        <v>15958</v>
      </c>
      <c r="C73" s="76">
        <f t="shared" ref="C73:M73" si="49">C66+C71+C72</f>
        <v>15958</v>
      </c>
      <c r="D73" s="76">
        <f t="shared" si="49"/>
        <v>15958</v>
      </c>
      <c r="E73" s="76">
        <f t="shared" si="49"/>
        <v>15958</v>
      </c>
      <c r="F73" s="76">
        <f t="shared" si="49"/>
        <v>15958</v>
      </c>
      <c r="G73" s="76">
        <f t="shared" si="49"/>
        <v>15958</v>
      </c>
      <c r="H73" s="76">
        <f t="shared" si="49"/>
        <v>15958</v>
      </c>
      <c r="I73" s="76">
        <f t="shared" si="49"/>
        <v>15958</v>
      </c>
      <c r="J73" s="76">
        <f t="shared" si="49"/>
        <v>15958</v>
      </c>
      <c r="K73" s="76">
        <f t="shared" si="49"/>
        <v>15958</v>
      </c>
      <c r="L73" s="76">
        <f t="shared" si="49"/>
        <v>15958</v>
      </c>
      <c r="M73" s="76">
        <f t="shared" si="49"/>
        <v>17603.536321022799</v>
      </c>
      <c r="N73" s="70">
        <f>SUM(B73:M73)</f>
        <v>193141.53632102281</v>
      </c>
    </row>
    <row r="74" spans="1:14" ht="15" thickBot="1">
      <c r="A74" s="29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104"/>
    </row>
    <row r="75" spans="1:14" ht="15.6" thickTop="1" thickBot="1">
      <c r="A75" s="65" t="s">
        <v>66</v>
      </c>
      <c r="B75" s="82">
        <f>B63-B73</f>
        <v>2352.4949791682484</v>
      </c>
      <c r="C75" s="82">
        <f t="shared" ref="C75:L75" si="50">C63-C73</f>
        <v>2747.8532764193769</v>
      </c>
      <c r="D75" s="82">
        <f t="shared" si="50"/>
        <v>4013.7249738641258</v>
      </c>
      <c r="E75" s="82">
        <f t="shared" si="50"/>
        <v>5727.4197880961001</v>
      </c>
      <c r="F75" s="82">
        <f t="shared" si="50"/>
        <v>5961.716379254849</v>
      </c>
      <c r="G75" s="82">
        <f t="shared" si="50"/>
        <v>7961.3628345065736</v>
      </c>
      <c r="H75" s="82">
        <f t="shared" si="50"/>
        <v>3649.8230432661294</v>
      </c>
      <c r="I75" s="82">
        <f t="shared" si="50"/>
        <v>4321.8530040230362</v>
      </c>
      <c r="J75" s="82">
        <f t="shared" si="50"/>
        <v>4628.0634024731808</v>
      </c>
      <c r="K75" s="82">
        <f t="shared" si="50"/>
        <v>7499.8399087642065</v>
      </c>
      <c r="L75" s="82">
        <f t="shared" si="50"/>
        <v>11338.253735652379</v>
      </c>
      <c r="M75" s="82">
        <f>M63-M73</f>
        <v>11383.663678977202</v>
      </c>
      <c r="N75" s="73">
        <f>SUM(B75:M75)</f>
        <v>71586.069004465404</v>
      </c>
    </row>
  </sheetData>
  <mergeCells count="1">
    <mergeCell ref="B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FAC-0ACC-40FF-A9FE-59570DEED5F3}">
  <sheetPr codeName="Sheet8"/>
  <dimension ref="A1:N61"/>
  <sheetViews>
    <sheetView tabSelected="1" topLeftCell="B1" zoomScale="73" zoomScaleNormal="73" workbookViewId="0">
      <selection activeCell="H11" sqref="H11"/>
    </sheetView>
  </sheetViews>
  <sheetFormatPr defaultColWidth="8.88671875" defaultRowHeight="14.4"/>
  <cols>
    <col min="1" max="1" width="42.5546875" customWidth="1"/>
    <col min="2" max="7" width="19.44140625" customWidth="1"/>
    <col min="8" max="8" width="25.88671875" bestFit="1" customWidth="1"/>
    <col min="9" max="12" width="19.44140625" customWidth="1"/>
    <col min="13" max="13" width="20.33203125" customWidth="1"/>
    <col min="14" max="14" width="19.44140625" customWidth="1"/>
  </cols>
  <sheetData>
    <row r="1" spans="1:14" ht="15.9" customHeight="1">
      <c r="A1" s="190" t="s">
        <v>138</v>
      </c>
      <c r="B1" s="22" t="s">
        <v>69</v>
      </c>
      <c r="C1" s="188" t="s">
        <v>122</v>
      </c>
      <c r="D1" s="188"/>
      <c r="E1" s="189"/>
    </row>
    <row r="2" spans="1:14" ht="15.9" customHeight="1" thickBot="1">
      <c r="A2" s="190"/>
      <c r="C2" s="188"/>
      <c r="D2" s="188"/>
      <c r="E2" s="189"/>
      <c r="I2" s="151" t="s">
        <v>126</v>
      </c>
      <c r="J2" s="151"/>
      <c r="K2" s="151"/>
      <c r="L2" s="151"/>
      <c r="M2" s="151"/>
      <c r="N2" s="43"/>
    </row>
    <row r="3" spans="1:14" ht="19.5" customHeight="1" thickBot="1">
      <c r="A3" s="190"/>
      <c r="B3" s="34"/>
      <c r="C3" s="185" t="s">
        <v>70</v>
      </c>
      <c r="D3" s="186"/>
      <c r="E3" s="187"/>
      <c r="H3" s="35" t="s">
        <v>71</v>
      </c>
      <c r="I3" s="8" t="s">
        <v>72</v>
      </c>
    </row>
    <row r="4" spans="1:14" ht="18.600000000000001" customHeight="1" thickBot="1">
      <c r="A4" s="190"/>
      <c r="B4" s="36" t="s">
        <v>73</v>
      </c>
      <c r="C4" s="37" t="s">
        <v>74</v>
      </c>
      <c r="D4" s="38" t="s">
        <v>75</v>
      </c>
      <c r="E4" s="38" t="s">
        <v>76</v>
      </c>
      <c r="H4" s="39" t="str">
        <f>B4</f>
        <v>Decision Alternatives</v>
      </c>
      <c r="I4" s="8" t="s">
        <v>77</v>
      </c>
      <c r="J4" s="8" t="s">
        <v>78</v>
      </c>
      <c r="K4" s="8" t="s">
        <v>79</v>
      </c>
      <c r="L4" s="8" t="s">
        <v>80</v>
      </c>
      <c r="M4" s="8" t="s">
        <v>81</v>
      </c>
      <c r="N4" s="8" t="s">
        <v>82</v>
      </c>
    </row>
    <row r="5" spans="1:14">
      <c r="A5" s="190"/>
      <c r="B5" s="96" t="s">
        <v>47</v>
      </c>
      <c r="C5" s="95">
        <f>'Current operations  Pt3 '!N75</f>
        <v>85942.163534799358</v>
      </c>
      <c r="D5" s="86">
        <f>'Current operations  Pt3 '!N25</f>
        <v>110974.11979442481</v>
      </c>
      <c r="E5" s="100">
        <f>'Current operations  Pt3 '!N50</f>
        <v>102541.17522719695</v>
      </c>
      <c r="H5" s="66" t="s">
        <v>47</v>
      </c>
      <c r="I5" s="239">
        <f>G13</f>
        <v>85942.163534799358</v>
      </c>
      <c r="J5" s="28"/>
      <c r="K5" s="239">
        <f>G27</f>
        <v>99819.152852140367</v>
      </c>
      <c r="L5" s="239">
        <f>G34</f>
        <v>13158.920063786238</v>
      </c>
      <c r="M5" s="28"/>
      <c r="N5" s="28"/>
    </row>
    <row r="6" spans="1:14" ht="15" thickBot="1">
      <c r="A6" s="190"/>
      <c r="B6" s="97" t="s">
        <v>105</v>
      </c>
      <c r="C6" s="99">
        <f>'Franchise operations  Pt3'!N75</f>
        <v>71586.069004465404</v>
      </c>
      <c r="D6" s="98">
        <f>'Franchise operations  Pt3'!N25</f>
        <v>110823.41310285876</v>
      </c>
      <c r="E6" s="101">
        <f>'Franchise operations  Pt3'!N50</f>
        <v>115700.09529098318</v>
      </c>
      <c r="H6" s="66" t="s">
        <v>105</v>
      </c>
      <c r="I6" s="28"/>
      <c r="J6" s="239">
        <f>G20</f>
        <v>115700.09529098318</v>
      </c>
      <c r="K6" s="28"/>
      <c r="L6" s="28"/>
      <c r="M6" s="239">
        <f>E45</f>
        <v>110717.35912773726</v>
      </c>
      <c r="N6" s="239">
        <f>G59</f>
        <v>2954.1075864281211</v>
      </c>
    </row>
    <row r="7" spans="1:14" ht="15" thickBot="1">
      <c r="B7" s="97" t="s">
        <v>137</v>
      </c>
      <c r="C7" s="99">
        <f>'Food Truck  Pt 4'!N75</f>
        <v>60155.662623357675</v>
      </c>
      <c r="D7" s="98">
        <f>'Food Truck  Pt 4'!N25</f>
        <v>102562.24678832116</v>
      </c>
      <c r="E7" s="101">
        <f>'Food Truck  Pt 4'!N50</f>
        <v>110717.35912773726</v>
      </c>
      <c r="H7" s="97" t="s">
        <v>137</v>
      </c>
      <c r="I7" s="66"/>
      <c r="J7" s="66"/>
      <c r="K7" s="66"/>
      <c r="L7" s="66"/>
      <c r="M7" s="66"/>
      <c r="N7" s="66"/>
    </row>
    <row r="9" spans="1:14" ht="15.6">
      <c r="B9" s="22" t="s">
        <v>83</v>
      </c>
      <c r="H9" s="9" t="s">
        <v>84</v>
      </c>
    </row>
    <row r="10" spans="1:14" ht="15" thickBot="1">
      <c r="B10" s="42" t="s">
        <v>77</v>
      </c>
      <c r="H10" s="43" t="str">
        <f>H5</f>
        <v>CURRENT OPERATIONS</v>
      </c>
    </row>
    <row r="11" spans="1:14" ht="15" thickBot="1">
      <c r="B11" s="34"/>
      <c r="C11" s="185" t="s">
        <v>70</v>
      </c>
      <c r="D11" s="186"/>
      <c r="E11" s="187"/>
    </row>
    <row r="12" spans="1:14" ht="15" thickBot="1">
      <c r="B12" s="36" t="s">
        <v>73</v>
      </c>
      <c r="C12" s="37" t="s">
        <v>74</v>
      </c>
      <c r="D12" s="38" t="s">
        <v>75</v>
      </c>
      <c r="E12" s="235" t="s">
        <v>76</v>
      </c>
      <c r="F12" s="237" t="s">
        <v>225</v>
      </c>
      <c r="G12" s="237" t="s">
        <v>226</v>
      </c>
      <c r="H12" s="152"/>
    </row>
    <row r="13" spans="1:14">
      <c r="B13" s="40" t="s">
        <v>47</v>
      </c>
      <c r="C13" s="95">
        <f>C5</f>
        <v>85942.163534799358</v>
      </c>
      <c r="D13" s="95">
        <f t="shared" ref="D13:E13" si="0">D5</f>
        <v>110974.11979442481</v>
      </c>
      <c r="E13" s="236">
        <f t="shared" si="0"/>
        <v>102541.17522719695</v>
      </c>
      <c r="F13" s="238">
        <f>MIN(C13:E13)</f>
        <v>85942.163534799358</v>
      </c>
      <c r="G13" s="239">
        <f>MAX(F13:F15)</f>
        <v>85942.163534799358</v>
      </c>
      <c r="H13" s="191"/>
      <c r="I13" s="191"/>
      <c r="J13" s="191"/>
      <c r="K13" s="191"/>
      <c r="L13" s="191"/>
    </row>
    <row r="14" spans="1:14" ht="15" thickBot="1">
      <c r="B14" s="41" t="s">
        <v>105</v>
      </c>
      <c r="C14" s="95">
        <f t="shared" ref="C14:E15" si="1">C6</f>
        <v>71586.069004465404</v>
      </c>
      <c r="D14" s="95">
        <f t="shared" si="1"/>
        <v>110823.41310285876</v>
      </c>
      <c r="E14" s="236">
        <f t="shared" si="1"/>
        <v>115700.09529098318</v>
      </c>
      <c r="F14" s="238">
        <f t="shared" ref="F14:F15" si="2">MIN(C14:E14)</f>
        <v>71586.069004465404</v>
      </c>
      <c r="G14" s="66"/>
      <c r="H14" s="191"/>
      <c r="I14" s="191"/>
      <c r="J14" s="191"/>
      <c r="K14" s="191"/>
      <c r="L14" s="191"/>
    </row>
    <row r="15" spans="1:14" ht="15" thickBot="1">
      <c r="B15" s="97" t="s">
        <v>137</v>
      </c>
      <c r="C15" s="95">
        <f t="shared" si="1"/>
        <v>60155.662623357675</v>
      </c>
      <c r="D15" s="95">
        <f t="shared" si="1"/>
        <v>102562.24678832116</v>
      </c>
      <c r="E15" s="236">
        <f t="shared" si="1"/>
        <v>110717.35912773726</v>
      </c>
      <c r="F15" s="238">
        <f t="shared" si="2"/>
        <v>60155.662623357675</v>
      </c>
      <c r="G15" s="66"/>
    </row>
    <row r="17" spans="2:7" ht="15" thickBot="1">
      <c r="B17" s="42" t="s">
        <v>85</v>
      </c>
    </row>
    <row r="18" spans="2:7" ht="15" thickBot="1">
      <c r="B18" s="34"/>
      <c r="C18" s="185" t="s">
        <v>70</v>
      </c>
      <c r="D18" s="186"/>
      <c r="E18" s="187"/>
    </row>
    <row r="19" spans="2:7" ht="15" thickBot="1">
      <c r="B19" s="36" t="s">
        <v>73</v>
      </c>
      <c r="C19" s="37" t="s">
        <v>74</v>
      </c>
      <c r="D19" s="38" t="s">
        <v>75</v>
      </c>
      <c r="E19" s="235" t="s">
        <v>76</v>
      </c>
      <c r="F19" s="237" t="s">
        <v>226</v>
      </c>
      <c r="G19" s="237" t="s">
        <v>226</v>
      </c>
    </row>
    <row r="20" spans="2:7">
      <c r="B20" s="40" t="s">
        <v>47</v>
      </c>
      <c r="C20" s="95">
        <f>C13</f>
        <v>85942.163534799358</v>
      </c>
      <c r="D20" s="95">
        <f t="shared" ref="D20:E20" si="3">D13</f>
        <v>110974.11979442481</v>
      </c>
      <c r="E20" s="236">
        <f t="shared" si="3"/>
        <v>102541.17522719695</v>
      </c>
      <c r="F20" s="238">
        <f>MAX(C20:E20)</f>
        <v>110974.11979442481</v>
      </c>
      <c r="G20" s="239">
        <f>MAX(F20:F22)</f>
        <v>115700.09529098318</v>
      </c>
    </row>
    <row r="21" spans="2:7" ht="15" thickBot="1">
      <c r="B21" s="41" t="s">
        <v>105</v>
      </c>
      <c r="C21" s="95">
        <f t="shared" ref="C21:E22" si="4">C14</f>
        <v>71586.069004465404</v>
      </c>
      <c r="D21" s="95">
        <f t="shared" si="4"/>
        <v>110823.41310285876</v>
      </c>
      <c r="E21" s="236">
        <f t="shared" si="4"/>
        <v>115700.09529098318</v>
      </c>
      <c r="F21" s="238">
        <f t="shared" ref="F21:F22" si="5">MAX(C21:E21)</f>
        <v>115700.09529098318</v>
      </c>
      <c r="G21" s="66"/>
    </row>
    <row r="22" spans="2:7" ht="15" thickBot="1">
      <c r="B22" s="97" t="s">
        <v>137</v>
      </c>
      <c r="C22" s="95">
        <f t="shared" si="4"/>
        <v>60155.662623357675</v>
      </c>
      <c r="D22" s="95">
        <f t="shared" si="4"/>
        <v>102562.24678832116</v>
      </c>
      <c r="E22" s="236">
        <f t="shared" si="4"/>
        <v>110717.35912773726</v>
      </c>
      <c r="F22" s="238">
        <f t="shared" si="5"/>
        <v>110717.35912773726</v>
      </c>
      <c r="G22" s="66"/>
    </row>
    <row r="24" spans="2:7" ht="15" thickBot="1">
      <c r="B24" s="42" t="s">
        <v>86</v>
      </c>
    </row>
    <row r="25" spans="2:7" ht="15" thickBot="1">
      <c r="B25" s="34"/>
      <c r="C25" s="185" t="s">
        <v>70</v>
      </c>
      <c r="D25" s="186"/>
      <c r="E25" s="187"/>
    </row>
    <row r="26" spans="2:7" ht="15" thickBot="1">
      <c r="B26" s="36" t="s">
        <v>73</v>
      </c>
      <c r="C26" s="37" t="s">
        <v>74</v>
      </c>
      <c r="D26" s="38" t="s">
        <v>75</v>
      </c>
      <c r="E26" s="235" t="s">
        <v>76</v>
      </c>
      <c r="F26" s="237" t="s">
        <v>227</v>
      </c>
      <c r="G26" s="237" t="s">
        <v>226</v>
      </c>
    </row>
    <row r="27" spans="2:7">
      <c r="B27" s="40" t="s">
        <v>47</v>
      </c>
      <c r="C27" s="95">
        <f>C20</f>
        <v>85942.163534799358</v>
      </c>
      <c r="D27" s="95">
        <f t="shared" ref="D27:E27" si="6">D20</f>
        <v>110974.11979442481</v>
      </c>
      <c r="E27" s="236">
        <f t="shared" si="6"/>
        <v>102541.17522719695</v>
      </c>
      <c r="F27" s="238">
        <f>AVERAGE(C27:E27)</f>
        <v>99819.152852140367</v>
      </c>
      <c r="G27" s="239">
        <f>MAX(F27:F29)</f>
        <v>99819.152852140367</v>
      </c>
    </row>
    <row r="28" spans="2:7" ht="15" thickBot="1">
      <c r="B28" s="41" t="s">
        <v>105</v>
      </c>
      <c r="C28" s="95">
        <f t="shared" ref="C28:E28" si="7">C21</f>
        <v>71586.069004465404</v>
      </c>
      <c r="D28" s="95">
        <f t="shared" si="7"/>
        <v>110823.41310285876</v>
      </c>
      <c r="E28" s="236">
        <f t="shared" si="7"/>
        <v>115700.09529098318</v>
      </c>
      <c r="F28" s="238">
        <f t="shared" ref="F28:F29" si="8">AVERAGE(C28:E28)</f>
        <v>99369.859132769125</v>
      </c>
      <c r="G28" s="66"/>
    </row>
    <row r="29" spans="2:7" ht="15" thickBot="1">
      <c r="B29" s="97" t="s">
        <v>137</v>
      </c>
      <c r="C29" s="95">
        <f t="shared" ref="C29:E29" si="9">C22</f>
        <v>60155.662623357675</v>
      </c>
      <c r="D29" s="95">
        <f t="shared" si="9"/>
        <v>102562.24678832116</v>
      </c>
      <c r="E29" s="236">
        <f t="shared" si="9"/>
        <v>110717.35912773726</v>
      </c>
      <c r="F29" s="238">
        <f t="shared" si="8"/>
        <v>91145.089513138708</v>
      </c>
      <c r="G29" s="66"/>
    </row>
    <row r="31" spans="2:7" ht="15" thickBot="1">
      <c r="B31" s="42" t="s">
        <v>87</v>
      </c>
    </row>
    <row r="32" spans="2:7" ht="15" thickBot="1">
      <c r="B32" s="34" t="s">
        <v>88</v>
      </c>
      <c r="C32" s="185" t="s">
        <v>70</v>
      </c>
      <c r="D32" s="186"/>
      <c r="E32" s="187"/>
    </row>
    <row r="33" spans="2:7" ht="15" thickBot="1">
      <c r="B33" s="36" t="s">
        <v>73</v>
      </c>
      <c r="C33" s="37" t="s">
        <v>74</v>
      </c>
      <c r="D33" s="38" t="s">
        <v>75</v>
      </c>
      <c r="E33" s="235" t="s">
        <v>76</v>
      </c>
      <c r="F33" s="237" t="s">
        <v>226</v>
      </c>
      <c r="G33" s="237" t="s">
        <v>225</v>
      </c>
    </row>
    <row r="34" spans="2:7">
      <c r="B34" s="40" t="s">
        <v>47</v>
      </c>
      <c r="C34" s="95">
        <f>MAX($C$27:$C$29)-C27</f>
        <v>0</v>
      </c>
      <c r="D34" s="86">
        <f>MAX($D$27:$D$29)-D27</f>
        <v>0</v>
      </c>
      <c r="E34" s="241">
        <f>MAX($E$27:$E$29)-E27</f>
        <v>13158.920063786238</v>
      </c>
      <c r="F34" s="238">
        <f>MAX(C34:E34)</f>
        <v>13158.920063786238</v>
      </c>
      <c r="G34" s="239">
        <f>MIN(F34:F36)</f>
        <v>13158.920063786238</v>
      </c>
    </row>
    <row r="35" spans="2:7" ht="15" thickBot="1">
      <c r="B35" s="41" t="s">
        <v>105</v>
      </c>
      <c r="C35" s="95">
        <f t="shared" ref="C35:C36" si="10">MAX($C$27:$C$29)-C28</f>
        <v>14356.094530333954</v>
      </c>
      <c r="D35" s="86">
        <f t="shared" ref="D35:D36" si="11">MAX($D$27:$D$29)-D28</f>
        <v>150.70669156605436</v>
      </c>
      <c r="E35" s="241">
        <f t="shared" ref="E35:E36" si="12">MAX($E$27:$E$29)-E28</f>
        <v>0</v>
      </c>
      <c r="F35" s="238">
        <f t="shared" ref="F35:F36" si="13">MAX(C35:E35)</f>
        <v>14356.094530333954</v>
      </c>
      <c r="G35" s="66"/>
    </row>
    <row r="36" spans="2:7" ht="15" thickBot="1">
      <c r="B36" s="97" t="s">
        <v>137</v>
      </c>
      <c r="C36" s="95">
        <f t="shared" si="10"/>
        <v>25786.500911441683</v>
      </c>
      <c r="D36" s="86">
        <f t="shared" si="11"/>
        <v>8411.8730061036476</v>
      </c>
      <c r="E36" s="241">
        <f t="shared" si="12"/>
        <v>4982.7361632459215</v>
      </c>
      <c r="F36" s="238">
        <f t="shared" si="13"/>
        <v>25786.500911441683</v>
      </c>
      <c r="G36" s="66"/>
    </row>
    <row r="38" spans="2:7" ht="15.6">
      <c r="B38" s="22" t="s">
        <v>89</v>
      </c>
    </row>
    <row r="39" spans="2:7" ht="15" thickBot="1">
      <c r="B39" s="42" t="s">
        <v>81</v>
      </c>
    </row>
    <row r="40" spans="2:7" ht="15" thickBot="1">
      <c r="B40" s="34"/>
      <c r="C40" s="108" t="s">
        <v>70</v>
      </c>
      <c r="D40" s="109"/>
      <c r="E40" s="110"/>
    </row>
    <row r="41" spans="2:7">
      <c r="B41" s="44" t="s">
        <v>73</v>
      </c>
      <c r="C41" s="45" t="s">
        <v>74</v>
      </c>
      <c r="D41" s="46" t="s">
        <v>75</v>
      </c>
      <c r="E41" s="242" t="s">
        <v>76</v>
      </c>
      <c r="F41" s="237" t="s">
        <v>228</v>
      </c>
    </row>
    <row r="42" spans="2:7">
      <c r="B42" s="47" t="s">
        <v>90</v>
      </c>
      <c r="C42" s="103">
        <v>0.2</v>
      </c>
      <c r="D42" s="102">
        <f>'Financial information 1 Pt1'!B42</f>
        <v>0.55000000000000004</v>
      </c>
      <c r="E42" s="243">
        <f>'Financial information 1 Pt1'!B43</f>
        <v>0.25</v>
      </c>
      <c r="F42" s="66"/>
      <c r="G42" s="74"/>
    </row>
    <row r="43" spans="2:7">
      <c r="B43" s="48" t="s">
        <v>47</v>
      </c>
      <c r="C43" s="95">
        <f>C27</f>
        <v>85942.163534799358</v>
      </c>
      <c r="D43" s="95">
        <f t="shared" ref="D43:E43" si="14">D27</f>
        <v>110974.11979442481</v>
      </c>
      <c r="E43" s="236">
        <f t="shared" si="14"/>
        <v>102541.17522719695</v>
      </c>
      <c r="F43" s="238">
        <f>SUMPRODUCT($C$42:$E$42,C43:E43)</f>
        <v>103859.49240069276</v>
      </c>
    </row>
    <row r="44" spans="2:7" ht="15" thickBot="1">
      <c r="B44" s="41" t="s">
        <v>105</v>
      </c>
      <c r="C44" s="95">
        <f t="shared" ref="C44:E44" si="15">C28</f>
        <v>71586.069004465404</v>
      </c>
      <c r="D44" s="95">
        <f t="shared" si="15"/>
        <v>110823.41310285876</v>
      </c>
      <c r="E44" s="236">
        <f t="shared" si="15"/>
        <v>115700.09529098318</v>
      </c>
      <c r="F44" s="238">
        <f t="shared" ref="F44:F45" si="16">SUMPRODUCT($C$42:$E$42,C44:E44)</f>
        <v>104195.11483021121</v>
      </c>
      <c r="G44" s="66" t="s">
        <v>226</v>
      </c>
    </row>
    <row r="45" spans="2:7" ht="15" thickBot="1">
      <c r="B45" s="97" t="s">
        <v>137</v>
      </c>
      <c r="C45" s="95">
        <f t="shared" ref="C45:E45" si="17">C29</f>
        <v>60155.662623357675</v>
      </c>
      <c r="D45" s="95">
        <f t="shared" si="17"/>
        <v>102562.24678832116</v>
      </c>
      <c r="E45" s="236">
        <f t="shared" si="17"/>
        <v>110717.35912773726</v>
      </c>
      <c r="F45" s="238">
        <f t="shared" si="16"/>
        <v>96119.708040182479</v>
      </c>
      <c r="G45" s="239">
        <f>MAX(F43:F45)</f>
        <v>104195.11483021121</v>
      </c>
    </row>
    <row r="47" spans="2:7" ht="15" thickBot="1">
      <c r="B47" s="42" t="s">
        <v>91</v>
      </c>
    </row>
    <row r="48" spans="2:7" ht="15" thickBot="1">
      <c r="B48" s="34"/>
      <c r="C48" s="108" t="s">
        <v>70</v>
      </c>
      <c r="D48" s="109"/>
      <c r="E48" s="110"/>
    </row>
    <row r="49" spans="2:7">
      <c r="B49" s="44" t="s">
        <v>73</v>
      </c>
      <c r="C49" s="45" t="s">
        <v>74</v>
      </c>
      <c r="D49" s="46" t="s">
        <v>75</v>
      </c>
      <c r="E49" s="46" t="s">
        <v>76</v>
      </c>
      <c r="F49" s="83" t="s">
        <v>228</v>
      </c>
    </row>
    <row r="50" spans="2:7">
      <c r="B50" s="47" t="s">
        <v>90</v>
      </c>
      <c r="C50" s="103">
        <f>C42</f>
        <v>0.2</v>
      </c>
      <c r="D50" s="103">
        <f t="shared" ref="D50:E50" si="18">D42</f>
        <v>0.55000000000000004</v>
      </c>
      <c r="E50" s="103">
        <f t="shared" si="18"/>
        <v>0.25</v>
      </c>
      <c r="F50" s="83"/>
    </row>
    <row r="51" spans="2:7" ht="15" thickBot="1">
      <c r="B51" s="41" t="s">
        <v>120</v>
      </c>
      <c r="C51" s="99">
        <f>MAX(C43:C45)</f>
        <v>85942.163534799358</v>
      </c>
      <c r="D51" s="99">
        <f t="shared" ref="D51:E51" si="19">MAX(D43:D45)</f>
        <v>110974.11979442481</v>
      </c>
      <c r="E51" s="99">
        <f t="shared" si="19"/>
        <v>115700.09529098318</v>
      </c>
      <c r="F51" s="240">
        <f>SUMPRODUCT(C50:E50,C51:E51)</f>
        <v>107149.22241663933</v>
      </c>
    </row>
    <row r="53" spans="2:7">
      <c r="B53" s="42" t="s">
        <v>92</v>
      </c>
      <c r="C53" s="240">
        <f>F51-G45</f>
        <v>2954.1075864281156</v>
      </c>
    </row>
    <row r="55" spans="2:7" ht="15" thickBot="1">
      <c r="B55" s="42" t="s">
        <v>82</v>
      </c>
    </row>
    <row r="56" spans="2:7" ht="15" thickBot="1">
      <c r="B56" s="34" t="s">
        <v>88</v>
      </c>
      <c r="C56" s="108" t="s">
        <v>70</v>
      </c>
      <c r="D56" s="109"/>
      <c r="E56" s="110"/>
    </row>
    <row r="57" spans="2:7">
      <c r="B57" s="44" t="s">
        <v>73</v>
      </c>
      <c r="C57" s="45" t="s">
        <v>74</v>
      </c>
      <c r="D57" s="46" t="s">
        <v>75</v>
      </c>
      <c r="E57" s="242" t="s">
        <v>76</v>
      </c>
      <c r="F57" s="237" t="s">
        <v>82</v>
      </c>
      <c r="G57" s="237" t="s">
        <v>225</v>
      </c>
    </row>
    <row r="58" spans="2:7">
      <c r="B58" s="47" t="s">
        <v>90</v>
      </c>
      <c r="C58" s="103">
        <f>C50</f>
        <v>0.2</v>
      </c>
      <c r="D58" s="103">
        <f t="shared" ref="D58:E58" si="20">D50</f>
        <v>0.55000000000000004</v>
      </c>
      <c r="E58" s="244">
        <f t="shared" si="20"/>
        <v>0.25</v>
      </c>
      <c r="F58" s="66"/>
      <c r="G58" s="66"/>
    </row>
    <row r="59" spans="2:7">
      <c r="B59" s="48" t="s">
        <v>47</v>
      </c>
      <c r="C59" s="95">
        <f>C34</f>
        <v>0</v>
      </c>
      <c r="D59" s="95">
        <f t="shared" ref="D59:E59" si="21">D34</f>
        <v>0</v>
      </c>
      <c r="E59" s="236">
        <f t="shared" si="21"/>
        <v>13158.920063786238</v>
      </c>
      <c r="F59" s="238">
        <f>SUMPRODUCT($C$58:$E$58,C59:E59)</f>
        <v>3289.7300159465594</v>
      </c>
      <c r="G59" s="239">
        <f>MIN(F59:F61)</f>
        <v>2954.1075864281211</v>
      </c>
    </row>
    <row r="60" spans="2:7" ht="15" thickBot="1">
      <c r="B60" s="41" t="s">
        <v>105</v>
      </c>
      <c r="C60" s="95">
        <f t="shared" ref="C60:E60" si="22">C35</f>
        <v>14356.094530333954</v>
      </c>
      <c r="D60" s="95">
        <f t="shared" si="22"/>
        <v>150.70669156605436</v>
      </c>
      <c r="E60" s="236">
        <f t="shared" si="22"/>
        <v>0</v>
      </c>
      <c r="F60" s="238">
        <f t="shared" ref="F60:F61" si="23">SUMPRODUCT($C$58:$E$58,C60:E60)</f>
        <v>2954.1075864281211</v>
      </c>
      <c r="G60" s="66"/>
    </row>
    <row r="61" spans="2:7" ht="15" thickBot="1">
      <c r="B61" s="97" t="s">
        <v>137</v>
      </c>
      <c r="C61" s="95">
        <f t="shared" ref="C61:E61" si="24">C36</f>
        <v>25786.500911441683</v>
      </c>
      <c r="D61" s="95">
        <f t="shared" si="24"/>
        <v>8411.8730061036476</v>
      </c>
      <c r="E61" s="236">
        <f t="shared" si="24"/>
        <v>4982.7361632459215</v>
      </c>
      <c r="F61" s="238">
        <f t="shared" si="23"/>
        <v>11029.514376456824</v>
      </c>
      <c r="G61" s="66"/>
    </row>
  </sheetData>
  <mergeCells count="8">
    <mergeCell ref="C25:E25"/>
    <mergeCell ref="C32:E32"/>
    <mergeCell ref="C1:E2"/>
    <mergeCell ref="A1:A6"/>
    <mergeCell ref="H13:L14"/>
    <mergeCell ref="C3:E3"/>
    <mergeCell ref="C11:E11"/>
    <mergeCell ref="C18:E18"/>
  </mergeCells>
  <conditionalFormatting sqref="I5:I7">
    <cfRule type="cellIs" dxfId="0" priority="6" operator="equal">
      <formula>$I$7</formula>
    </cfRule>
  </conditionalFormatting>
  <conditionalFormatting sqref="J5:J7">
    <cfRule type="cellIs" dxfId="5" priority="5" operator="equal">
      <formula>$J$7</formula>
    </cfRule>
  </conditionalFormatting>
  <conditionalFormatting sqref="K5:K7">
    <cfRule type="cellIs" dxfId="4" priority="4" operator="equal">
      <formula>$K$7</formula>
    </cfRule>
  </conditionalFormatting>
  <conditionalFormatting sqref="L5:L7">
    <cfRule type="cellIs" dxfId="3" priority="3" operator="equal">
      <formula>$L$7</formula>
    </cfRule>
  </conditionalFormatting>
  <conditionalFormatting sqref="M5:M7">
    <cfRule type="cellIs" dxfId="2" priority="2" operator="equal">
      <formula>$M$7</formula>
    </cfRule>
  </conditionalFormatting>
  <conditionalFormatting sqref="N5:N7">
    <cfRule type="cellIs" dxfId="1" priority="1" operator="equal">
      <formula>$N$7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ABCA-85F7-4648-BD7F-C393624B6B31}">
  <dimension ref="A1:N63"/>
  <sheetViews>
    <sheetView zoomScale="85" zoomScaleNormal="85" workbookViewId="0">
      <selection activeCell="L10" sqref="L10"/>
    </sheetView>
  </sheetViews>
  <sheetFormatPr defaultColWidth="8.88671875" defaultRowHeight="14.4"/>
  <cols>
    <col min="1" max="1" width="32.88671875" customWidth="1"/>
    <col min="2" max="2" width="15" customWidth="1"/>
    <col min="3" max="3" width="13.88671875" customWidth="1"/>
    <col min="4" max="4" width="14.109375" customWidth="1"/>
    <col min="5" max="5" width="19.33203125" customWidth="1"/>
    <col min="6" max="6" width="14" customWidth="1"/>
    <col min="9" max="9" width="22.33203125" bestFit="1" customWidth="1"/>
    <col min="10" max="10" width="26" bestFit="1" customWidth="1"/>
    <col min="11" max="11" width="26.33203125" bestFit="1" customWidth="1"/>
    <col min="12" max="12" width="28" bestFit="1" customWidth="1"/>
    <col min="13" max="13" width="26.33203125" bestFit="1" customWidth="1"/>
    <col min="14" max="15" width="23.33203125" bestFit="1" customWidth="1"/>
    <col min="16" max="16" width="11.33203125" bestFit="1" customWidth="1"/>
  </cols>
  <sheetData>
    <row r="1" spans="1:12" ht="21">
      <c r="A1" s="192" t="s">
        <v>195</v>
      </c>
    </row>
    <row r="2" spans="1:12" ht="15.6">
      <c r="A2" s="10" t="s">
        <v>10</v>
      </c>
      <c r="B2" s="10"/>
      <c r="C2" s="10"/>
      <c r="D2" s="10"/>
    </row>
    <row r="3" spans="1:12" ht="15.6">
      <c r="A3" s="11" t="s">
        <v>11</v>
      </c>
      <c r="B3" s="10"/>
      <c r="C3" s="10"/>
      <c r="D3" s="10"/>
    </row>
    <row r="4" spans="1:12" ht="15.6">
      <c r="A4" t="s">
        <v>12</v>
      </c>
      <c r="B4" s="10"/>
      <c r="C4" s="10"/>
    </row>
    <row r="5" spans="1:12" ht="15" thickBot="1">
      <c r="C5" t="s">
        <v>196</v>
      </c>
      <c r="D5" t="s">
        <v>197</v>
      </c>
      <c r="E5" s="193"/>
    </row>
    <row r="6" spans="1:12" ht="28.8">
      <c r="A6" s="114" t="s">
        <v>127</v>
      </c>
      <c r="B6" s="115" t="s">
        <v>128</v>
      </c>
      <c r="C6" s="194" t="s">
        <v>198</v>
      </c>
      <c r="D6" s="8"/>
      <c r="E6" s="12"/>
      <c r="I6" t="s">
        <v>146</v>
      </c>
      <c r="J6" t="s">
        <v>199</v>
      </c>
    </row>
    <row r="7" spans="1:12">
      <c r="A7" s="117" t="s">
        <v>14</v>
      </c>
      <c r="B7" s="66" t="s">
        <v>130</v>
      </c>
      <c r="C7" s="195">
        <v>2.99</v>
      </c>
      <c r="D7" s="17"/>
      <c r="I7" s="170" t="s">
        <v>132</v>
      </c>
      <c r="J7">
        <v>5045</v>
      </c>
      <c r="K7" t="s">
        <v>200</v>
      </c>
      <c r="L7">
        <f>GETPIVOTDATA("Expense/revenue FT",$I$6,"Profit Model label","Fixed Expense")</f>
        <v>5045</v>
      </c>
    </row>
    <row r="8" spans="1:12">
      <c r="A8" s="117" t="s">
        <v>15</v>
      </c>
      <c r="B8" s="66" t="s">
        <v>131</v>
      </c>
      <c r="C8" s="195">
        <v>2.5</v>
      </c>
      <c r="D8" s="17"/>
      <c r="I8" s="170" t="s">
        <v>130</v>
      </c>
      <c r="J8">
        <v>2.99</v>
      </c>
      <c r="K8" t="s">
        <v>201</v>
      </c>
      <c r="L8">
        <f>GETPIVOTDATA("Expense/revenue FT",$I$6,"Profit Model label","Rev: Coffee")</f>
        <v>2.99</v>
      </c>
    </row>
    <row r="9" spans="1:12">
      <c r="A9" s="119" t="s">
        <v>16</v>
      </c>
      <c r="B9" s="66" t="s">
        <v>202</v>
      </c>
      <c r="C9" s="196">
        <v>0.5</v>
      </c>
      <c r="D9" s="17"/>
      <c r="I9" s="170" t="s">
        <v>131</v>
      </c>
      <c r="J9">
        <v>2.5</v>
      </c>
      <c r="K9" t="s">
        <v>203</v>
      </c>
      <c r="L9">
        <f>GETPIVOTDATA("Expense/revenue FT",$I$6,"Profit Model label","Rev: Donut")</f>
        <v>2.5</v>
      </c>
    </row>
    <row r="10" spans="1:12" ht="27">
      <c r="A10" s="119" t="s">
        <v>133</v>
      </c>
      <c r="B10" s="66" t="s">
        <v>202</v>
      </c>
      <c r="C10" s="196">
        <v>0.1</v>
      </c>
      <c r="D10" s="17"/>
      <c r="F10" s="12"/>
      <c r="I10" s="170" t="s">
        <v>204</v>
      </c>
      <c r="J10">
        <v>0.5</v>
      </c>
      <c r="K10" t="s">
        <v>205</v>
      </c>
      <c r="L10">
        <f>GETPIVOTDATA("Expense/revenue FT",$I$6,"Profit Model label","Variable  Expense coffee")</f>
        <v>0.5</v>
      </c>
    </row>
    <row r="11" spans="1:12">
      <c r="A11" s="119" t="s">
        <v>17</v>
      </c>
      <c r="B11" s="66" t="s">
        <v>132</v>
      </c>
      <c r="C11" s="196">
        <v>150</v>
      </c>
      <c r="I11" s="170" t="s">
        <v>202</v>
      </c>
      <c r="J11">
        <v>0.6</v>
      </c>
      <c r="K11" t="s">
        <v>206</v>
      </c>
      <c r="L11">
        <f>GETPIVOTDATA("Expense/revenue FT",$I$6,"Profit Model label","Variable  Expense donut")</f>
        <v>0.6</v>
      </c>
    </row>
    <row r="12" spans="1:12">
      <c r="A12" s="119" t="s">
        <v>18</v>
      </c>
      <c r="B12" s="66" t="s">
        <v>132</v>
      </c>
      <c r="C12" s="196">
        <v>300</v>
      </c>
      <c r="F12" s="12"/>
      <c r="I12" s="170" t="s">
        <v>147</v>
      </c>
      <c r="J12">
        <v>5051.59</v>
      </c>
    </row>
    <row r="13" spans="1:12">
      <c r="A13" s="119" t="s">
        <v>19</v>
      </c>
      <c r="B13" s="66" t="s">
        <v>132</v>
      </c>
      <c r="C13" s="196">
        <v>0</v>
      </c>
      <c r="D13" s="12" t="s">
        <v>207</v>
      </c>
    </row>
    <row r="14" spans="1:12">
      <c r="A14" s="119" t="s">
        <v>20</v>
      </c>
      <c r="B14" s="66" t="s">
        <v>204</v>
      </c>
      <c r="C14" s="196">
        <v>0.35</v>
      </c>
      <c r="D14" s="17"/>
    </row>
    <row r="15" spans="1:12">
      <c r="A15" s="119" t="s">
        <v>21</v>
      </c>
      <c r="B15" s="66" t="s">
        <v>204</v>
      </c>
      <c r="C15" s="196">
        <v>0.15</v>
      </c>
      <c r="D15" s="17"/>
    </row>
    <row r="16" spans="1:12">
      <c r="A16" s="119" t="s">
        <v>22</v>
      </c>
      <c r="B16" s="66" t="s">
        <v>132</v>
      </c>
      <c r="C16" s="196">
        <v>2400</v>
      </c>
    </row>
    <row r="17" spans="1:14">
      <c r="A17" s="119" t="s">
        <v>23</v>
      </c>
      <c r="B17" s="66" t="s">
        <v>132</v>
      </c>
      <c r="C17" s="196">
        <v>0</v>
      </c>
      <c r="D17" s="12" t="s">
        <v>208</v>
      </c>
    </row>
    <row r="18" spans="1:14">
      <c r="A18" s="119" t="s">
        <v>24</v>
      </c>
      <c r="B18" s="66" t="s">
        <v>132</v>
      </c>
      <c r="C18" s="196">
        <v>0</v>
      </c>
      <c r="H18" t="s">
        <v>12</v>
      </c>
    </row>
    <row r="19" spans="1:14">
      <c r="A19" s="119" t="s">
        <v>25</v>
      </c>
      <c r="B19" s="66" t="s">
        <v>132</v>
      </c>
      <c r="C19" s="196">
        <v>50</v>
      </c>
    </row>
    <row r="20" spans="1:14">
      <c r="A20" s="119" t="s">
        <v>26</v>
      </c>
      <c r="B20" s="66" t="s">
        <v>132</v>
      </c>
      <c r="C20" s="196">
        <v>25</v>
      </c>
    </row>
    <row r="21" spans="1:14">
      <c r="A21" s="15" t="s">
        <v>27</v>
      </c>
      <c r="B21" s="66" t="s">
        <v>132</v>
      </c>
      <c r="C21" s="196">
        <v>0</v>
      </c>
    </row>
    <row r="22" spans="1:14">
      <c r="A22" s="119" t="s">
        <v>28</v>
      </c>
      <c r="B22" s="66" t="s">
        <v>132</v>
      </c>
      <c r="C22" s="196">
        <v>2120</v>
      </c>
      <c r="D22" s="12" t="s">
        <v>209</v>
      </c>
    </row>
    <row r="23" spans="1:14">
      <c r="A23" s="119" t="s">
        <v>29</v>
      </c>
      <c r="B23" s="66" t="s">
        <v>132</v>
      </c>
      <c r="C23" s="196">
        <v>0</v>
      </c>
    </row>
    <row r="24" spans="1:14">
      <c r="A24" s="120" t="s">
        <v>30</v>
      </c>
      <c r="B24" s="66" t="s">
        <v>132</v>
      </c>
      <c r="C24" s="196">
        <v>0</v>
      </c>
    </row>
    <row r="25" spans="1:14">
      <c r="A25" s="121" t="s">
        <v>12</v>
      </c>
      <c r="C25" s="17"/>
    </row>
    <row r="26" spans="1:14">
      <c r="A26" s="197"/>
      <c r="B26" s="13"/>
      <c r="C26" s="17"/>
    </row>
    <row r="27" spans="1:14">
      <c r="A27" s="198"/>
      <c r="B27" s="199"/>
      <c r="E27" s="2"/>
    </row>
    <row r="28" spans="1:14">
      <c r="F28" s="16"/>
    </row>
    <row r="29" spans="1:14">
      <c r="B29" s="17"/>
      <c r="C29" s="17"/>
    </row>
    <row r="30" spans="1:14" ht="16.2" thickBot="1">
      <c r="A30" s="200" t="s">
        <v>31</v>
      </c>
      <c r="B30" s="17"/>
      <c r="C30" s="17"/>
    </row>
    <row r="31" spans="1:14" ht="21">
      <c r="A31" s="201" t="s">
        <v>210</v>
      </c>
      <c r="B31" s="202"/>
      <c r="D31" s="125"/>
      <c r="E31" s="125"/>
      <c r="M31" s="203"/>
      <c r="N31" s="2"/>
    </row>
    <row r="32" spans="1:14" ht="36">
      <c r="A32" s="106" t="s">
        <v>32</v>
      </c>
      <c r="B32" s="85" t="s">
        <v>211</v>
      </c>
      <c r="M32" s="203"/>
      <c r="N32" s="2"/>
    </row>
    <row r="33" spans="1:14" ht="18">
      <c r="A33" s="107" t="s">
        <v>33</v>
      </c>
      <c r="B33" s="85"/>
      <c r="M33" s="203"/>
      <c r="N33" s="2"/>
    </row>
    <row r="34" spans="1:14" ht="18">
      <c r="A34" s="107" t="s">
        <v>34</v>
      </c>
      <c r="B34" s="85"/>
      <c r="M34" s="203"/>
      <c r="N34" s="2"/>
    </row>
    <row r="35" spans="1:14" ht="21">
      <c r="A35" s="107" t="s">
        <v>35</v>
      </c>
      <c r="B35" s="204">
        <v>0.05</v>
      </c>
      <c r="C35" s="83"/>
      <c r="D35" s="126"/>
      <c r="E35" s="126"/>
      <c r="M35" s="203"/>
      <c r="N35" s="2"/>
    </row>
    <row r="36" spans="1:14" ht="16.8" thickBot="1">
      <c r="A36" s="107" t="s">
        <v>36</v>
      </c>
      <c r="B36" s="205">
        <v>0.26</v>
      </c>
      <c r="M36" s="203"/>
      <c r="N36" s="2"/>
    </row>
    <row r="37" spans="1:14" ht="18" customHeight="1">
      <c r="B37" s="206"/>
      <c r="C37" s="49"/>
      <c r="M37" s="203"/>
      <c r="N37" s="2"/>
    </row>
    <row r="38" spans="1:14" ht="15">
      <c r="A38" s="207"/>
      <c r="B38" s="208"/>
      <c r="M38" s="203"/>
      <c r="N38" s="2"/>
    </row>
    <row r="39" spans="1:14">
      <c r="A39" s="209"/>
      <c r="B39" s="50"/>
      <c r="C39" s="50"/>
      <c r="G39" s="12"/>
      <c r="M39" s="2"/>
      <c r="N39" s="2"/>
    </row>
    <row r="40" spans="1:14">
      <c r="A40" s="210"/>
      <c r="B40" s="211"/>
      <c r="C40" s="212"/>
      <c r="N40" s="2"/>
    </row>
    <row r="41" spans="1:14" ht="21">
      <c r="A41" s="213"/>
      <c r="B41" s="214"/>
      <c r="C41" s="214"/>
      <c r="G41" s="12"/>
      <c r="H41" s="2"/>
      <c r="M41" s="203"/>
    </row>
    <row r="42" spans="1:14" ht="15">
      <c r="A42" s="212"/>
      <c r="B42" s="215"/>
      <c r="C42" s="216"/>
      <c r="H42" s="203"/>
      <c r="M42" s="203"/>
    </row>
    <row r="43" spans="1:14" ht="15">
      <c r="A43" s="217"/>
      <c r="B43" s="215"/>
      <c r="C43" s="216"/>
      <c r="H43" s="203"/>
      <c r="M43" s="203"/>
    </row>
    <row r="44" spans="1:14" ht="15">
      <c r="A44" s="217"/>
      <c r="B44" s="215"/>
      <c r="C44" s="216"/>
      <c r="H44" s="203"/>
      <c r="M44" s="203"/>
    </row>
    <row r="45" spans="1:14" ht="15">
      <c r="A45" s="217"/>
      <c r="B45" s="216"/>
      <c r="C45" s="216"/>
      <c r="H45" s="203"/>
      <c r="M45" s="203"/>
    </row>
    <row r="46" spans="1:14" ht="15">
      <c r="A46" s="217"/>
      <c r="B46" s="216"/>
      <c r="C46" s="216"/>
      <c r="H46" s="203"/>
      <c r="M46" s="203"/>
    </row>
    <row r="47" spans="1:14" ht="15">
      <c r="A47" s="217"/>
      <c r="B47" s="216"/>
      <c r="C47" s="216"/>
      <c r="H47" s="203"/>
      <c r="M47" s="203"/>
    </row>
    <row r="48" spans="1:14" ht="15">
      <c r="A48" s="217"/>
      <c r="B48" s="216"/>
      <c r="C48" s="216"/>
      <c r="H48" s="203"/>
      <c r="M48" s="203"/>
    </row>
    <row r="49" spans="1:13" ht="15">
      <c r="A49" s="218"/>
      <c r="B49" s="17"/>
      <c r="C49" s="17"/>
      <c r="H49" s="203"/>
      <c r="M49" s="2"/>
    </row>
    <row r="50" spans="1:13">
      <c r="A50" s="219"/>
      <c r="B50" s="17"/>
      <c r="C50" s="17"/>
    </row>
    <row r="51" spans="1:13" ht="15">
      <c r="A51" s="18"/>
      <c r="B51" s="17"/>
      <c r="C51" s="17"/>
      <c r="H51" s="203"/>
    </row>
    <row r="52" spans="1:13">
      <c r="A52" s="219"/>
      <c r="B52" s="17"/>
      <c r="C52" s="17"/>
      <c r="H52" s="2"/>
    </row>
    <row r="53" spans="1:13" ht="15">
      <c r="A53" s="219"/>
      <c r="B53" s="17"/>
      <c r="C53" s="17"/>
      <c r="H53" s="203"/>
    </row>
    <row r="54" spans="1:13">
      <c r="A54" s="219"/>
      <c r="B54" s="17"/>
      <c r="C54" s="17"/>
      <c r="H54" s="2"/>
    </row>
    <row r="55" spans="1:13" ht="15">
      <c r="A55" s="219"/>
      <c r="B55" s="17"/>
      <c r="C55" s="17"/>
      <c r="H55" s="203"/>
    </row>
    <row r="56" spans="1:13">
      <c r="H56" s="2"/>
    </row>
    <row r="57" spans="1:13" ht="15">
      <c r="H57" s="203"/>
    </row>
    <row r="58" spans="1:13">
      <c r="H58" s="2"/>
    </row>
    <row r="59" spans="1:13" ht="15">
      <c r="H59" s="203"/>
    </row>
    <row r="60" spans="1:13">
      <c r="H60" s="2"/>
    </row>
    <row r="61" spans="1:13" ht="15">
      <c r="H61" s="203"/>
    </row>
    <row r="62" spans="1:13">
      <c r="A62" s="220" t="s">
        <v>93</v>
      </c>
      <c r="H62" s="2"/>
    </row>
    <row r="63" spans="1:13" ht="15">
      <c r="A63" s="221"/>
      <c r="H63" s="203"/>
    </row>
  </sheetData>
  <mergeCells count="1">
    <mergeCell ref="B41:C41"/>
  </mergeCell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DD86-929E-494F-8054-0621F68946DC}">
  <dimension ref="A1:AB38"/>
  <sheetViews>
    <sheetView topLeftCell="A7" workbookViewId="0">
      <selection activeCell="A32" sqref="A32"/>
    </sheetView>
  </sheetViews>
  <sheetFormatPr defaultRowHeight="14.4"/>
  <cols>
    <col min="1" max="1" width="16.77734375" customWidth="1"/>
    <col min="2" max="2" width="8.88671875" customWidth="1"/>
    <col min="3" max="3" width="17.6640625" customWidth="1"/>
    <col min="4" max="4" width="16.33203125" customWidth="1"/>
    <col min="12" max="12" width="8.88671875" customWidth="1"/>
  </cols>
  <sheetData>
    <row r="1" spans="1:25" s="112" customFormat="1" ht="29.4" thickBot="1">
      <c r="A1" s="222" t="s">
        <v>38</v>
      </c>
      <c r="B1" s="223" t="s">
        <v>39</v>
      </c>
      <c r="C1" s="224" t="s">
        <v>212</v>
      </c>
      <c r="D1" s="224" t="s">
        <v>213</v>
      </c>
      <c r="E1" s="224" t="s">
        <v>214</v>
      </c>
      <c r="H1" t="s">
        <v>215</v>
      </c>
    </row>
    <row r="2" spans="1:25" ht="15.6">
      <c r="A2" s="24">
        <v>44470</v>
      </c>
      <c r="B2" s="225">
        <v>3634</v>
      </c>
      <c r="C2" s="226">
        <v>30</v>
      </c>
      <c r="D2" s="226">
        <v>1</v>
      </c>
      <c r="E2" s="226">
        <v>0</v>
      </c>
      <c r="H2" t="s">
        <v>216</v>
      </c>
    </row>
    <row r="3" spans="1:25" ht="15.6">
      <c r="A3" s="24">
        <v>44501</v>
      </c>
      <c r="B3" s="225">
        <v>4550</v>
      </c>
      <c r="C3" s="226">
        <v>40</v>
      </c>
      <c r="D3" s="226">
        <v>0</v>
      </c>
      <c r="E3" s="226">
        <v>1</v>
      </c>
      <c r="H3" t="s">
        <v>217</v>
      </c>
    </row>
    <row r="4" spans="1:25" ht="15.6">
      <c r="A4" s="24">
        <v>44531</v>
      </c>
      <c r="B4" s="227">
        <v>5330</v>
      </c>
      <c r="C4" s="226">
        <v>55</v>
      </c>
      <c r="D4" s="226">
        <v>1</v>
      </c>
      <c r="E4" s="226">
        <v>0</v>
      </c>
      <c r="T4" s="228"/>
      <c r="U4" s="228"/>
    </row>
    <row r="5" spans="1:25" ht="15.6">
      <c r="A5" s="24">
        <v>44562</v>
      </c>
      <c r="B5" s="225">
        <v>3100</v>
      </c>
      <c r="C5" s="226">
        <v>30</v>
      </c>
      <c r="D5" s="226">
        <v>0</v>
      </c>
      <c r="E5" s="226">
        <v>1</v>
      </c>
      <c r="H5" t="s">
        <v>218</v>
      </c>
      <c r="J5" s="228"/>
      <c r="K5" s="228"/>
    </row>
    <row r="6" spans="1:25" ht="15.6">
      <c r="A6" s="24">
        <v>44593</v>
      </c>
      <c r="B6" s="225">
        <v>2999</v>
      </c>
      <c r="C6" s="226">
        <v>30</v>
      </c>
      <c r="D6" s="226">
        <v>0</v>
      </c>
      <c r="E6" s="226">
        <v>1</v>
      </c>
      <c r="H6" t="s">
        <v>219</v>
      </c>
    </row>
    <row r="7" spans="1:25" ht="15.6">
      <c r="A7" s="24">
        <v>44621</v>
      </c>
      <c r="B7" s="225">
        <v>3051</v>
      </c>
      <c r="C7" s="226">
        <v>35</v>
      </c>
      <c r="D7" s="226">
        <v>1</v>
      </c>
      <c r="E7" s="226">
        <v>0</v>
      </c>
      <c r="H7" t="s">
        <v>220</v>
      </c>
    </row>
    <row r="8" spans="1:25" ht="15.6">
      <c r="A8" s="24">
        <v>44652</v>
      </c>
      <c r="B8" s="225">
        <v>3753</v>
      </c>
      <c r="C8" s="226">
        <v>35</v>
      </c>
      <c r="D8" s="226">
        <v>0</v>
      </c>
      <c r="E8" s="226">
        <v>1</v>
      </c>
    </row>
    <row r="9" spans="1:25" ht="15.6">
      <c r="A9" s="24">
        <v>44682</v>
      </c>
      <c r="B9" s="225">
        <v>3709</v>
      </c>
      <c r="C9" s="226">
        <v>35</v>
      </c>
      <c r="D9" s="226">
        <v>0</v>
      </c>
      <c r="E9" s="226">
        <v>1</v>
      </c>
    </row>
    <row r="10" spans="1:25" ht="15.6">
      <c r="A10" s="24">
        <v>44713</v>
      </c>
      <c r="B10" s="225">
        <v>3930</v>
      </c>
      <c r="C10" s="226">
        <v>40</v>
      </c>
      <c r="D10" s="226">
        <v>1</v>
      </c>
      <c r="E10" s="226">
        <v>0</v>
      </c>
    </row>
    <row r="11" spans="1:25" ht="15.6">
      <c r="A11" s="24">
        <v>44743</v>
      </c>
      <c r="B11" s="225">
        <v>2949</v>
      </c>
      <c r="C11" s="226">
        <v>40</v>
      </c>
      <c r="D11" s="226">
        <v>0</v>
      </c>
      <c r="E11" s="226">
        <v>1</v>
      </c>
    </row>
    <row r="12" spans="1:25" ht="15.6">
      <c r="A12" s="24">
        <v>44774</v>
      </c>
      <c r="B12" s="225">
        <v>3348</v>
      </c>
      <c r="C12" s="226">
        <v>45</v>
      </c>
      <c r="D12" s="226">
        <v>0</v>
      </c>
      <c r="E12" s="226">
        <v>1</v>
      </c>
      <c r="T12" s="229"/>
      <c r="U12" s="229"/>
      <c r="V12" s="229"/>
      <c r="W12" s="229"/>
      <c r="X12" s="229"/>
      <c r="Y12" s="229"/>
    </row>
    <row r="13" spans="1:25" ht="15.6">
      <c r="A13" s="24">
        <v>44805</v>
      </c>
      <c r="B13" s="225">
        <v>3400</v>
      </c>
      <c r="C13" s="226">
        <v>40</v>
      </c>
      <c r="D13" s="226">
        <v>0</v>
      </c>
      <c r="E13" s="226">
        <v>1</v>
      </c>
      <c r="J13" s="229"/>
      <c r="K13" s="229"/>
      <c r="L13" s="229"/>
      <c r="M13" s="229"/>
      <c r="N13" s="229"/>
      <c r="O13" s="229"/>
    </row>
    <row r="14" spans="1:25" ht="15.6">
      <c r="A14" s="24">
        <v>44835</v>
      </c>
      <c r="B14" s="225">
        <v>4400</v>
      </c>
      <c r="C14" s="226">
        <v>55</v>
      </c>
      <c r="D14" s="226">
        <v>1</v>
      </c>
      <c r="E14" s="226">
        <v>0</v>
      </c>
    </row>
    <row r="15" spans="1:25" ht="15.6">
      <c r="A15" s="24">
        <v>44866</v>
      </c>
      <c r="B15" s="225">
        <v>5079</v>
      </c>
      <c r="C15" s="226">
        <v>55</v>
      </c>
      <c r="D15" s="226">
        <v>1</v>
      </c>
      <c r="E15" s="226">
        <v>0</v>
      </c>
    </row>
    <row r="16" spans="1:25" ht="15.6">
      <c r="A16" s="24">
        <v>44896</v>
      </c>
      <c r="B16" s="225">
        <v>6087</v>
      </c>
      <c r="C16" s="226">
        <v>60</v>
      </c>
      <c r="D16" s="226">
        <v>1</v>
      </c>
      <c r="E16" s="226">
        <v>0</v>
      </c>
    </row>
    <row r="17" spans="1:28">
      <c r="A17" s="24">
        <v>44927</v>
      </c>
      <c r="B17" s="230">
        <f>($I$36*C17)+($I$37*D17)+$I$35</f>
        <v>1949.7956204379564</v>
      </c>
      <c r="C17" s="231">
        <v>15</v>
      </c>
      <c r="D17" s="231">
        <v>0</v>
      </c>
      <c r="E17" s="231">
        <v>1</v>
      </c>
      <c r="H17" t="s">
        <v>221</v>
      </c>
      <c r="T17" s="229"/>
      <c r="U17" s="229"/>
      <c r="V17" s="229"/>
      <c r="W17" s="229"/>
      <c r="X17" s="229"/>
      <c r="Y17" s="229"/>
      <c r="Z17" s="229"/>
      <c r="AA17" s="229"/>
      <c r="AB17" s="229"/>
    </row>
    <row r="18" spans="1:28">
      <c r="A18" s="24">
        <v>44958</v>
      </c>
      <c r="B18" s="230">
        <f t="shared" ref="B18:B28" si="0">($I$36*C18)+($I$37*D18)+$I$35</f>
        <v>2298.6423357664235</v>
      </c>
      <c r="C18" s="231">
        <v>20</v>
      </c>
      <c r="D18" s="231">
        <v>0</v>
      </c>
      <c r="E18" s="231">
        <v>1</v>
      </c>
      <c r="J18" s="229"/>
      <c r="K18" s="229"/>
      <c r="L18" s="229"/>
      <c r="M18" s="229"/>
      <c r="N18" s="229"/>
      <c r="O18" s="229"/>
      <c r="P18" s="229"/>
      <c r="Q18" s="229"/>
      <c r="R18" s="229"/>
    </row>
    <row r="19" spans="1:28">
      <c r="A19" s="24">
        <v>44986</v>
      </c>
      <c r="B19" s="230">
        <f t="shared" si="0"/>
        <v>2298.6423357664235</v>
      </c>
      <c r="C19" s="231">
        <v>20</v>
      </c>
      <c r="D19" s="231">
        <v>0</v>
      </c>
      <c r="E19" s="231">
        <v>1</v>
      </c>
      <c r="H19" t="s">
        <v>166</v>
      </c>
    </row>
    <row r="20" spans="1:28" ht="15" thickBot="1">
      <c r="A20" s="24">
        <v>45017</v>
      </c>
      <c r="B20" s="230">
        <f t="shared" si="0"/>
        <v>2647.4890510948908</v>
      </c>
      <c r="C20" s="231">
        <v>25</v>
      </c>
      <c r="D20" s="231">
        <v>0</v>
      </c>
      <c r="E20" s="231">
        <v>1</v>
      </c>
    </row>
    <row r="21" spans="1:28">
      <c r="A21" s="24">
        <v>45047</v>
      </c>
      <c r="B21" s="230">
        <f t="shared" si="0"/>
        <v>2647.4890510948908</v>
      </c>
      <c r="C21" s="231">
        <v>25</v>
      </c>
      <c r="D21" s="231">
        <v>0</v>
      </c>
      <c r="E21" s="231">
        <v>1</v>
      </c>
      <c r="H21" s="179" t="s">
        <v>167</v>
      </c>
      <c r="I21" s="179"/>
    </row>
    <row r="22" spans="1:28">
      <c r="A22" s="24">
        <v>45078</v>
      </c>
      <c r="B22" s="230">
        <f t="shared" si="0"/>
        <v>3654.3722627737225</v>
      </c>
      <c r="C22" s="231">
        <v>35</v>
      </c>
      <c r="D22" s="231">
        <v>1</v>
      </c>
      <c r="E22" s="231">
        <v>0</v>
      </c>
      <c r="H22" t="s">
        <v>168</v>
      </c>
      <c r="I22">
        <v>0.84434540565369609</v>
      </c>
    </row>
    <row r="23" spans="1:28">
      <c r="A23" s="24">
        <v>45108</v>
      </c>
      <c r="B23" s="230">
        <f t="shared" si="0"/>
        <v>3654.3722627737225</v>
      </c>
      <c r="C23" s="231">
        <v>35</v>
      </c>
      <c r="D23" s="231">
        <v>1</v>
      </c>
      <c r="E23" s="231">
        <v>0</v>
      </c>
      <c r="H23" t="s">
        <v>169</v>
      </c>
      <c r="I23">
        <v>0.71291916404850464</v>
      </c>
    </row>
    <row r="24" spans="1:28">
      <c r="A24" s="24">
        <v>45139</v>
      </c>
      <c r="B24" s="230">
        <f t="shared" si="0"/>
        <v>2647.4890510948908</v>
      </c>
      <c r="C24" s="231">
        <v>25</v>
      </c>
      <c r="D24" s="231">
        <v>0</v>
      </c>
      <c r="E24" s="231">
        <v>1</v>
      </c>
      <c r="H24" t="s">
        <v>170</v>
      </c>
      <c r="I24">
        <v>0.66507235805658871</v>
      </c>
    </row>
    <row r="25" spans="1:28">
      <c r="A25" s="24">
        <v>45170</v>
      </c>
      <c r="B25" s="230">
        <f t="shared" si="0"/>
        <v>2996.3357664233581</v>
      </c>
      <c r="C25" s="231">
        <v>30</v>
      </c>
      <c r="D25" s="231">
        <v>0</v>
      </c>
      <c r="E25" s="231">
        <v>1</v>
      </c>
      <c r="H25" t="s">
        <v>171</v>
      </c>
      <c r="I25">
        <v>549.18651186779721</v>
      </c>
    </row>
    <row r="26" spans="1:28" ht="15" thickBot="1">
      <c r="A26" s="24">
        <v>45200</v>
      </c>
      <c r="B26" s="230">
        <f t="shared" si="0"/>
        <v>4003.2189781021898</v>
      </c>
      <c r="C26" s="231">
        <v>40</v>
      </c>
      <c r="D26" s="231">
        <v>1</v>
      </c>
      <c r="E26" s="231">
        <v>0</v>
      </c>
      <c r="H26" s="177" t="s">
        <v>172</v>
      </c>
      <c r="I26" s="177">
        <v>15</v>
      </c>
    </row>
    <row r="27" spans="1:28">
      <c r="A27" s="24">
        <v>45231</v>
      </c>
      <c r="B27" s="230">
        <f t="shared" si="0"/>
        <v>4003.2189781021898</v>
      </c>
      <c r="C27" s="231">
        <v>40</v>
      </c>
      <c r="D27" s="231">
        <v>1</v>
      </c>
      <c r="E27" s="231">
        <v>0</v>
      </c>
    </row>
    <row r="28" spans="1:28" ht="15" thickBot="1">
      <c r="A28" s="24">
        <v>45261</v>
      </c>
      <c r="B28" s="230">
        <f t="shared" si="0"/>
        <v>4352.0656934306571</v>
      </c>
      <c r="C28" s="231">
        <v>45</v>
      </c>
      <c r="D28" s="231">
        <v>1</v>
      </c>
      <c r="E28" s="231">
        <v>0</v>
      </c>
      <c r="H28" t="s">
        <v>173</v>
      </c>
    </row>
    <row r="29" spans="1:28" ht="15.6">
      <c r="A29" s="105"/>
      <c r="H29" s="178"/>
      <c r="I29" s="178" t="s">
        <v>178</v>
      </c>
      <c r="J29" s="178" t="s">
        <v>179</v>
      </c>
      <c r="K29" s="178" t="s">
        <v>180</v>
      </c>
      <c r="L29" s="178" t="s">
        <v>181</v>
      </c>
      <c r="M29" s="178" t="s">
        <v>182</v>
      </c>
    </row>
    <row r="30" spans="1:28" ht="15.6">
      <c r="A30" s="105"/>
      <c r="H30" t="s">
        <v>174</v>
      </c>
      <c r="I30">
        <v>2</v>
      </c>
      <c r="J30">
        <v>8987875.7021897845</v>
      </c>
      <c r="K30">
        <v>4493937.8510948922</v>
      </c>
      <c r="L30">
        <v>14.900036674735569</v>
      </c>
      <c r="M30">
        <v>5.5979009935484966E-4</v>
      </c>
    </row>
    <row r="31" spans="1:28" ht="15.6">
      <c r="A31" s="105" t="s">
        <v>222</v>
      </c>
      <c r="B31" s="230">
        <f>SUM(B17:B28)</f>
        <v>37153.131386861307</v>
      </c>
      <c r="H31" t="s">
        <v>175</v>
      </c>
      <c r="I31">
        <v>12</v>
      </c>
      <c r="J31">
        <v>3619269.8978102179</v>
      </c>
      <c r="K31">
        <v>301605.82481751818</v>
      </c>
    </row>
    <row r="32" spans="1:28" ht="16.2" thickBot="1">
      <c r="A32" s="105"/>
      <c r="H32" s="177" t="s">
        <v>176</v>
      </c>
      <c r="I32" s="177">
        <v>14</v>
      </c>
      <c r="J32" s="177">
        <v>12607145.600000001</v>
      </c>
      <c r="K32" s="177"/>
      <c r="L32" s="177"/>
      <c r="M32" s="177"/>
    </row>
    <row r="33" spans="1:16" ht="16.2" thickBot="1">
      <c r="A33" s="105"/>
    </row>
    <row r="34" spans="1:16" ht="15.6">
      <c r="A34" s="105"/>
      <c r="H34" s="178"/>
      <c r="I34" s="178" t="s">
        <v>183</v>
      </c>
      <c r="J34" s="178" t="s">
        <v>171</v>
      </c>
      <c r="K34" s="178" t="s">
        <v>184</v>
      </c>
      <c r="L34" s="178" t="s">
        <v>185</v>
      </c>
      <c r="M34" s="178" t="s">
        <v>186</v>
      </c>
      <c r="N34" s="178" t="s">
        <v>187</v>
      </c>
      <c r="O34" s="178" t="s">
        <v>188</v>
      </c>
      <c r="P34" s="178" t="s">
        <v>189</v>
      </c>
    </row>
    <row r="35" spans="1:16" ht="15.6">
      <c r="A35" s="105"/>
      <c r="H35" t="s">
        <v>177</v>
      </c>
      <c r="I35">
        <v>903.25547445255484</v>
      </c>
      <c r="J35">
        <v>657.37505687375108</v>
      </c>
      <c r="K35">
        <v>1.374033688999589</v>
      </c>
      <c r="L35">
        <v>0.19455224541050917</v>
      </c>
      <c r="M35">
        <v>-529.04173336719805</v>
      </c>
      <c r="N35">
        <v>2335.5526822723077</v>
      </c>
      <c r="O35">
        <v>-529.04173336719805</v>
      </c>
      <c r="P35">
        <v>2335.5526822723077</v>
      </c>
    </row>
    <row r="36" spans="1:16" ht="15.6">
      <c r="A36" s="105"/>
      <c r="H36" t="s">
        <v>212</v>
      </c>
      <c r="I36">
        <v>69.769343065693434</v>
      </c>
      <c r="J36">
        <v>17.031744256094214</v>
      </c>
      <c r="K36">
        <v>4.096429703066315</v>
      </c>
      <c r="L36">
        <v>1.4817973987759081E-3</v>
      </c>
      <c r="M36">
        <v>32.660360168904234</v>
      </c>
      <c r="N36">
        <v>106.87832596248263</v>
      </c>
      <c r="O36">
        <v>32.660360168904234</v>
      </c>
      <c r="P36">
        <v>106.87832596248263</v>
      </c>
    </row>
    <row r="37" spans="1:16" ht="16.2" thickBot="1">
      <c r="A37" s="105"/>
      <c r="H37" s="177" t="s">
        <v>213</v>
      </c>
      <c r="I37" s="177">
        <v>309.1897810218976</v>
      </c>
      <c r="J37" s="177">
        <v>333.72162042817166</v>
      </c>
      <c r="K37" s="177">
        <v>0.92649011060536257</v>
      </c>
      <c r="L37" s="177">
        <v>0.37245001484419493</v>
      </c>
      <c r="M37" s="177">
        <v>-417.9271671043399</v>
      </c>
      <c r="N37" s="177">
        <v>1036.3067291481352</v>
      </c>
      <c r="O37" s="177">
        <v>-417.9271671043399</v>
      </c>
      <c r="P37" s="177">
        <v>1036.3067291481352</v>
      </c>
    </row>
    <row r="38" spans="1:16" ht="16.2" thickBot="1">
      <c r="A38" s="2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Financial information 1 Pt1</vt:lpstr>
      <vt:lpstr>Pivot Table and Chart Pt1</vt:lpstr>
      <vt:lpstr>SI and regression Pt 2</vt:lpstr>
      <vt:lpstr>Current operations  Pt3 </vt:lpstr>
      <vt:lpstr>Franchise operations  Pt3</vt:lpstr>
      <vt:lpstr>Expected Values Pt4</vt:lpstr>
      <vt:lpstr>Financial information  FT</vt:lpstr>
      <vt:lpstr>Food Truck Demand</vt:lpstr>
      <vt:lpstr>Food Truck  Pt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Kurt Schmitz</dc:creator>
  <cp:keywords/>
  <dc:description/>
  <cp:lastModifiedBy>Miguel Plumacher</cp:lastModifiedBy>
  <dcterms:created xsi:type="dcterms:W3CDTF">2017-10-26T20:43:12Z</dcterms:created>
  <dcterms:modified xsi:type="dcterms:W3CDTF">2024-04-24T18:10:23Z</dcterms:modified>
  <cp:category/>
</cp:coreProperties>
</file>