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1/17/19 earl richardson evicted</t>
        </r>
      </text>
    </comment>
    <comment ref="B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back rent $3,350</t>
        </r>
      </text>
    </comment>
    <comment ref="B1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$13,050 due by 10/15/20</t>
        </r>
      </text>
    </comment>
    <comment ref="C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AHS monthly as of 3/27/20</t>
        </r>
      </text>
    </comment>
    <comment ref="C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as of 3/27/20</t>
        </r>
      </text>
    </comment>
    <comment ref="K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increaesed from $1,830 to $1.900 sept 1 and extended to 7/31/21</t>
        </r>
      </text>
    </comment>
    <comment ref="K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to $1,795 9/1/20. $1,735 in Sept 2019. originally $1,650
</t>
        </r>
      </text>
    </comment>
    <comment ref="K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from $1,450 Nov 1, 2019
increased from $1,500 to $1,550 11/1/20</t>
        </r>
      </text>
    </comment>
    <comment ref="K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$2,494 in Clearnow for Feb and March. excess going towards option pmt.</t>
        </r>
      </text>
    </comment>
    <comment ref="K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rent $1,225</t>
        </r>
      </text>
    </comment>
    <comment ref="K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$2,275 to $2,350 8/1/20</t>
        </r>
      </text>
    </comment>
    <comment ref="K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$2k to $2,050 effective 9/1/20</t>
        </r>
      </text>
    </comment>
    <comment ref="K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reduced from $2,300 to $1,850 effective 9/1. no 10% rent bonus on buy.</t>
        </r>
      </text>
    </comment>
    <comment ref="K1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due to preparyment, clearnow is $1,300/month</t>
        </r>
      </text>
    </comment>
    <comment ref="K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$1,860 + $200/mo option</t>
        </r>
      </text>
    </comment>
    <comment ref="K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$3,840 rent prepaid so net is $1,900/month</t>
        </r>
      </text>
    </comment>
    <comment ref="K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$1,700 in Clearnow due to $1,800 prepayment</t>
        </r>
      </text>
    </comment>
    <comment ref="T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$4k credit towards repairs reduced price from $135k to $131k
</t>
        </r>
      </text>
    </comment>
    <comment ref="T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$5k reduction to go to repairs</t>
        </r>
      </text>
    </comment>
    <comment ref="U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credit towards repairs</t>
        </r>
      </text>
    </comment>
    <comment ref="U1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to be used towards repairs</t>
        </r>
      </text>
    </comment>
    <comment ref="U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U1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$4,500 of this is for repairs</t>
        </r>
      </text>
    </comment>
    <comment ref="U1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$400 for repairs
</t>
        </r>
      </text>
    </comment>
    <comment ref="U1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repair water system</t>
        </r>
      </text>
    </comment>
    <comment ref="U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$2,500 allocated for repairs / 
-$427.19 for water heater</t>
        </r>
      </text>
    </comment>
    <comment ref="U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V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towards new kitchen counters Oct 2020</t>
        </r>
      </text>
    </comment>
    <comment ref="AH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$168,847</t>
        </r>
      </text>
    </comment>
    <comment ref="AJ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$175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,219</t>
        </r>
      </text>
    </comment>
    <comment ref="AN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$5,500 paid in Oct 2018.  Then a series of payments Jan 2019
</t>
        </r>
      </text>
    </comment>
    <comment ref="AO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$4,830 upfront + $200/month</t>
        </r>
      </text>
    </comment>
    <comment ref="AX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didn't include Dream as additional insured</t>
        </r>
      </text>
    </comment>
  </commentList>
</comments>
</file>

<file path=xl/sharedStrings.xml><?xml version="1.0" encoding="utf-8"?>
<sst xmlns="http://schemas.openxmlformats.org/spreadsheetml/2006/main" count="515" uniqueCount="303">
  <si>
    <t xml:space="preserve">SAVE?</t>
  </si>
  <si>
    <t xml:space="preserve">HOUSE ADDRESS</t>
  </si>
  <si>
    <t xml:space="preserve">CITY</t>
  </si>
  <si>
    <t xml:space="preserve">COUNTY</t>
  </si>
  <si>
    <t xml:space="preserve">STATE</t>
  </si>
  <si>
    <t xml:space="preserve">ZIP</t>
  </si>
  <si>
    <t xml:space="preserve">TENANT1</t>
  </si>
  <si>
    <t xml:space="preserve">TENANT2</t>
  </si>
  <si>
    <t xml:space="preserve">TENANT3</t>
  </si>
  <si>
    <t xml:space="preserve">TENANT4</t>
  </si>
  <si>
    <t xml:space="preserve">GROSS RENT</t>
  </si>
  <si>
    <t xml:space="preserve">ANNUAL TAX</t>
  </si>
  <si>
    <t xml:space="preserve">TAX </t>
  </si>
  <si>
    <t xml:space="preserve">INSURANCE</t>
  </si>
  <si>
    <t xml:space="preserve">HOA</t>
  </si>
  <si>
    <t xml:space="preserve">RENT</t>
  </si>
  <si>
    <t xml:space="preserve">FEES*</t>
  </si>
  <si>
    <t xml:space="preserve">NET MONTHLY RENT</t>
  </si>
  <si>
    <t xml:space="preserve">YIELD</t>
  </si>
  <si>
    <t xml:space="preserve">PURCHASE PRICE</t>
  </si>
  <si>
    <t xml:space="preserve">CLOSING CREDIT GENERAL</t>
  </si>
  <si>
    <t xml:space="preserve">REPAIR CREDIT</t>
  </si>
  <si>
    <t xml:space="preserve">CLOSING COST</t>
  </si>
  <si>
    <t xml:space="preserve">BUILDER</t>
  </si>
  <si>
    <t xml:space="preserve">PURCHASE DATE</t>
  </si>
  <si>
    <t xml:space="preserve">DAYS HELD</t>
  </si>
  <si>
    <t xml:space="preserve">Appraisal</t>
  </si>
  <si>
    <t xml:space="preserve">Appraisal cost</t>
  </si>
  <si>
    <t xml:space="preserve">Appraisal Date</t>
  </si>
  <si>
    <t xml:space="preserve">Inspection date</t>
  </si>
  <si>
    <t xml:space="preserve">Lease Expiration Date</t>
  </si>
  <si>
    <t xml:space="preserve">PAYMENT OPTION 3 MONTH</t>
  </si>
  <si>
    <t xml:space="preserve">3 MO DATE</t>
  </si>
  <si>
    <t xml:space="preserve">PAYMENT OPTION 6 MONTH</t>
  </si>
  <si>
    <t xml:space="preserve">6 MONTH DATE</t>
  </si>
  <si>
    <t xml:space="preserve">PAYMENT OPTION 12 MONTH</t>
  </si>
  <si>
    <t xml:space="preserve">Expiration</t>
  </si>
  <si>
    <t xml:space="preserve">WELCOME PAYMENT DATE</t>
  </si>
  <si>
    <t xml:space="preserve">ONBOARDING FEE</t>
  </si>
  <si>
    <t xml:space="preserve">ONBOARD DATE</t>
  </si>
  <si>
    <t xml:space="preserve">TOTAL OPTION</t>
  </si>
  <si>
    <t xml:space="preserve">FIXED VS OPTION</t>
  </si>
  <si>
    <t xml:space="preserve">FHA/VA</t>
  </si>
  <si>
    <t xml:space="preserve">OPTION PAYMENT 1</t>
  </si>
  <si>
    <t xml:space="preserve">OPTION PAYMENT 1 DATE</t>
  </si>
  <si>
    <t xml:space="preserve">OPTION PAYMENT 2</t>
  </si>
  <si>
    <t xml:space="preserve">OPTION PAYMENT 2 DATE</t>
  </si>
  <si>
    <t xml:space="preserve">Pet fee</t>
  </si>
  <si>
    <t xml:space="preserve">Home Warranty</t>
  </si>
  <si>
    <t xml:space="preserve">Proof of renters insurance</t>
  </si>
  <si>
    <t xml:space="preserve">Agent</t>
  </si>
  <si>
    <t xml:space="preserve">Lender</t>
  </si>
  <si>
    <t xml:space="preserve">Credit Repair</t>
  </si>
  <si>
    <t xml:space="preserve">Exit Date</t>
  </si>
  <si>
    <t xml:space="preserve">notes</t>
  </si>
  <si>
    <t xml:space="preserve">3234 Watson Meadow Lane</t>
  </si>
  <si>
    <t xml:space="preserve">Loganville</t>
  </si>
  <si>
    <t xml:space="preserve">GA</t>
  </si>
  <si>
    <t xml:space="preserve">Deshuan Aaron</t>
  </si>
  <si>
    <t xml:space="preserve">Clairassa Aaron</t>
  </si>
  <si>
    <t xml:space="preserve">FHA</t>
  </si>
  <si>
    <t xml:space="preserve">AHS Complete</t>
  </si>
  <si>
    <t xml:space="preserve">YES</t>
  </si>
  <si>
    <t xml:space="preserve">Dauman Dowdy</t>
  </si>
  <si>
    <t xml:space="preserve">Baker 6/10/19</t>
  </si>
  <si>
    <t xml:space="preserve">BK seasons 11/2019. holding rent flat -&gt; sign-up for ACR</t>
  </si>
  <si>
    <t xml:space="preserve">327 Stonewood</t>
  </si>
  <si>
    <t xml:space="preserve">Griffin</t>
  </si>
  <si>
    <t xml:space="preserve">Spalding</t>
  </si>
  <si>
    <t xml:space="preserve">Calvin Sanford</t>
  </si>
  <si>
    <t xml:space="preserve">Dianne Fillmore</t>
  </si>
  <si>
    <t xml:space="preserve">NA</t>
  </si>
  <si>
    <t xml:space="preserve">VA</t>
  </si>
  <si>
    <t xml:space="preserve">disabled vet + girlfriend at bojangles (her credit below 500)</t>
  </si>
  <si>
    <t xml:space="preserve">3330 Tiara Circle SW</t>
  </si>
  <si>
    <t xml:space="preserve">Atlanta</t>
  </si>
  <si>
    <t xml:space="preserve">Bryan Terry</t>
  </si>
  <si>
    <t xml:space="preserve">Leadman James</t>
  </si>
  <si>
    <t xml:space="preserve">$188k 15 months / $190k 18 months</t>
  </si>
  <si>
    <t xml:space="preserve">Tamika Stinson</t>
  </si>
  <si>
    <t xml:space="preserve">BK seasons 11/2019; 18 month lease and option; rent increases to $1,735/month in Sept 2019</t>
  </si>
  <si>
    <t xml:space="preserve">5409 Turkey Creek Ct</t>
  </si>
  <si>
    <t xml:space="preserve">Jacksonville</t>
  </si>
  <si>
    <t xml:space="preserve">Duval</t>
  </si>
  <si>
    <t xml:space="preserve">FL</t>
  </si>
  <si>
    <t xml:space="preserve">Frank Brown</t>
  </si>
  <si>
    <t xml:space="preserve">Assurant</t>
  </si>
  <si>
    <t xml:space="preserve">James Daniels</t>
  </si>
  <si>
    <t xml:space="preserve">June/July 2019</t>
  </si>
  <si>
    <t xml:space="preserve">As of Apr 2019, making 1st tax payment (needs 3)</t>
  </si>
  <si>
    <t xml:space="preserve">180 Glen Echo Drive (USDA)</t>
  </si>
  <si>
    <t xml:space="preserve">Covington </t>
  </si>
  <si>
    <t xml:space="preserve">Newton</t>
  </si>
  <si>
    <t xml:space="preserve">Chandra Hooks</t>
  </si>
  <si>
    <t xml:space="preserve">Alvin Dix</t>
  </si>
  <si>
    <t xml:space="preserve">yes</t>
  </si>
  <si>
    <t xml:space="preserve">USDA</t>
  </si>
  <si>
    <t xml:space="preserve">AHS Complete exp 1/13/20</t>
  </si>
  <si>
    <t xml:space="preserve">Geico</t>
  </si>
  <si>
    <t xml:space="preserve">Toya Batiste</t>
  </si>
  <si>
    <t xml:space="preserve">124 Cathy Lane</t>
  </si>
  <si>
    <t xml:space="preserve">Hiram</t>
  </si>
  <si>
    <t xml:space="preserve">Adrian McDonald</t>
  </si>
  <si>
    <t xml:space="preserve">Mia Ballard</t>
  </si>
  <si>
    <t xml:space="preserve">Jeff Curtis</t>
  </si>
  <si>
    <t xml:space="preserve">James Baker</t>
  </si>
  <si>
    <t xml:space="preserve">disabled vet</t>
  </si>
  <si>
    <t xml:space="preserve">1055 Carriage Place</t>
  </si>
  <si>
    <t xml:space="preserve">Lithonia</t>
  </si>
  <si>
    <t xml:space="preserve">Dekalb</t>
  </si>
  <si>
    <t xml:space="preserve">Monique Hooks</t>
  </si>
  <si>
    <t xml:space="preserve">Lemonade</t>
  </si>
  <si>
    <t xml:space="preserve">Roxane Brogden</t>
  </si>
  <si>
    <t xml:space="preserve">2738 Lake Capri Drive</t>
  </si>
  <si>
    <t xml:space="preserve">Conyers</t>
  </si>
  <si>
    <t xml:space="preserve">Claudette Medders</t>
  </si>
  <si>
    <t xml:space="preserve">closing credit</t>
  </si>
  <si>
    <t xml:space="preserve">Homesite Insurance</t>
  </si>
  <si>
    <t xml:space="preserve">none</t>
  </si>
  <si>
    <t xml:space="preserve">internal</t>
  </si>
  <si>
    <t xml:space="preserve">ACR</t>
  </si>
  <si>
    <t xml:space="preserve">had legacy lease option with seller</t>
  </si>
  <si>
    <t xml:space="preserve">6607 Sky Leaf Lane</t>
  </si>
  <si>
    <t xml:space="preserve">Fairburn</t>
  </si>
  <si>
    <t xml:space="preserve">Fulton</t>
  </si>
  <si>
    <t xml:space="preserve">Frank Tardy</t>
  </si>
  <si>
    <t xml:space="preserve">Rockhaven Homes</t>
  </si>
  <si>
    <t xml:space="preserve">$100/month</t>
  </si>
  <si>
    <t xml:space="preserve">starts March 2020</t>
  </si>
  <si>
    <t xml:space="preserve">2-10 from builder</t>
  </si>
  <si>
    <t xml:space="preserve">State Farm</t>
  </si>
  <si>
    <t xml:space="preserve">Jasleen Allyse</t>
  </si>
  <si>
    <t xml:space="preserve">been working on his credit himself past year</t>
  </si>
  <si>
    <t xml:space="preserve">4887 Frost Lake Drive</t>
  </si>
  <si>
    <t xml:space="preserve">May Gibson</t>
  </si>
  <si>
    <t xml:space="preserve">paid</t>
  </si>
  <si>
    <t xml:space="preserve">prepaid rent</t>
  </si>
  <si>
    <t xml:space="preserve">waived</t>
  </si>
  <si>
    <t xml:space="preserve">Karen Crede</t>
  </si>
  <si>
    <t xml:space="preserve">90 Fitzgerald Place</t>
  </si>
  <si>
    <t xml:space="preserve">Pamela Marie Jenkins</t>
  </si>
  <si>
    <t xml:space="preserve">Tyronda Starks</t>
  </si>
  <si>
    <t xml:space="preserve">Nakia Roberson</t>
  </si>
  <si>
    <t xml:space="preserve">2300 Benson Ridge</t>
  </si>
  <si>
    <t xml:space="preserve">Earsey Greenwood</t>
  </si>
  <si>
    <t xml:space="preserve">13,750 due by 10/15/20</t>
  </si>
  <si>
    <t xml:space="preserve">Toggle/Farmers</t>
  </si>
  <si>
    <t xml:space="preserve">Ken Lee</t>
  </si>
  <si>
    <t xml:space="preserve">4740 Brandon Acres Lane</t>
  </si>
  <si>
    <t xml:space="preserve">Buford</t>
  </si>
  <si>
    <t xml:space="preserve">Gwinnett</t>
  </si>
  <si>
    <t xml:space="preserve">Courtney Tiger</t>
  </si>
  <si>
    <t xml:space="preserve">Chris Tiger</t>
  </si>
  <si>
    <t xml:space="preserve">Pierson Tiger</t>
  </si>
  <si>
    <t xml:space="preserve">4/16/20 venmo</t>
  </si>
  <si>
    <t xml:space="preserve">Jeff Hawkins</t>
  </si>
  <si>
    <t xml:space="preserve">190 Stone Ridge</t>
  </si>
  <si>
    <t xml:space="preserve">Covington</t>
  </si>
  <si>
    <t xml:space="preserve">Michele Evans</t>
  </si>
  <si>
    <t xml:space="preserve">Marquel Evans</t>
  </si>
  <si>
    <t xml:space="preserve">5/7/20 cash app</t>
  </si>
  <si>
    <t xml:space="preserve">1639 Links Overlook</t>
  </si>
  <si>
    <t xml:space="preserve">Stone Mountain</t>
  </si>
  <si>
    <t xml:space="preserve">Terrance Williams</t>
  </si>
  <si>
    <t xml:space="preserve">Kimberely Williams</t>
  </si>
  <si>
    <t xml:space="preserve">5/4/2020 cash app</t>
  </si>
  <si>
    <t xml:space="preserve">Valencia Hodge</t>
  </si>
  <si>
    <t xml:space="preserve">601 Jeans Circle</t>
  </si>
  <si>
    <t xml:space="preserve">Stockbridge</t>
  </si>
  <si>
    <t xml:space="preserve">Henry</t>
  </si>
  <si>
    <t xml:space="preserve">Sonja Cox</t>
  </si>
  <si>
    <t xml:space="preserve">Rommecia</t>
  </si>
  <si>
    <t xml:space="preserve">560 New Morn Dr</t>
  </si>
  <si>
    <t xml:space="preserve">McDonough</t>
  </si>
  <si>
    <t xml:space="preserve">Andre Johnson</t>
  </si>
  <si>
    <t xml:space="preserve">Debra Johnson</t>
  </si>
  <si>
    <t xml:space="preserve">3035 Emporia Ter</t>
  </si>
  <si>
    <t xml:space="preserve">North Port</t>
  </si>
  <si>
    <t xml:space="preserve">Sarasota</t>
  </si>
  <si>
    <t xml:space="preserve">Steve Fairbanks</t>
  </si>
  <si>
    <t xml:space="preserve">Jill Williamson</t>
  </si>
  <si>
    <t xml:space="preserve">Garret Sedlacek</t>
  </si>
  <si>
    <t xml:space="preserve">3515 Silverton Reach</t>
  </si>
  <si>
    <t xml:space="preserve">Union City</t>
  </si>
  <si>
    <t xml:space="preserve">Demeturius Griffin</t>
  </si>
  <si>
    <t xml:space="preserve">Aundria Griffin</t>
  </si>
  <si>
    <t xml:space="preserve">Christle Wright</t>
  </si>
  <si>
    <t xml:space="preserve">SAVE</t>
  </si>
  <si>
    <t xml:space="preserve">1265 Upchurch Road</t>
  </si>
  <si>
    <t xml:space="preserve">Antoine Barnes</t>
  </si>
  <si>
    <t xml:space="preserve">Latrice Barnes</t>
  </si>
  <si>
    <t xml:space="preserve">USAA</t>
  </si>
  <si>
    <t xml:space="preserve">Jason Taylor</t>
  </si>
  <si>
    <t xml:space="preserve">Jarek Maddox</t>
  </si>
  <si>
    <t xml:space="preserve">needs to sell current house to get back VA benefit</t>
  </si>
  <si>
    <t xml:space="preserve">1625 Tigris Ct</t>
  </si>
  <si>
    <t xml:space="preserve">Clayton</t>
  </si>
  <si>
    <t xml:space="preserve">Althea Hossack</t>
  </si>
  <si>
    <t xml:space="preserve">Alecia Francis</t>
  </si>
  <si>
    <t xml:space="preserve">Farmers</t>
  </si>
  <si>
    <t xml:space="preserve">Trena Washington</t>
  </si>
  <si>
    <t xml:space="preserve">needs until Sept to count ambulance income</t>
  </si>
  <si>
    <t xml:space="preserve">4061 Jesse A Dent Rd Jr</t>
  </si>
  <si>
    <t xml:space="preserve">College Park</t>
  </si>
  <si>
    <t xml:space="preserve">Marquita Butler</t>
  </si>
  <si>
    <t xml:space="preserve">AHS Complete (D)</t>
  </si>
  <si>
    <t xml:space="preserve">Progressive</t>
  </si>
  <si>
    <t xml:space="preserve">Raul Ramos</t>
  </si>
  <si>
    <t xml:space="preserve">3442 Saddle Creek Ln</t>
  </si>
  <si>
    <t xml:space="preserve">Ellenwood</t>
  </si>
  <si>
    <t xml:space="preserve">Ashley Giddens</t>
  </si>
  <si>
    <t xml:space="preserve">$200/month</t>
  </si>
  <si>
    <t xml:space="preserve">American Family Insurance</t>
  </si>
  <si>
    <t xml:space="preserve">Ronnie Roquemore</t>
  </si>
  <si>
    <t xml:space="preserve">1304 Eddie Craig</t>
  </si>
  <si>
    <t xml:space="preserve">McDonough </t>
  </si>
  <si>
    <t xml:space="preserve">Rontaye Johnson</t>
  </si>
  <si>
    <t xml:space="preserve">Kinyatta Johnson</t>
  </si>
  <si>
    <t xml:space="preserve">Praylo Ivory</t>
  </si>
  <si>
    <t xml:space="preserve">11238 Stanley Steamer Ln</t>
  </si>
  <si>
    <t xml:space="preserve">John Clark</t>
  </si>
  <si>
    <t xml:space="preserve">Carla Clark</t>
  </si>
  <si>
    <t xml:space="preserve">Security First</t>
  </si>
  <si>
    <t xml:space="preserve">Mark Fagan</t>
  </si>
  <si>
    <t xml:space="preserve">498 Jackson Lake Rd</t>
  </si>
  <si>
    <t xml:space="preserve">Perryn Wright</t>
  </si>
  <si>
    <t xml:space="preserve">Dave Kuhn</t>
  </si>
  <si>
    <t xml:space="preserve">3020 Hallmark Lane</t>
  </si>
  <si>
    <t xml:space="preserve">Gwinett</t>
  </si>
  <si>
    <t xml:space="preserve">Ashley Francis</t>
  </si>
  <si>
    <t xml:space="preserve">Michelle Francis</t>
  </si>
  <si>
    <t xml:space="preserve">2-10 Home Warranty</t>
  </si>
  <si>
    <t xml:space="preserve">Daphne Howell</t>
  </si>
  <si>
    <t xml:space="preserve">580 Blairmore Blvd W</t>
  </si>
  <si>
    <t xml:space="preserve">Orange Park</t>
  </si>
  <si>
    <t xml:space="preserve">Salle and David Van Allen</t>
  </si>
  <si>
    <t xml:space="preserve">AHS Shield Plus</t>
  </si>
  <si>
    <t xml:space="preserve">Thomas Biagoli</t>
  </si>
  <si>
    <t xml:space="preserve">2024 Greyfield Dr NW</t>
  </si>
  <si>
    <t xml:space="preserve">Kennesaw</t>
  </si>
  <si>
    <t xml:space="preserve">Cobb</t>
  </si>
  <si>
    <t xml:space="preserve">Chris Barnes</t>
  </si>
  <si>
    <t xml:space="preserve">Ana Barnes</t>
  </si>
  <si>
    <t xml:space="preserve">AHS Shield Complete</t>
  </si>
  <si>
    <t xml:space="preserve">Farmers Insurance</t>
  </si>
  <si>
    <t xml:space="preserve">Campbell Haigh</t>
  </si>
  <si>
    <t xml:space="preserve">2159 Red Oak Circle </t>
  </si>
  <si>
    <t xml:space="preserve">Mercedes Allen</t>
  </si>
  <si>
    <t xml:space="preserve">Builder warranty</t>
  </si>
  <si>
    <t xml:space="preserve">Mae Allen</t>
  </si>
  <si>
    <t xml:space="preserve">6426 Saint Mark Way</t>
  </si>
  <si>
    <t xml:space="preserve">Sarni Johnson</t>
  </si>
  <si>
    <t xml:space="preserve">cash app 10/22/20</t>
  </si>
  <si>
    <t xml:space="preserve">3832 Rose Bay Ln</t>
  </si>
  <si>
    <t xml:space="preserve">Angela Lyons</t>
  </si>
  <si>
    <t xml:space="preserve">GEICO</t>
  </si>
  <si>
    <t xml:space="preserve">507 Trinity Trail/ no 10% rent credit</t>
  </si>
  <si>
    <t xml:space="preserve">Miecha Jones</t>
  </si>
  <si>
    <t xml:space="preserve">Miracle Rascoe</t>
  </si>
  <si>
    <t xml:space="preserve">zelle 11/16/20</t>
  </si>
  <si>
    <t xml:space="preserve">503 Streamside Pl</t>
  </si>
  <si>
    <t xml:space="preserve">Canton</t>
  </si>
  <si>
    <t xml:space="preserve">Cherokee</t>
  </si>
  <si>
    <t xml:space="preserve">Jennier Foster</t>
  </si>
  <si>
    <t xml:space="preserve">zelle 11/20/20</t>
  </si>
  <si>
    <t xml:space="preserve">Heather Fowler</t>
  </si>
  <si>
    <t xml:space="preserve">4904 Bolero Ct</t>
  </si>
  <si>
    <t xml:space="preserve">Ft Worth</t>
  </si>
  <si>
    <t xml:space="preserve">Tarrant</t>
  </si>
  <si>
    <t xml:space="preserve">TX</t>
  </si>
  <si>
    <t xml:space="preserve">Tiffany Thomas</t>
  </si>
  <si>
    <t xml:space="preserve">cash app 11/14/20</t>
  </si>
  <si>
    <t xml:space="preserve">Welton Douglas</t>
  </si>
  <si>
    <t xml:space="preserve">1190 Paramount Dr</t>
  </si>
  <si>
    <t xml:space="preserve">Cheely Bonham</t>
  </si>
  <si>
    <t xml:space="preserve">zelle 10/23/20</t>
  </si>
  <si>
    <t xml:space="preserve">Articia Marron</t>
  </si>
  <si>
    <t xml:space="preserve">2046 Park Crescent Dr</t>
  </si>
  <si>
    <t xml:space="preserve">Land O Lakes</t>
  </si>
  <si>
    <t xml:space="preserve">Pasco</t>
  </si>
  <si>
    <t xml:space="preserve">Adekunle Oshin</t>
  </si>
  <si>
    <t xml:space="preserve">zelle  11/2/20</t>
  </si>
  <si>
    <t xml:space="preserve">3250 Hammock Cove Ct</t>
  </si>
  <si>
    <t xml:space="preserve">Middleburg</t>
  </si>
  <si>
    <t xml:space="preserve">Clay</t>
  </si>
  <si>
    <t xml:space="preserve">Jesse Brinson</t>
  </si>
  <si>
    <t xml:space="preserve">Keshia Brinson</t>
  </si>
  <si>
    <t xml:space="preserve">purchased from landlord pursuant to existing option</t>
  </si>
  <si>
    <t xml:space="preserve">1840 S Broadway</t>
  </si>
  <si>
    <t xml:space="preserve">Bartow</t>
  </si>
  <si>
    <t xml:space="preserve">Polk</t>
  </si>
  <si>
    <t xml:space="preserve">Gustavo Araque</t>
  </si>
  <si>
    <t xml:space="preserve">cash app 12/9/20</t>
  </si>
  <si>
    <t xml:space="preserve">Dave Overholser</t>
  </si>
  <si>
    <t xml:space="preserve">255 Kensington Trace</t>
  </si>
  <si>
    <t xml:space="preserve">Donald Cross</t>
  </si>
  <si>
    <t xml:space="preserve">Pamela Cross</t>
  </si>
  <si>
    <t xml:space="preserve">Travelers</t>
  </si>
  <si>
    <t xml:space="preserve">Latefa Mosley</t>
  </si>
  <si>
    <t xml:space="preserve">3310 Summer Brooke Lane</t>
  </si>
  <si>
    <t xml:space="preserve">Isis Washington</t>
  </si>
  <si>
    <t xml:space="preserve">Shamika Jaudon</t>
  </si>
  <si>
    <t xml:space="preserve">cash app 1/20/21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</si>
</sst>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.0%"/>
    <numFmt numFmtId="168" formatCode="M/D/YYYY"/>
    <numFmt numFmtId="169" formatCode="_(* #,##0.00_);_(* \(#,##0.00\);_(* \-??_);_(@_)"/>
    <numFmt numFmtId="170" formatCode="_(* #,##0_);_(* \(#,##0\);_(* \-??_);_(@_)"/>
    <numFmt numFmtId="171" formatCode="\$#,##0_);[RED]&quot;($&quot;#,##0\)"/>
    <numFmt numFmtId="172" formatCode="MMM\-YY"/>
    <numFmt numFmtId="173" formatCode="0%"/>
    <numFmt numFmtId="174" formatCode="D\-MM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rmplus.zoho.com/crm/org667968894/EntityInfo.do?id=3212778000031838165&amp;module=Potentials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42"/>
  <sheetViews>
    <sheetView showFormulas="false" showGridLines="true" showRowColHeaders="true" showZeros="true" rightToLeft="false" tabSelected="true" showOutlineSymbols="true" defaultGridColor="true" view="normal" topLeftCell="AI1" colorId="64" zoomScale="125" zoomScaleNormal="125" zoomScalePageLayoutView="100" workbookViewId="0">
      <selection pane="topLeft" activeCell="AL2" activeCellId="0" sqref="AL2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8.5"/>
    <col collapsed="false" customWidth="true" hidden="false" outlineLevel="0" max="6" min="3" style="0" width="10.49"/>
    <col collapsed="false" customWidth="true" hidden="false" outlineLevel="0" max="7" min="7" style="0" width="22.5"/>
    <col collapsed="false" customWidth="true" hidden="false" outlineLevel="0" max="8" min="8" style="0" width="18.66"/>
    <col collapsed="false" customWidth="true" hidden="false" outlineLevel="0" max="10" min="9" style="0" width="10.49"/>
    <col collapsed="false" customWidth="true" hidden="false" outlineLevel="0" max="11" min="11" style="0" width="14.33"/>
    <col collapsed="false" customWidth="true" hidden="false" outlineLevel="0" max="12" min="12" style="0" width="13.33"/>
    <col collapsed="false" customWidth="true" hidden="false" outlineLevel="0" max="21" min="13" style="0" width="10.49"/>
    <col collapsed="false" customWidth="true" hidden="false" outlineLevel="0" max="22" min="22" style="0" width="18.07"/>
    <col collapsed="false" customWidth="true" hidden="false" outlineLevel="0" max="23" min="23" style="0" width="17.34"/>
    <col collapsed="false" customWidth="true" hidden="false" outlineLevel="0" max="28" min="24" style="0" width="10.49"/>
    <col collapsed="false" customWidth="true" hidden="false" outlineLevel="0" max="29" min="29" style="0" width="13.31"/>
    <col collapsed="false" customWidth="true" hidden="false" outlineLevel="0" max="30" min="30" style="0" width="16.5"/>
    <col collapsed="false" customWidth="true" hidden="false" outlineLevel="0" max="31" min="31" style="0" width="21.66"/>
    <col collapsed="false" customWidth="true" hidden="false" outlineLevel="0" max="34" min="32" style="0" width="10.49"/>
    <col collapsed="false" customWidth="true" hidden="false" outlineLevel="0" max="35" min="35" style="0" width="13.15"/>
    <col collapsed="false" customWidth="true" hidden="false" outlineLevel="0" max="36" min="36" style="0" width="18.88"/>
    <col collapsed="false" customWidth="true" hidden="false" outlineLevel="0" max="37" min="37" style="0" width="13.63"/>
    <col collapsed="false" customWidth="true" hidden="false" outlineLevel="0" max="38" min="38" style="0" width="13.96"/>
    <col collapsed="false" customWidth="true" hidden="false" outlineLevel="0" max="39" min="39" style="0" width="10.49"/>
    <col collapsed="false" customWidth="true" hidden="false" outlineLevel="0" max="40" min="40" style="0" width="15.09"/>
    <col collapsed="false" customWidth="true" hidden="false" outlineLevel="0" max="41" min="41" style="0" width="17.03"/>
    <col collapsed="false" customWidth="true" hidden="false" outlineLevel="0" max="42" min="42" style="0" width="17.42"/>
    <col collapsed="false" customWidth="true" hidden="false" outlineLevel="0" max="43" min="43" style="0" width="10.49"/>
    <col collapsed="false" customWidth="true" hidden="false" outlineLevel="0" max="44" min="44" style="0" width="22.59"/>
    <col collapsed="false" customWidth="true" hidden="false" outlineLevel="0" max="45" min="45" style="0" width="22.67"/>
    <col collapsed="false" customWidth="true" hidden="false" outlineLevel="0" max="46" min="46" style="0" width="23"/>
    <col collapsed="false" customWidth="true" hidden="false" outlineLevel="0" max="47" min="47" style="0" width="26.83"/>
    <col collapsed="false" customWidth="true" hidden="false" outlineLevel="0" max="48" min="48" style="1" width="10.83"/>
    <col collapsed="false" customWidth="true" hidden="false" outlineLevel="0" max="49" min="49" style="0" width="13.31"/>
    <col collapsed="false" customWidth="true" hidden="false" outlineLevel="0" max="50" min="50" style="0" width="22.01"/>
    <col collapsed="false" customWidth="true" hidden="false" outlineLevel="0" max="1025" min="51" style="0" width="10.4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="4" customFormat="true" ht="16" hidden="false" customHeight="false" outlineLevel="0" collapsed="false">
      <c r="A2" s="3"/>
      <c r="B2" s="4" t="s">
        <v>55</v>
      </c>
      <c r="C2" s="5" t="s">
        <v>56</v>
      </c>
      <c r="D2" s="5"/>
      <c r="E2" s="3" t="s">
        <v>57</v>
      </c>
      <c r="F2" s="3" t="n">
        <v>30052</v>
      </c>
      <c r="G2" s="5" t="s">
        <v>58</v>
      </c>
      <c r="H2" s="5" t="s">
        <v>59</v>
      </c>
      <c r="I2" s="6"/>
      <c r="J2" s="6"/>
      <c r="K2" s="7" t="n">
        <v>1900</v>
      </c>
      <c r="L2" s="8" t="n">
        <f aca="false">2800</f>
        <v>2800</v>
      </c>
      <c r="M2" s="8" t="n">
        <f aca="false">L2/12</f>
        <v>233.333333333333</v>
      </c>
      <c r="N2" s="8" t="n">
        <v>100</v>
      </c>
      <c r="O2" s="8" t="n">
        <v>23</v>
      </c>
      <c r="P2" s="8" t="n">
        <f aca="false">K2-M2-N2-O2</f>
        <v>1543.66666666667</v>
      </c>
      <c r="Q2" s="8" t="n">
        <f aca="false">((-1%*T2)/12)</f>
        <v>-165</v>
      </c>
      <c r="R2" s="8" t="n">
        <f aca="false">P2+Q2</f>
        <v>1378.66666666667</v>
      </c>
      <c r="S2" s="9" t="n">
        <f aca="false">R2*12/T2</f>
        <v>0.0835555555555555</v>
      </c>
      <c r="T2" s="10" t="n">
        <v>198000</v>
      </c>
      <c r="U2" s="10"/>
      <c r="V2" s="10"/>
      <c r="W2" s="10"/>
      <c r="X2" s="10"/>
      <c r="Y2" s="11" t="n">
        <v>43299</v>
      </c>
      <c r="Z2" s="12" t="n">
        <f aca="true">NOW()-Y2</f>
        <v>961.739614897706</v>
      </c>
      <c r="AA2" s="13" t="n">
        <v>202000</v>
      </c>
      <c r="AB2" s="14" t="n">
        <v>350</v>
      </c>
      <c r="AC2" s="11" t="n">
        <v>43264</v>
      </c>
      <c r="AD2" s="11" t="n">
        <v>43266</v>
      </c>
      <c r="AE2" s="15" t="n">
        <v>44408</v>
      </c>
      <c r="AF2" s="16"/>
      <c r="AG2" s="17"/>
      <c r="AH2" s="14" t="n">
        <v>212500</v>
      </c>
      <c r="AI2" s="18" t="n">
        <v>43484</v>
      </c>
      <c r="AJ2" s="14" t="n">
        <v>220500</v>
      </c>
      <c r="AK2" s="18" t="n">
        <v>43665</v>
      </c>
      <c r="AL2" s="18" t="n">
        <v>43266</v>
      </c>
      <c r="AM2" s="14" t="n">
        <v>1980</v>
      </c>
      <c r="AN2" s="11" t="n">
        <v>43263</v>
      </c>
      <c r="AO2" s="14" t="n">
        <v>11025</v>
      </c>
      <c r="AP2" s="14" t="n">
        <v>356</v>
      </c>
      <c r="AQ2" s="19" t="s">
        <v>60</v>
      </c>
      <c r="AR2" s="10" t="n">
        <v>11025</v>
      </c>
      <c r="AS2" s="11" t="n">
        <v>43266</v>
      </c>
      <c r="AV2" s="3" t="n">
        <v>0</v>
      </c>
      <c r="AW2" s="3" t="s">
        <v>61</v>
      </c>
      <c r="AX2" s="3" t="s">
        <v>62</v>
      </c>
      <c r="AY2" s="4" t="s">
        <v>63</v>
      </c>
      <c r="BA2" s="4" t="s">
        <v>64</v>
      </c>
      <c r="BB2" s="20" t="n">
        <v>43770</v>
      </c>
      <c r="BC2" s="4" t="s">
        <v>65</v>
      </c>
    </row>
    <row r="3" customFormat="false" ht="16" hidden="false" customHeight="false" outlineLevel="0" collapsed="false">
      <c r="A3" s="1"/>
      <c r="B3" s="16" t="s">
        <v>66</v>
      </c>
      <c r="C3" s="16" t="s">
        <v>67</v>
      </c>
      <c r="D3" s="21" t="s">
        <v>68</v>
      </c>
      <c r="E3" s="22" t="s">
        <v>57</v>
      </c>
      <c r="F3" s="22" t="n">
        <v>30224</v>
      </c>
      <c r="G3" s="21" t="s">
        <v>69</v>
      </c>
      <c r="H3" s="21" t="s">
        <v>70</v>
      </c>
      <c r="I3" s="16"/>
      <c r="J3" s="10"/>
      <c r="K3" s="10" t="n">
        <v>1400</v>
      </c>
      <c r="L3" s="10" t="n">
        <v>2400</v>
      </c>
      <c r="M3" s="10" t="n">
        <f aca="false">L3/12</f>
        <v>200</v>
      </c>
      <c r="N3" s="10" t="n">
        <v>100</v>
      </c>
      <c r="O3" s="10" t="n">
        <v>0</v>
      </c>
      <c r="P3" s="8" t="n">
        <f aca="false">K3-M3-N3-O3</f>
        <v>1100</v>
      </c>
      <c r="Q3" s="8" t="n">
        <f aca="false">((-1%*T3)/12)</f>
        <v>-130</v>
      </c>
      <c r="R3" s="8" t="n">
        <f aca="false">P3+Q3</f>
        <v>970</v>
      </c>
      <c r="S3" s="9" t="n">
        <f aca="false">R3*12/T3</f>
        <v>0.0746153846153846</v>
      </c>
      <c r="T3" s="10" t="n">
        <v>156000</v>
      </c>
      <c r="U3" s="10"/>
      <c r="V3" s="10"/>
      <c r="W3" s="10"/>
      <c r="X3" s="10"/>
      <c r="Y3" s="23" t="n">
        <v>43305</v>
      </c>
      <c r="Z3" s="12" t="n">
        <f aca="true">NOW()-Y3</f>
        <v>955.73961489871</v>
      </c>
      <c r="AA3" s="13" t="n">
        <v>157000</v>
      </c>
      <c r="AB3" s="14" t="n">
        <v>150</v>
      </c>
      <c r="AC3" s="23" t="n">
        <v>43295</v>
      </c>
      <c r="AD3" s="23" t="n">
        <v>43291</v>
      </c>
      <c r="AE3" s="24" t="n">
        <v>44286</v>
      </c>
      <c r="AF3" s="16"/>
      <c r="AG3" s="17"/>
      <c r="AH3" s="25" t="n">
        <v>166900</v>
      </c>
      <c r="AI3" s="26" t="n">
        <v>44104</v>
      </c>
      <c r="AJ3" s="25" t="n">
        <v>173900</v>
      </c>
      <c r="AK3" s="26" t="n">
        <v>44316</v>
      </c>
      <c r="AL3" s="27" t="s">
        <v>71</v>
      </c>
      <c r="AM3" s="13" t="n">
        <v>1600</v>
      </c>
      <c r="AN3" s="23" t="n">
        <v>43915</v>
      </c>
      <c r="AO3" s="17" t="n">
        <v>2900</v>
      </c>
      <c r="AP3" s="14" t="n">
        <v>300</v>
      </c>
      <c r="AQ3" s="28" t="s">
        <v>72</v>
      </c>
      <c r="AR3" s="10" t="n">
        <v>2900</v>
      </c>
      <c r="AS3" s="23" t="n">
        <v>43915</v>
      </c>
      <c r="AT3" s="16"/>
      <c r="AU3" s="16"/>
      <c r="AV3" s="22" t="n">
        <v>0</v>
      </c>
      <c r="AW3" s="22" t="s">
        <v>61</v>
      </c>
      <c r="AX3" s="22"/>
      <c r="AY3" s="16"/>
      <c r="AZ3" s="16"/>
      <c r="BA3" s="16"/>
      <c r="BB3" s="23" t="n">
        <v>44316</v>
      </c>
      <c r="BC3" s="16" t="s">
        <v>73</v>
      </c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customFormat="false" ht="16" hidden="false" customHeight="false" outlineLevel="0" collapsed="false">
      <c r="A4" s="1"/>
      <c r="B4" s="16" t="s">
        <v>74</v>
      </c>
      <c r="C4" s="16" t="s">
        <v>75</v>
      </c>
      <c r="D4" s="21"/>
      <c r="E4" s="22" t="s">
        <v>57</v>
      </c>
      <c r="F4" s="22" t="n">
        <v>30311</v>
      </c>
      <c r="G4" s="16" t="s">
        <v>76</v>
      </c>
      <c r="H4" s="21" t="s">
        <v>77</v>
      </c>
      <c r="I4" s="16"/>
      <c r="J4" s="16"/>
      <c r="K4" s="10" t="n">
        <v>1795</v>
      </c>
      <c r="L4" s="10" t="n">
        <v>1741</v>
      </c>
      <c r="M4" s="8" t="n">
        <f aca="false">L4/12</f>
        <v>145.083333333333</v>
      </c>
      <c r="N4" s="10" t="n">
        <v>125</v>
      </c>
      <c r="O4" s="10" t="n">
        <v>125</v>
      </c>
      <c r="P4" s="8" t="n">
        <f aca="false">K4-M4-N4-O4</f>
        <v>1399.91666666667</v>
      </c>
      <c r="Q4" s="8" t="n">
        <f aca="false">((-1%*T4)/12)</f>
        <v>-139.166666666667</v>
      </c>
      <c r="R4" s="8" t="n">
        <f aca="false">P4+Q4</f>
        <v>1260.75</v>
      </c>
      <c r="S4" s="9" t="n">
        <f aca="false">R4*12/T4</f>
        <v>0.0905928143712575</v>
      </c>
      <c r="T4" s="10" t="n">
        <v>167000</v>
      </c>
      <c r="U4" s="10"/>
      <c r="V4" s="10"/>
      <c r="W4" s="10"/>
      <c r="X4" s="10"/>
      <c r="Y4" s="23" t="n">
        <v>43348</v>
      </c>
      <c r="Z4" s="12" t="n">
        <f aca="true">NOW()-Y4</f>
        <v>912.739614899554</v>
      </c>
      <c r="AA4" s="13" t="n">
        <v>167000</v>
      </c>
      <c r="AB4" s="17" t="n">
        <v>350</v>
      </c>
      <c r="AC4" s="23" t="n">
        <v>43336</v>
      </c>
      <c r="AD4" s="23" t="n">
        <v>43333</v>
      </c>
      <c r="AE4" s="24" t="n">
        <v>44439</v>
      </c>
      <c r="AF4" s="16"/>
      <c r="AG4" s="17"/>
      <c r="AH4" s="22" t="s">
        <v>71</v>
      </c>
      <c r="AI4" s="27" t="s">
        <v>71</v>
      </c>
      <c r="AJ4" s="16" t="s">
        <v>78</v>
      </c>
      <c r="AK4" s="26" t="n">
        <v>43889</v>
      </c>
      <c r="AL4" s="26" t="n">
        <v>43293</v>
      </c>
      <c r="AM4" s="17" t="n">
        <v>1700</v>
      </c>
      <c r="AN4" s="23" t="n">
        <v>43333</v>
      </c>
      <c r="AO4" s="17" t="n">
        <v>9645</v>
      </c>
      <c r="AP4" s="14" t="n">
        <f aca="false">145+125+95</f>
        <v>365</v>
      </c>
      <c r="AQ4" s="29" t="s">
        <v>60</v>
      </c>
      <c r="AR4" s="10" t="n">
        <v>9645</v>
      </c>
      <c r="AS4" s="23" t="n">
        <v>43336</v>
      </c>
      <c r="AT4" s="16"/>
      <c r="AU4" s="16"/>
      <c r="AV4" s="22" t="n">
        <v>0</v>
      </c>
      <c r="AW4" s="22" t="s">
        <v>61</v>
      </c>
      <c r="AX4" s="22" t="s">
        <v>62</v>
      </c>
      <c r="AY4" s="16" t="s">
        <v>79</v>
      </c>
      <c r="AZ4" s="16"/>
      <c r="BA4" s="16"/>
      <c r="BB4" s="30" t="n">
        <v>43770</v>
      </c>
      <c r="BC4" s="16" t="s">
        <v>80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="46" customFormat="true" ht="16" hidden="false" customHeight="false" outlineLevel="0" collapsed="false">
      <c r="A5" s="31" t="s">
        <v>62</v>
      </c>
      <c r="B5" s="32" t="s">
        <v>81</v>
      </c>
      <c r="C5" s="32" t="s">
        <v>82</v>
      </c>
      <c r="D5" s="33" t="s">
        <v>83</v>
      </c>
      <c r="E5" s="34" t="s">
        <v>84</v>
      </c>
      <c r="F5" s="34" t="n">
        <v>32244</v>
      </c>
      <c r="G5" s="33" t="s">
        <v>85</v>
      </c>
      <c r="H5" s="33"/>
      <c r="I5" s="32"/>
      <c r="J5" s="32"/>
      <c r="K5" s="35" t="n">
        <v>1550</v>
      </c>
      <c r="L5" s="35" t="n">
        <v>1500</v>
      </c>
      <c r="M5" s="36" t="n">
        <f aca="false">L5/12</f>
        <v>125</v>
      </c>
      <c r="N5" s="35" t="n">
        <v>100</v>
      </c>
      <c r="O5" s="35" t="n">
        <v>18</v>
      </c>
      <c r="P5" s="36" t="n">
        <f aca="false">K5-M5-N5-O5</f>
        <v>1307</v>
      </c>
      <c r="Q5" s="36" t="n">
        <f aca="false">((-1%*T5)/12)</f>
        <v>-135.916666666667</v>
      </c>
      <c r="R5" s="36" t="n">
        <f aca="false">P5+Q5</f>
        <v>1171.08333333333</v>
      </c>
      <c r="S5" s="37" t="n">
        <f aca="false">R5*12/T5</f>
        <v>0.0861618638871858</v>
      </c>
      <c r="T5" s="35" t="n">
        <v>163100</v>
      </c>
      <c r="U5" s="35" t="n">
        <v>0</v>
      </c>
      <c r="V5" s="35"/>
      <c r="W5" s="35"/>
      <c r="X5" s="35"/>
      <c r="Y5" s="38" t="n">
        <v>43402</v>
      </c>
      <c r="Z5" s="39" t="n">
        <f aca="true">NOW()-Y5</f>
        <v>858.73961490042</v>
      </c>
      <c r="AA5" s="40" t="n">
        <v>174000</v>
      </c>
      <c r="AB5" s="41" t="n">
        <v>350</v>
      </c>
      <c r="AC5" s="38" t="n">
        <v>43342</v>
      </c>
      <c r="AD5" s="38" t="n">
        <v>43339</v>
      </c>
      <c r="AE5" s="42" t="n">
        <v>43769</v>
      </c>
      <c r="AF5" s="16"/>
      <c r="AG5" s="17"/>
      <c r="AH5" s="41" t="n">
        <v>175000</v>
      </c>
      <c r="AI5" s="43" t="n">
        <v>43585</v>
      </c>
      <c r="AJ5" s="41" t="n">
        <v>181000</v>
      </c>
      <c r="AK5" s="43" t="n">
        <v>43769</v>
      </c>
      <c r="AL5" s="44" t="s">
        <v>71</v>
      </c>
      <c r="AM5" s="41" t="n">
        <v>1600</v>
      </c>
      <c r="AN5" s="38" t="n">
        <v>43336</v>
      </c>
      <c r="AO5" s="41" t="n">
        <v>8900</v>
      </c>
      <c r="AP5" s="41" t="n">
        <v>245</v>
      </c>
      <c r="AQ5" s="45" t="s">
        <v>60</v>
      </c>
      <c r="AR5" s="35" t="n">
        <v>8900</v>
      </c>
      <c r="AS5" s="38" t="n">
        <v>43336</v>
      </c>
      <c r="AT5" s="32"/>
      <c r="AU5" s="32"/>
      <c r="AV5" s="34" t="n">
        <v>0</v>
      </c>
      <c r="AW5" s="34" t="s">
        <v>61</v>
      </c>
      <c r="AX5" s="34" t="s">
        <v>86</v>
      </c>
      <c r="AY5" s="32" t="s">
        <v>87</v>
      </c>
      <c r="AZ5" s="32"/>
      <c r="BA5" s="32"/>
      <c r="BB5" s="32" t="s">
        <v>88</v>
      </c>
      <c r="BC5" s="32" t="s">
        <v>89</v>
      </c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</row>
    <row r="6" customFormat="false" ht="16" hidden="false" customHeight="false" outlineLevel="0" collapsed="false">
      <c r="A6" s="47"/>
      <c r="B6" s="16" t="s">
        <v>90</v>
      </c>
      <c r="C6" s="16" t="s">
        <v>91</v>
      </c>
      <c r="D6" s="21" t="s">
        <v>92</v>
      </c>
      <c r="E6" s="22" t="s">
        <v>57</v>
      </c>
      <c r="F6" s="22" t="n">
        <v>30016</v>
      </c>
      <c r="G6" s="16" t="s">
        <v>93</v>
      </c>
      <c r="H6" s="21" t="s">
        <v>94</v>
      </c>
      <c r="I6" s="16"/>
      <c r="J6" s="16"/>
      <c r="K6" s="10" t="n">
        <v>2125</v>
      </c>
      <c r="L6" s="10" t="n">
        <v>3000</v>
      </c>
      <c r="M6" s="8" t="n">
        <f aca="false">L6/12</f>
        <v>250</v>
      </c>
      <c r="N6" s="10" t="n">
        <v>125</v>
      </c>
      <c r="O6" s="10" t="n">
        <v>17</v>
      </c>
      <c r="P6" s="8" t="n">
        <f aca="false">K6-M6-N6-O6</f>
        <v>1733</v>
      </c>
      <c r="Q6" s="8" t="n">
        <f aca="false">((-1%*T6)/12)</f>
        <v>-179.166666666667</v>
      </c>
      <c r="R6" s="8" t="n">
        <f aca="false">P6+Q6</f>
        <v>1553.83333333333</v>
      </c>
      <c r="S6" s="9" t="n">
        <f aca="false">R6*12/T6</f>
        <v>0.0867255813953488</v>
      </c>
      <c r="T6" s="10" t="n">
        <v>215000</v>
      </c>
      <c r="U6" s="10" t="n">
        <v>0</v>
      </c>
      <c r="V6" s="10"/>
      <c r="W6" s="10" t="n">
        <v>1713.5</v>
      </c>
      <c r="X6" s="10"/>
      <c r="Y6" s="23" t="n">
        <v>43479</v>
      </c>
      <c r="Z6" s="12" t="n">
        <f aca="true">NOW()-Y6</f>
        <v>781.739614901257</v>
      </c>
      <c r="AA6" s="17" t="n">
        <v>218000</v>
      </c>
      <c r="AB6" s="17" t="n">
        <v>450</v>
      </c>
      <c r="AC6" s="23" t="n">
        <v>43476</v>
      </c>
      <c r="AD6" s="23" t="n">
        <v>43389</v>
      </c>
      <c r="AE6" s="24" t="n">
        <v>43861</v>
      </c>
      <c r="AF6" s="16"/>
      <c r="AG6" s="17"/>
      <c r="AH6" s="17" t="n">
        <v>232900</v>
      </c>
      <c r="AI6" s="26" t="n">
        <v>43661</v>
      </c>
      <c r="AJ6" s="17" t="n">
        <v>240900</v>
      </c>
      <c r="AK6" s="26" t="n">
        <v>43861</v>
      </c>
      <c r="AL6" s="27" t="s">
        <v>95</v>
      </c>
      <c r="AM6" s="17" t="n">
        <v>2365</v>
      </c>
      <c r="AN6" s="23" t="n">
        <v>43474</v>
      </c>
      <c r="AO6" s="17" t="n">
        <v>8432</v>
      </c>
      <c r="AP6" s="14" t="n">
        <v>390</v>
      </c>
      <c r="AQ6" s="28" t="s">
        <v>96</v>
      </c>
      <c r="AR6" s="10" t="n">
        <f aca="false">5500-2365</f>
        <v>3135</v>
      </c>
      <c r="AS6" s="30" t="n">
        <v>43374</v>
      </c>
      <c r="AT6" s="16" t="n">
        <v>2025</v>
      </c>
      <c r="AU6" s="23" t="n">
        <v>43473</v>
      </c>
      <c r="AV6" s="22" t="n">
        <v>0</v>
      </c>
      <c r="AW6" s="22" t="s">
        <v>97</v>
      </c>
      <c r="AX6" s="22" t="s">
        <v>98</v>
      </c>
      <c r="AY6" s="16" t="s">
        <v>99</v>
      </c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customFormat="false" ht="16" hidden="false" customHeight="false" outlineLevel="0" collapsed="false">
      <c r="A7" s="1"/>
      <c r="B7" s="16" t="s">
        <v>100</v>
      </c>
      <c r="C7" s="16" t="s">
        <v>101</v>
      </c>
      <c r="D7" s="21"/>
      <c r="E7" s="22" t="s">
        <v>57</v>
      </c>
      <c r="F7" s="22" t="n">
        <v>30141</v>
      </c>
      <c r="G7" s="16" t="s">
        <v>102</v>
      </c>
      <c r="H7" s="21"/>
      <c r="I7" s="16"/>
      <c r="J7" s="48"/>
      <c r="K7" s="10" t="n">
        <v>1275</v>
      </c>
      <c r="L7" s="10" t="n">
        <v>804</v>
      </c>
      <c r="M7" s="10" t="n">
        <f aca="false">L7/12</f>
        <v>67</v>
      </c>
      <c r="N7" s="10" t="n">
        <v>125</v>
      </c>
      <c r="O7" s="10" t="n">
        <v>0</v>
      </c>
      <c r="P7" s="8" t="n">
        <f aca="false">K7-M7-N7-O7</f>
        <v>1083</v>
      </c>
      <c r="Q7" s="8" t="n">
        <f aca="false">((-1%*T7)/12)</f>
        <v>-112.5</v>
      </c>
      <c r="R7" s="8" t="n">
        <f aca="false">P7+Q7</f>
        <v>970.5</v>
      </c>
      <c r="S7" s="9" t="n">
        <f aca="false">R7*12/T7</f>
        <v>0.0862666666666667</v>
      </c>
      <c r="T7" s="10" t="n">
        <v>135000</v>
      </c>
      <c r="U7" s="10" t="n">
        <v>1000</v>
      </c>
      <c r="V7" s="10"/>
      <c r="W7" s="10"/>
      <c r="X7" s="10"/>
      <c r="Y7" s="26" t="n">
        <v>43571</v>
      </c>
      <c r="Z7" s="12" t="n">
        <f aca="true">NOW()-Y7</f>
        <v>689.73961490213</v>
      </c>
      <c r="AA7" s="17" t="n">
        <v>135000</v>
      </c>
      <c r="AB7" s="17" t="n">
        <v>460</v>
      </c>
      <c r="AC7" s="23" t="n">
        <v>43567</v>
      </c>
      <c r="AD7" s="23" t="n">
        <v>43561</v>
      </c>
      <c r="AE7" s="24" t="n">
        <v>43951</v>
      </c>
      <c r="AF7" s="16"/>
      <c r="AG7" s="17"/>
      <c r="AH7" s="17" t="n">
        <v>146000</v>
      </c>
      <c r="AI7" s="26" t="n">
        <v>43769</v>
      </c>
      <c r="AJ7" s="17" t="n">
        <v>152000</v>
      </c>
      <c r="AK7" s="26" t="n">
        <v>43951</v>
      </c>
      <c r="AL7" s="26" t="n">
        <v>43531</v>
      </c>
      <c r="AM7" s="17" t="n">
        <v>1350</v>
      </c>
      <c r="AN7" s="23" t="n">
        <v>43542</v>
      </c>
      <c r="AO7" s="17" t="n">
        <v>4560</v>
      </c>
      <c r="AP7" s="14" t="n">
        <v>192</v>
      </c>
      <c r="AQ7" s="28" t="s">
        <v>72</v>
      </c>
      <c r="AR7" s="10" t="n">
        <v>4560</v>
      </c>
      <c r="AS7" s="23" t="n">
        <v>43542</v>
      </c>
      <c r="AT7" s="16"/>
      <c r="AU7" s="16"/>
      <c r="AV7" s="22" t="n">
        <v>0</v>
      </c>
      <c r="AW7" s="22" t="s">
        <v>61</v>
      </c>
      <c r="AX7" s="22" t="s">
        <v>86</v>
      </c>
      <c r="AY7" s="16" t="s">
        <v>103</v>
      </c>
      <c r="AZ7" s="16" t="s">
        <v>104</v>
      </c>
      <c r="BA7" s="16" t="s">
        <v>105</v>
      </c>
      <c r="BB7" s="16"/>
      <c r="BC7" s="16" t="s">
        <v>106</v>
      </c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customFormat="false" ht="16" hidden="false" customHeight="false" outlineLevel="0" collapsed="false">
      <c r="A8" s="1"/>
      <c r="B8" s="16" t="s">
        <v>107</v>
      </c>
      <c r="C8" s="5" t="s">
        <v>108</v>
      </c>
      <c r="D8" s="21" t="s">
        <v>109</v>
      </c>
      <c r="E8" s="22" t="s">
        <v>57</v>
      </c>
      <c r="F8" s="22" t="n">
        <v>30058</v>
      </c>
      <c r="G8" s="16" t="s">
        <v>110</v>
      </c>
      <c r="H8" s="21"/>
      <c r="I8" s="16"/>
      <c r="J8" s="16"/>
      <c r="K8" s="10" t="n">
        <v>2350</v>
      </c>
      <c r="L8" s="10" t="n">
        <v>2408</v>
      </c>
      <c r="M8" s="10" t="n">
        <f aca="false">L8/12</f>
        <v>200.666666666667</v>
      </c>
      <c r="N8" s="10" t="n">
        <v>200</v>
      </c>
      <c r="O8" s="10" t="n">
        <v>0</v>
      </c>
      <c r="P8" s="8" t="n">
        <f aca="false">K8-M8-N8-O8</f>
        <v>1949.33333333333</v>
      </c>
      <c r="Q8" s="8" t="n">
        <f aca="false">((-1%*T8)/12)</f>
        <v>-208.333333333333</v>
      </c>
      <c r="R8" s="8" t="n">
        <f aca="false">P8+Q8</f>
        <v>1741</v>
      </c>
      <c r="S8" s="9" t="n">
        <f aca="false">R8*12/T8</f>
        <v>0.083568</v>
      </c>
      <c r="T8" s="10" t="n">
        <v>250000</v>
      </c>
      <c r="U8" s="10"/>
      <c r="V8" s="10"/>
      <c r="W8" s="10"/>
      <c r="X8" s="10"/>
      <c r="Y8" s="23" t="n">
        <v>43658</v>
      </c>
      <c r="Z8" s="12" t="n">
        <f aca="true">NOW()-Y8</f>
        <v>602.739614902952</v>
      </c>
      <c r="AA8" s="17" t="n">
        <v>263000</v>
      </c>
      <c r="AB8" s="17" t="n">
        <v>460</v>
      </c>
      <c r="AC8" s="23" t="n">
        <v>43621</v>
      </c>
      <c r="AD8" s="23" t="n">
        <v>43622</v>
      </c>
      <c r="AE8" s="24" t="n">
        <v>44043</v>
      </c>
      <c r="AF8" s="16"/>
      <c r="AG8" s="17"/>
      <c r="AH8" s="17" t="n">
        <v>269000</v>
      </c>
      <c r="AI8" s="26" t="n">
        <v>43845</v>
      </c>
      <c r="AJ8" s="17" t="n">
        <v>280000</v>
      </c>
      <c r="AK8" s="26" t="n">
        <v>44043</v>
      </c>
      <c r="AL8" s="26" t="n">
        <v>43595</v>
      </c>
      <c r="AM8" s="17" t="n">
        <v>2500</v>
      </c>
      <c r="AN8" s="23" t="n">
        <v>43619</v>
      </c>
      <c r="AO8" s="17" t="n">
        <v>13800</v>
      </c>
      <c r="AP8" s="17" t="n">
        <v>400</v>
      </c>
      <c r="AQ8" s="28" t="s">
        <v>60</v>
      </c>
      <c r="AR8" s="10" t="n">
        <v>200</v>
      </c>
      <c r="AS8" s="23" t="n">
        <v>43619</v>
      </c>
      <c r="AT8" s="17" t="n">
        <v>13800</v>
      </c>
      <c r="AU8" s="23" t="n">
        <v>43640</v>
      </c>
      <c r="AV8" s="25" t="n">
        <v>250</v>
      </c>
      <c r="AW8" s="22" t="s">
        <v>61</v>
      </c>
      <c r="AX8" s="22" t="s">
        <v>111</v>
      </c>
      <c r="AY8" s="16" t="s">
        <v>112</v>
      </c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="50" customFormat="true" ht="16" hidden="false" customHeight="false" outlineLevel="0" collapsed="false">
      <c r="A9" s="49"/>
      <c r="B9" s="32" t="s">
        <v>113</v>
      </c>
      <c r="C9" s="32" t="s">
        <v>114</v>
      </c>
      <c r="D9" s="33"/>
      <c r="E9" s="34" t="s">
        <v>57</v>
      </c>
      <c r="F9" s="34" t="n">
        <v>30012</v>
      </c>
      <c r="G9" s="32" t="s">
        <v>115</v>
      </c>
      <c r="H9" s="33"/>
      <c r="I9" s="32"/>
      <c r="J9" s="32"/>
      <c r="K9" s="35" t="n">
        <v>2050</v>
      </c>
      <c r="L9" s="35" t="n">
        <v>2200</v>
      </c>
      <c r="M9" s="35" t="n">
        <f aca="false">L9/12</f>
        <v>183.333333333333</v>
      </c>
      <c r="N9" s="35" t="n">
        <v>150</v>
      </c>
      <c r="O9" s="35" t="n">
        <v>15</v>
      </c>
      <c r="P9" s="36" t="n">
        <f aca="false">K9-M9-N9-O9</f>
        <v>1701.66666666667</v>
      </c>
      <c r="Q9" s="36" t="n">
        <f aca="false">((-1%*T9)/12)</f>
        <v>-170</v>
      </c>
      <c r="R9" s="36" t="n">
        <f aca="false">P9+Q9</f>
        <v>1531.66666666667</v>
      </c>
      <c r="S9" s="37" t="n">
        <f aca="false">R9*12/T9</f>
        <v>0.0900980392156863</v>
      </c>
      <c r="T9" s="35" t="n">
        <v>204000</v>
      </c>
      <c r="U9" s="35" t="n">
        <v>16500</v>
      </c>
      <c r="V9" s="35"/>
      <c r="W9" s="35"/>
      <c r="X9" s="35"/>
      <c r="Y9" s="38" t="n">
        <v>43706</v>
      </c>
      <c r="Z9" s="39" t="n">
        <f aca="true">NOW()-Y9</f>
        <v>554.739614903789</v>
      </c>
      <c r="AA9" s="41" t="n">
        <v>215000</v>
      </c>
      <c r="AB9" s="41" t="n">
        <v>460</v>
      </c>
      <c r="AC9" s="38" t="n">
        <v>43696</v>
      </c>
      <c r="AD9" s="38" t="n">
        <v>43695</v>
      </c>
      <c r="AE9" s="42" t="n">
        <v>44074</v>
      </c>
      <c r="AF9" s="16"/>
      <c r="AG9" s="17"/>
      <c r="AH9" s="41" t="n">
        <v>219900</v>
      </c>
      <c r="AI9" s="43" t="n">
        <v>43889</v>
      </c>
      <c r="AJ9" s="41" t="n">
        <v>227900</v>
      </c>
      <c r="AK9" s="43" t="n">
        <v>44074</v>
      </c>
      <c r="AL9" s="43" t="s">
        <v>71</v>
      </c>
      <c r="AM9" s="41" t="n">
        <v>2090</v>
      </c>
      <c r="AN9" s="44" t="s">
        <v>116</v>
      </c>
      <c r="AO9" s="41" t="n">
        <v>15410</v>
      </c>
      <c r="AP9" s="41" t="n">
        <v>350</v>
      </c>
      <c r="AQ9" s="45" t="s">
        <v>60</v>
      </c>
      <c r="AR9" s="35" t="n">
        <v>15410</v>
      </c>
      <c r="AS9" s="44" t="s">
        <v>116</v>
      </c>
      <c r="AT9" s="32"/>
      <c r="AU9" s="32"/>
      <c r="AV9" s="34"/>
      <c r="AW9" s="34" t="s">
        <v>61</v>
      </c>
      <c r="AX9" s="34" t="s">
        <v>117</v>
      </c>
      <c r="AY9" s="32" t="s">
        <v>118</v>
      </c>
      <c r="AZ9" s="32" t="s">
        <v>119</v>
      </c>
      <c r="BA9" s="32" t="s">
        <v>120</v>
      </c>
      <c r="BB9" s="32"/>
      <c r="BC9" s="32" t="s">
        <v>121</v>
      </c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customFormat="false" ht="16" hidden="false" customHeight="false" outlineLevel="0" collapsed="false">
      <c r="A10" s="1"/>
      <c r="B10" s="16" t="s">
        <v>122</v>
      </c>
      <c r="C10" s="16" t="s">
        <v>123</v>
      </c>
      <c r="D10" s="21" t="s">
        <v>124</v>
      </c>
      <c r="E10" s="22" t="s">
        <v>57</v>
      </c>
      <c r="F10" s="22" t="n">
        <v>30213</v>
      </c>
      <c r="G10" s="16" t="s">
        <v>125</v>
      </c>
      <c r="H10" s="21"/>
      <c r="I10" s="16"/>
      <c r="J10" s="16"/>
      <c r="K10" s="17" t="n">
        <v>1850</v>
      </c>
      <c r="L10" s="10" t="n">
        <v>3000</v>
      </c>
      <c r="M10" s="10" t="n">
        <f aca="false">L10/12</f>
        <v>250</v>
      </c>
      <c r="N10" s="10" t="n">
        <v>150</v>
      </c>
      <c r="O10" s="10" t="n">
        <f aca="false">900/12</f>
        <v>75</v>
      </c>
      <c r="P10" s="8" t="n">
        <f aca="false">K10-M10-N10-O10</f>
        <v>1375</v>
      </c>
      <c r="Q10" s="8" t="n">
        <f aca="false">((-1%*T10)/12)</f>
        <v>-205.773333333333</v>
      </c>
      <c r="R10" s="8" t="n">
        <f aca="false">P10+Q10</f>
        <v>1169.22666666667</v>
      </c>
      <c r="S10" s="9" t="n">
        <f aca="false">R10*12/T10</f>
        <v>0.0568210976478974</v>
      </c>
      <c r="T10" s="10" t="n">
        <v>246928</v>
      </c>
      <c r="U10" s="10" t="n">
        <v>3500</v>
      </c>
      <c r="V10" s="10"/>
      <c r="W10" s="10"/>
      <c r="X10" s="10" t="s">
        <v>126</v>
      </c>
      <c r="Y10" s="23" t="n">
        <v>43892</v>
      </c>
      <c r="Z10" s="12" t="n">
        <f aca="true">NOW()-Y10</f>
        <v>368.739614904662</v>
      </c>
      <c r="AA10" s="17" t="n">
        <v>250000</v>
      </c>
      <c r="AB10" s="17" t="n">
        <v>480</v>
      </c>
      <c r="AC10" s="23" t="n">
        <v>43888</v>
      </c>
      <c r="AD10" s="27" t="s">
        <v>71</v>
      </c>
      <c r="AE10" s="24" t="n">
        <v>44286</v>
      </c>
      <c r="AF10" s="16"/>
      <c r="AG10" s="17"/>
      <c r="AH10" s="17" t="n">
        <v>265000</v>
      </c>
      <c r="AI10" s="26" t="n">
        <v>44074</v>
      </c>
      <c r="AJ10" s="17" t="n">
        <v>275000</v>
      </c>
      <c r="AK10" s="26" t="n">
        <v>44286</v>
      </c>
      <c r="AL10" s="26" t="n">
        <v>43875</v>
      </c>
      <c r="AM10" s="17" t="n">
        <v>2469</v>
      </c>
      <c r="AN10" s="23" t="n">
        <v>43880</v>
      </c>
      <c r="AO10" s="17" t="n">
        <v>7250</v>
      </c>
      <c r="AP10" s="17" t="n">
        <v>500</v>
      </c>
      <c r="AQ10" s="28" t="s">
        <v>60</v>
      </c>
      <c r="AR10" s="10" t="n">
        <v>7250</v>
      </c>
      <c r="AS10" s="23" t="n">
        <v>43880</v>
      </c>
      <c r="AT10" s="27" t="s">
        <v>127</v>
      </c>
      <c r="AU10" s="27" t="s">
        <v>128</v>
      </c>
      <c r="AV10" s="22" t="n">
        <v>0</v>
      </c>
      <c r="AW10" s="22" t="s">
        <v>129</v>
      </c>
      <c r="AX10" s="22" t="s">
        <v>130</v>
      </c>
      <c r="AY10" s="16" t="s">
        <v>131</v>
      </c>
      <c r="AZ10" s="16" t="s">
        <v>119</v>
      </c>
      <c r="BA10" s="16"/>
      <c r="BB10" s="16"/>
      <c r="BC10" s="16" t="s">
        <v>132</v>
      </c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customFormat="false" ht="16" hidden="false" customHeight="false" outlineLevel="0" collapsed="false">
      <c r="A11" s="1"/>
      <c r="B11" s="16" t="s">
        <v>133</v>
      </c>
      <c r="C11" s="16" t="s">
        <v>82</v>
      </c>
      <c r="D11" s="21"/>
      <c r="E11" s="22" t="s">
        <v>84</v>
      </c>
      <c r="F11" s="22" t="n">
        <v>32258</v>
      </c>
      <c r="G11" s="16" t="s">
        <v>134</v>
      </c>
      <c r="H11" s="21"/>
      <c r="I11" s="16"/>
      <c r="J11" s="16"/>
      <c r="K11" s="17" t="n">
        <v>2350</v>
      </c>
      <c r="L11" s="10" t="n">
        <v>3025</v>
      </c>
      <c r="M11" s="10" t="n">
        <f aca="false">L11/12</f>
        <v>252.083333333333</v>
      </c>
      <c r="N11" s="10" t="n">
        <v>150</v>
      </c>
      <c r="O11" s="10" t="n">
        <f aca="false">275/12</f>
        <v>22.9166666666667</v>
      </c>
      <c r="P11" s="8" t="n">
        <f aca="false">K11-M11-N11-O11</f>
        <v>1925</v>
      </c>
      <c r="Q11" s="8" t="n">
        <f aca="false">((-1%*T11)/12)</f>
        <v>-218.333333333333</v>
      </c>
      <c r="R11" s="8" t="n">
        <f aca="false">P11+Q11</f>
        <v>1706.66666666667</v>
      </c>
      <c r="S11" s="9" t="n">
        <f aca="false">R11*12/T11</f>
        <v>0.0781679389312977</v>
      </c>
      <c r="T11" s="10" t="n">
        <v>262000</v>
      </c>
      <c r="U11" s="10"/>
      <c r="V11" s="10"/>
      <c r="W11" s="10"/>
      <c r="X11" s="10"/>
      <c r="Y11" s="23" t="n">
        <v>43896</v>
      </c>
      <c r="Z11" s="12" t="n">
        <f aca="true">NOW()-Y11</f>
        <v>364.739614905549</v>
      </c>
      <c r="AA11" s="17" t="n">
        <v>262000</v>
      </c>
      <c r="AB11" s="16"/>
      <c r="AC11" s="16"/>
      <c r="AD11" s="16"/>
      <c r="AE11" s="24" t="n">
        <v>44261</v>
      </c>
      <c r="AF11" s="16"/>
      <c r="AG11" s="17"/>
      <c r="AH11" s="17" t="n">
        <v>285000</v>
      </c>
      <c r="AI11" s="26" t="n">
        <v>44080</v>
      </c>
      <c r="AJ11" s="17" t="n">
        <v>296000</v>
      </c>
      <c r="AK11" s="26" t="n">
        <v>44261</v>
      </c>
      <c r="AL11" s="27" t="s">
        <v>135</v>
      </c>
      <c r="AM11" s="17" t="n">
        <v>2660</v>
      </c>
      <c r="AN11" s="23" t="n">
        <v>43893</v>
      </c>
      <c r="AO11" s="17" t="n">
        <v>8880</v>
      </c>
      <c r="AP11" s="17" t="n">
        <v>425</v>
      </c>
      <c r="AQ11" s="28" t="s">
        <v>60</v>
      </c>
      <c r="AR11" s="10" t="n">
        <v>8880</v>
      </c>
      <c r="AS11" s="23" t="n">
        <v>43893</v>
      </c>
      <c r="AT11" s="16" t="s">
        <v>136</v>
      </c>
      <c r="AU11" s="16"/>
      <c r="AV11" s="22" t="s">
        <v>137</v>
      </c>
      <c r="AW11" s="22" t="s">
        <v>61</v>
      </c>
      <c r="AX11" s="22" t="s">
        <v>98</v>
      </c>
      <c r="AY11" s="16" t="s">
        <v>138</v>
      </c>
      <c r="AZ11" s="16" t="s">
        <v>119</v>
      </c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customFormat="false" ht="16" hidden="false" customHeight="false" outlineLevel="0" collapsed="false">
      <c r="A12" s="1"/>
      <c r="B12" s="16" t="s">
        <v>139</v>
      </c>
      <c r="C12" s="16" t="s">
        <v>75</v>
      </c>
      <c r="D12" s="21"/>
      <c r="E12" s="22" t="s">
        <v>57</v>
      </c>
      <c r="F12" s="22" t="n">
        <v>30349</v>
      </c>
      <c r="G12" s="16" t="s">
        <v>140</v>
      </c>
      <c r="H12" s="21" t="s">
        <v>141</v>
      </c>
      <c r="I12" s="16"/>
      <c r="J12" s="16"/>
      <c r="K12" s="17" t="n">
        <v>2750</v>
      </c>
      <c r="L12" s="10" t="n">
        <v>2366</v>
      </c>
      <c r="M12" s="10" t="n">
        <f aca="false">L12/12</f>
        <v>197.166666666667</v>
      </c>
      <c r="N12" s="10" t="n">
        <v>175</v>
      </c>
      <c r="O12" s="10" t="n">
        <v>45</v>
      </c>
      <c r="P12" s="8" t="n">
        <f aca="false">K12-M12-N12-O12</f>
        <v>2332.83333333333</v>
      </c>
      <c r="Q12" s="8" t="n">
        <f aca="false">((-1%*T12)/12)</f>
        <v>-266.666666666667</v>
      </c>
      <c r="R12" s="8" t="n">
        <f aca="false">P12+Q12</f>
        <v>2066.16666666667</v>
      </c>
      <c r="S12" s="9" t="n">
        <f aca="false">R12*12/T12</f>
        <v>0.07748125</v>
      </c>
      <c r="T12" s="10" t="n">
        <v>320000</v>
      </c>
      <c r="U12" s="10" t="n">
        <v>5000</v>
      </c>
      <c r="V12" s="10"/>
      <c r="W12" s="10"/>
      <c r="X12" s="10"/>
      <c r="Y12" s="23" t="n">
        <v>43917</v>
      </c>
      <c r="Z12" s="12" t="n">
        <f aca="true">NOW()-Y12</f>
        <v>343.739614906372</v>
      </c>
      <c r="AA12" s="17" t="n">
        <v>335000</v>
      </c>
      <c r="AB12" s="51" t="n">
        <f aca="false">AA12/T12</f>
        <v>1.046875</v>
      </c>
      <c r="AC12" s="16"/>
      <c r="AD12" s="16"/>
      <c r="AE12" s="24" t="n">
        <v>44316</v>
      </c>
      <c r="AF12" s="16"/>
      <c r="AG12" s="16"/>
      <c r="AH12" s="17" t="n">
        <v>342900</v>
      </c>
      <c r="AI12" s="26" t="n">
        <v>44104</v>
      </c>
      <c r="AJ12" s="17" t="n">
        <v>355900</v>
      </c>
      <c r="AK12" s="26" t="n">
        <v>44294</v>
      </c>
      <c r="AL12" s="27"/>
      <c r="AM12" s="17" t="n">
        <v>3200</v>
      </c>
      <c r="AN12" s="16"/>
      <c r="AO12" s="17" t="n">
        <v>16265</v>
      </c>
      <c r="AP12" s="17"/>
      <c r="AQ12" s="28" t="s">
        <v>60</v>
      </c>
      <c r="AR12" s="10"/>
      <c r="AS12" s="16"/>
      <c r="AT12" s="16"/>
      <c r="AU12" s="16"/>
      <c r="AV12" s="22" t="n">
        <v>0</v>
      </c>
      <c r="AW12" s="22" t="s">
        <v>61</v>
      </c>
      <c r="AX12" s="22"/>
      <c r="AY12" s="16" t="s">
        <v>142</v>
      </c>
      <c r="AZ12" s="16" t="s">
        <v>119</v>
      </c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customFormat="false" ht="16" hidden="false" customHeight="false" outlineLevel="0" collapsed="false">
      <c r="A13" s="1"/>
      <c r="B13" s="16" t="s">
        <v>143</v>
      </c>
      <c r="C13" s="16" t="s">
        <v>108</v>
      </c>
      <c r="D13" s="21" t="s">
        <v>109</v>
      </c>
      <c r="E13" s="22" t="s">
        <v>57</v>
      </c>
      <c r="F13" s="22" t="n">
        <v>30058</v>
      </c>
      <c r="G13" s="52" t="s">
        <v>144</v>
      </c>
      <c r="H13" s="21"/>
      <c r="I13" s="16"/>
      <c r="J13" s="16"/>
      <c r="K13" s="10" t="n">
        <v>1750</v>
      </c>
      <c r="L13" s="10" t="n">
        <v>2220</v>
      </c>
      <c r="M13" s="10" t="n">
        <f aca="false">L13/12</f>
        <v>185</v>
      </c>
      <c r="N13" s="10" t="n">
        <v>175</v>
      </c>
      <c r="O13" s="10" t="n">
        <v>0</v>
      </c>
      <c r="P13" s="8" t="n">
        <f aca="false">K13-M13-N13-O13</f>
        <v>1390</v>
      </c>
      <c r="Q13" s="8" t="n">
        <f aca="false">((-1%*T13)/12)</f>
        <v>-165</v>
      </c>
      <c r="R13" s="8" t="n">
        <f aca="false">P13+Q13</f>
        <v>1225</v>
      </c>
      <c r="S13" s="9" t="n">
        <f aca="false">R13*12/T13</f>
        <v>0.0742424242424243</v>
      </c>
      <c r="T13" s="10" t="n">
        <v>198000</v>
      </c>
      <c r="U13" s="10"/>
      <c r="V13" s="10"/>
      <c r="W13" s="10"/>
      <c r="X13" s="10"/>
      <c r="Y13" s="23" t="n">
        <v>43937</v>
      </c>
      <c r="Z13" s="12" t="n">
        <f aca="true">NOW()-Y13</f>
        <v>323.739614907194</v>
      </c>
      <c r="AA13" s="17" t="n">
        <v>210000</v>
      </c>
      <c r="AB13" s="51" t="n">
        <f aca="false">AA13/T13</f>
        <v>1.06060606060606</v>
      </c>
      <c r="AC13" s="23" t="n">
        <v>43931</v>
      </c>
      <c r="AD13" s="17"/>
      <c r="AE13" s="24" t="n">
        <v>44316</v>
      </c>
      <c r="AF13" s="17"/>
      <c r="AG13" s="17"/>
      <c r="AH13" s="17" t="n">
        <v>213000</v>
      </c>
      <c r="AI13" s="23" t="n">
        <v>44119</v>
      </c>
      <c r="AJ13" s="17" t="n">
        <v>221000</v>
      </c>
      <c r="AK13" s="23" t="n">
        <v>44316</v>
      </c>
      <c r="AL13" s="26" t="s">
        <v>135</v>
      </c>
      <c r="AM13" s="17" t="n">
        <v>1950</v>
      </c>
      <c r="AN13" s="23" t="n">
        <v>43927</v>
      </c>
      <c r="AO13" s="17" t="n">
        <v>21800</v>
      </c>
      <c r="AP13" s="17" t="n">
        <v>335</v>
      </c>
      <c r="AQ13" s="28" t="s">
        <v>60</v>
      </c>
      <c r="AR13" s="10" t="n">
        <v>8050</v>
      </c>
      <c r="AS13" s="23" t="n">
        <v>43927</v>
      </c>
      <c r="AT13" s="16" t="s">
        <v>145</v>
      </c>
      <c r="AU13" s="16"/>
      <c r="AV13" s="22" t="n">
        <v>0</v>
      </c>
      <c r="AW13" s="22" t="s">
        <v>61</v>
      </c>
      <c r="AX13" s="22" t="s">
        <v>146</v>
      </c>
      <c r="AY13" s="16" t="s">
        <v>147</v>
      </c>
      <c r="AZ13" s="16" t="s">
        <v>119</v>
      </c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customFormat="false" ht="16" hidden="false" customHeight="false" outlineLevel="0" collapsed="false">
      <c r="A14" s="1"/>
      <c r="B14" s="16" t="s">
        <v>148</v>
      </c>
      <c r="C14" s="16" t="s">
        <v>149</v>
      </c>
      <c r="D14" s="21" t="s">
        <v>150</v>
      </c>
      <c r="E14" s="22" t="s">
        <v>57</v>
      </c>
      <c r="F14" s="22" t="n">
        <v>30519</v>
      </c>
      <c r="G14" s="16" t="s">
        <v>151</v>
      </c>
      <c r="H14" s="21" t="s">
        <v>152</v>
      </c>
      <c r="I14" s="16" t="s">
        <v>153</v>
      </c>
      <c r="J14" s="16"/>
      <c r="K14" s="17" t="n">
        <v>2145</v>
      </c>
      <c r="L14" s="10" t="n">
        <v>2950</v>
      </c>
      <c r="M14" s="10" t="n">
        <f aca="false">L14/12</f>
        <v>245.833333333333</v>
      </c>
      <c r="N14" s="10" t="n">
        <v>150</v>
      </c>
      <c r="O14" s="10" t="n">
        <v>31.25</v>
      </c>
      <c r="P14" s="8" t="n">
        <f aca="false">K14-M14-N14-O14</f>
        <v>1717.91666666667</v>
      </c>
      <c r="Q14" s="8" t="n">
        <f aca="false">((-1%*T14)/12)</f>
        <v>-195.683333333333</v>
      </c>
      <c r="R14" s="8" t="n">
        <f aca="false">P14+Q14</f>
        <v>1522.23333333333</v>
      </c>
      <c r="S14" s="9" t="n">
        <f aca="false">R14*12/T14</f>
        <v>0.0777906481560344</v>
      </c>
      <c r="T14" s="10" t="n">
        <v>234820</v>
      </c>
      <c r="U14" s="10" t="n">
        <v>2500</v>
      </c>
      <c r="V14" s="10"/>
      <c r="W14" s="10"/>
      <c r="X14" s="10"/>
      <c r="Y14" s="23" t="n">
        <v>43969</v>
      </c>
      <c r="Z14" s="12" t="n">
        <f aca="true">NOW()-Y14</f>
        <v>291.739614908074</v>
      </c>
      <c r="AA14" s="17" t="n">
        <v>242000</v>
      </c>
      <c r="AB14" s="51" t="n">
        <f aca="false">AA14/T14</f>
        <v>1.03057661187292</v>
      </c>
      <c r="AC14" s="23" t="n">
        <v>43964</v>
      </c>
      <c r="AD14" s="27"/>
      <c r="AE14" s="24" t="n">
        <v>44347</v>
      </c>
      <c r="AF14" s="16"/>
      <c r="AG14" s="16"/>
      <c r="AH14" s="17" t="n">
        <v>249500</v>
      </c>
      <c r="AI14" s="26" t="n">
        <v>44165</v>
      </c>
      <c r="AJ14" s="17" t="n">
        <v>259900</v>
      </c>
      <c r="AK14" s="26" t="n">
        <v>44347</v>
      </c>
      <c r="AL14" s="27" t="s">
        <v>154</v>
      </c>
      <c r="AM14" s="17" t="n">
        <v>2348</v>
      </c>
      <c r="AN14" s="23" t="n">
        <v>43955</v>
      </c>
      <c r="AO14" s="17" t="n">
        <v>7860</v>
      </c>
      <c r="AP14" s="17" t="n">
        <v>425</v>
      </c>
      <c r="AQ14" s="28" t="s">
        <v>60</v>
      </c>
      <c r="AR14" s="10" t="n">
        <v>7860</v>
      </c>
      <c r="AS14" s="23" t="n">
        <v>43955</v>
      </c>
      <c r="AT14" s="16"/>
      <c r="AU14" s="16"/>
      <c r="AV14" s="22" t="n">
        <v>0</v>
      </c>
      <c r="AW14" s="22" t="s">
        <v>61</v>
      </c>
      <c r="AX14" s="22" t="s">
        <v>86</v>
      </c>
      <c r="AY14" s="16" t="s">
        <v>155</v>
      </c>
      <c r="AZ14" s="16" t="s">
        <v>119</v>
      </c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customFormat="false" ht="16" hidden="false" customHeight="false" outlineLevel="0" collapsed="false">
      <c r="A15" s="1"/>
      <c r="B15" s="16" t="s">
        <v>156</v>
      </c>
      <c r="C15" s="16" t="s">
        <v>157</v>
      </c>
      <c r="D15" s="21" t="s">
        <v>92</v>
      </c>
      <c r="E15" s="22" t="s">
        <v>57</v>
      </c>
      <c r="F15" s="22" t="n">
        <v>30016</v>
      </c>
      <c r="G15" s="16" t="s">
        <v>158</v>
      </c>
      <c r="H15" s="21" t="s">
        <v>159</v>
      </c>
      <c r="I15" s="16"/>
      <c r="J15" s="16"/>
      <c r="K15" s="17" t="n">
        <v>1910</v>
      </c>
      <c r="L15" s="10" t="n">
        <v>2184</v>
      </c>
      <c r="M15" s="10" t="n">
        <f aca="false">L15/12</f>
        <v>182</v>
      </c>
      <c r="N15" s="10" t="n">
        <v>150</v>
      </c>
      <c r="O15" s="10" t="n">
        <f aca="false">144/12</f>
        <v>12</v>
      </c>
      <c r="P15" s="8" t="n">
        <f aca="false">K15-M15-N15-O15</f>
        <v>1566</v>
      </c>
      <c r="Q15" s="8" t="n">
        <f aca="false">((-1%*T15)/12)</f>
        <v>-174.166666666667</v>
      </c>
      <c r="R15" s="8" t="n">
        <f aca="false">P15+Q15</f>
        <v>1391.83333333333</v>
      </c>
      <c r="S15" s="9" t="n">
        <f aca="false">R15*12/T15</f>
        <v>0.0799138755980861</v>
      </c>
      <c r="T15" s="10" t="n">
        <v>209000</v>
      </c>
      <c r="U15" s="10"/>
      <c r="V15" s="10"/>
      <c r="W15" s="10"/>
      <c r="X15" s="10"/>
      <c r="Y15" s="23" t="n">
        <v>43978</v>
      </c>
      <c r="Z15" s="12" t="n">
        <f aca="true">NOW()-Y15</f>
        <v>282.739614908955</v>
      </c>
      <c r="AA15" s="17" t="n">
        <v>210000</v>
      </c>
      <c r="AB15" s="51" t="n">
        <f aca="false">AA15/T15</f>
        <v>1.00478468899522</v>
      </c>
      <c r="AC15" s="23" t="n">
        <v>43977</v>
      </c>
      <c r="AD15" s="27"/>
      <c r="AE15" s="24" t="n">
        <v>44347</v>
      </c>
      <c r="AF15" s="16"/>
      <c r="AG15" s="16"/>
      <c r="AH15" s="17" t="n">
        <v>226310</v>
      </c>
      <c r="AI15" s="26" t="n">
        <v>44165</v>
      </c>
      <c r="AJ15" s="17" t="n">
        <v>234850</v>
      </c>
      <c r="AK15" s="26" t="n">
        <v>44347</v>
      </c>
      <c r="AL15" s="27" t="s">
        <v>160</v>
      </c>
      <c r="AM15" s="17" t="n">
        <v>2100</v>
      </c>
      <c r="AN15" s="23" t="n">
        <v>43969</v>
      </c>
      <c r="AO15" s="17" t="n">
        <v>23485</v>
      </c>
      <c r="AP15" s="17" t="n">
        <v>475</v>
      </c>
      <c r="AQ15" s="28" t="s">
        <v>60</v>
      </c>
      <c r="AR15" s="10" t="n">
        <v>23485</v>
      </c>
      <c r="AS15" s="16"/>
      <c r="AT15" s="16"/>
      <c r="AU15" s="16"/>
      <c r="AV15" s="22" t="n">
        <v>0</v>
      </c>
      <c r="AW15" s="22" t="s">
        <v>61</v>
      </c>
      <c r="AX15" s="22" t="s">
        <v>111</v>
      </c>
      <c r="AY15" s="16" t="s">
        <v>131</v>
      </c>
      <c r="AZ15" s="16" t="s">
        <v>119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customFormat="false" ht="16" hidden="false" customHeight="false" outlineLevel="0" collapsed="false">
      <c r="A16" s="1"/>
      <c r="B16" s="16" t="s">
        <v>161</v>
      </c>
      <c r="C16" s="16" t="s">
        <v>162</v>
      </c>
      <c r="D16" s="21" t="s">
        <v>109</v>
      </c>
      <c r="E16" s="22" t="s">
        <v>57</v>
      </c>
      <c r="F16" s="22" t="n">
        <v>30088</v>
      </c>
      <c r="G16" s="16" t="s">
        <v>163</v>
      </c>
      <c r="H16" s="21" t="s">
        <v>164</v>
      </c>
      <c r="I16" s="16"/>
      <c r="J16" s="16"/>
      <c r="K16" s="17" t="n">
        <v>1760</v>
      </c>
      <c r="L16" s="10" t="n">
        <v>3000</v>
      </c>
      <c r="M16" s="10" t="n">
        <f aca="false">L16/12</f>
        <v>250</v>
      </c>
      <c r="N16" s="10" t="n">
        <v>150</v>
      </c>
      <c r="O16" s="10" t="n">
        <v>0</v>
      </c>
      <c r="P16" s="8" t="n">
        <f aca="false">K16-M16-N16-O16</f>
        <v>1360</v>
      </c>
      <c r="Q16" s="8" t="n">
        <f aca="false">((-1%*T16)/12)</f>
        <v>-155</v>
      </c>
      <c r="R16" s="8" t="n">
        <f aca="false">P16+Q16</f>
        <v>1205</v>
      </c>
      <c r="S16" s="9" t="n">
        <f aca="false">R16*12/T16</f>
        <v>0.077741935483871</v>
      </c>
      <c r="T16" s="10" t="n">
        <v>186000</v>
      </c>
      <c r="U16" s="10" t="n">
        <f aca="false">3500+4500</f>
        <v>8000</v>
      </c>
      <c r="V16" s="10"/>
      <c r="W16" s="10"/>
      <c r="X16" s="10"/>
      <c r="Y16" s="23" t="n">
        <v>43979</v>
      </c>
      <c r="Z16" s="12" t="n">
        <f aca="true">NOW()-Y16</f>
        <v>281.739614909849</v>
      </c>
      <c r="AA16" s="17" t="n">
        <v>190000</v>
      </c>
      <c r="AB16" s="51" t="n">
        <f aca="false">AA16/T16</f>
        <v>1.02150537634409</v>
      </c>
      <c r="AC16" s="23" t="n">
        <v>43955</v>
      </c>
      <c r="AD16" s="27"/>
      <c r="AE16" s="24" t="n">
        <v>44347</v>
      </c>
      <c r="AF16" s="16"/>
      <c r="AG16" s="16"/>
      <c r="AH16" s="17" t="n">
        <v>197160</v>
      </c>
      <c r="AI16" s="26" t="n">
        <v>44165</v>
      </c>
      <c r="AJ16" s="17" t="n">
        <v>204600</v>
      </c>
      <c r="AK16" s="53" t="n">
        <v>44347</v>
      </c>
      <c r="AL16" s="54" t="s">
        <v>165</v>
      </c>
      <c r="AM16" s="17" t="n">
        <v>1860</v>
      </c>
      <c r="AN16" s="23" t="n">
        <v>43962</v>
      </c>
      <c r="AO16" s="17" t="n">
        <v>6140</v>
      </c>
      <c r="AP16" s="17" t="n">
        <v>250</v>
      </c>
      <c r="AQ16" s="28" t="s">
        <v>60</v>
      </c>
      <c r="AR16" s="10" t="n">
        <v>6138</v>
      </c>
      <c r="AS16" s="16"/>
      <c r="AT16" s="16"/>
      <c r="AU16" s="16"/>
      <c r="AV16" s="22" t="n">
        <v>0</v>
      </c>
      <c r="AW16" s="22" t="s">
        <v>61</v>
      </c>
      <c r="AX16" s="22"/>
      <c r="AY16" s="16" t="s">
        <v>166</v>
      </c>
      <c r="AZ16" s="16" t="s">
        <v>119</v>
      </c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customFormat="false" ht="16" hidden="false" customHeight="false" outlineLevel="0" collapsed="false">
      <c r="A17" s="1"/>
      <c r="B17" s="16" t="s">
        <v>167</v>
      </c>
      <c r="C17" s="16" t="s">
        <v>168</v>
      </c>
      <c r="D17" s="21" t="s">
        <v>169</v>
      </c>
      <c r="E17" s="22" t="s">
        <v>57</v>
      </c>
      <c r="F17" s="22" t="n">
        <v>30281</v>
      </c>
      <c r="G17" s="16" t="s">
        <v>170</v>
      </c>
      <c r="H17" s="21"/>
      <c r="I17" s="16"/>
      <c r="J17" s="16"/>
      <c r="K17" s="17" t="n">
        <v>1960</v>
      </c>
      <c r="L17" s="10" t="n">
        <v>2555</v>
      </c>
      <c r="M17" s="10" t="n">
        <f aca="false">L17/12</f>
        <v>212.916666666667</v>
      </c>
      <c r="N17" s="10" t="n">
        <v>150</v>
      </c>
      <c r="O17" s="10" t="n">
        <f aca="false">550/12</f>
        <v>45.8333333333333</v>
      </c>
      <c r="P17" s="8" t="n">
        <f aca="false">K17-M17-N17-O17</f>
        <v>1551.25</v>
      </c>
      <c r="Q17" s="8" t="n">
        <f aca="false">((-1%*T17)/12)</f>
        <v>-179.083333333333</v>
      </c>
      <c r="R17" s="8" t="n">
        <f aca="false">P17+Q17</f>
        <v>1372.16666666667</v>
      </c>
      <c r="S17" s="9" t="n">
        <f aca="false">R17*12/T17</f>
        <v>0.0766216845044207</v>
      </c>
      <c r="T17" s="10" t="n">
        <v>214900</v>
      </c>
      <c r="U17" s="10" t="n">
        <v>7400</v>
      </c>
      <c r="V17" s="10"/>
      <c r="W17" s="10"/>
      <c r="X17" s="10"/>
      <c r="Y17" s="23" t="n">
        <v>43994</v>
      </c>
      <c r="Z17" s="12" t="n">
        <f aca="true">NOW()-Y17</f>
        <v>266.73961491073</v>
      </c>
      <c r="AA17" s="17" t="n">
        <v>216500</v>
      </c>
      <c r="AB17" s="51" t="n">
        <f aca="false">AA17/T17</f>
        <v>1.00744532340624</v>
      </c>
      <c r="AC17" s="23" t="n">
        <v>43991</v>
      </c>
      <c r="AD17" s="27"/>
      <c r="AE17" s="24" t="n">
        <v>44377</v>
      </c>
      <c r="AF17" s="16"/>
      <c r="AG17" s="16"/>
      <c r="AH17" s="17" t="n">
        <v>224312</v>
      </c>
      <c r="AI17" s="26" t="n">
        <v>44196</v>
      </c>
      <c r="AJ17" s="17" t="n">
        <v>232777</v>
      </c>
      <c r="AK17" s="26" t="n">
        <v>44377</v>
      </c>
      <c r="AL17" s="26" t="n">
        <v>43973</v>
      </c>
      <c r="AM17" s="17" t="n">
        <v>2149</v>
      </c>
      <c r="AN17" s="23" t="n">
        <v>43983</v>
      </c>
      <c r="AO17" s="17" t="n">
        <v>6983</v>
      </c>
      <c r="AP17" s="17" t="n">
        <v>410</v>
      </c>
      <c r="AQ17" s="28" t="s">
        <v>60</v>
      </c>
      <c r="AR17" s="10" t="n">
        <v>6983</v>
      </c>
      <c r="AS17" s="23" t="n">
        <v>43983</v>
      </c>
      <c r="AT17" s="16"/>
      <c r="AU17" s="16"/>
      <c r="AV17" s="22" t="n">
        <v>0</v>
      </c>
      <c r="AW17" s="22" t="s">
        <v>61</v>
      </c>
      <c r="AX17" s="22" t="s">
        <v>111</v>
      </c>
      <c r="AY17" s="16" t="s">
        <v>171</v>
      </c>
      <c r="AZ17" s="16" t="s">
        <v>119</v>
      </c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customFormat="false" ht="16" hidden="false" customHeight="false" outlineLevel="0" collapsed="false">
      <c r="A18" s="1"/>
      <c r="B18" s="16" t="s">
        <v>172</v>
      </c>
      <c r="C18" s="16" t="s">
        <v>173</v>
      </c>
      <c r="D18" s="21" t="s">
        <v>169</v>
      </c>
      <c r="E18" s="22" t="s">
        <v>57</v>
      </c>
      <c r="F18" s="22" t="n">
        <v>30253</v>
      </c>
      <c r="G18" s="16" t="s">
        <v>174</v>
      </c>
      <c r="H18" s="21" t="s">
        <v>175</v>
      </c>
      <c r="I18" s="16"/>
      <c r="J18" s="16"/>
      <c r="K18" s="17" t="n">
        <v>2120</v>
      </c>
      <c r="L18" s="10" t="n">
        <v>3213</v>
      </c>
      <c r="M18" s="10" t="n">
        <f aca="false">L18/12</f>
        <v>267.75</v>
      </c>
      <c r="N18" s="10" t="n">
        <v>150</v>
      </c>
      <c r="O18" s="10" t="n">
        <v>0</v>
      </c>
      <c r="P18" s="8" t="n">
        <f aca="false">K18-M18-N18-O18</f>
        <v>1702.25</v>
      </c>
      <c r="Q18" s="8" t="n">
        <f aca="false">((-1%*T18)/12)</f>
        <v>-185.666666666667</v>
      </c>
      <c r="R18" s="8" t="n">
        <f aca="false">P18+Q18</f>
        <v>1516.58333333333</v>
      </c>
      <c r="S18" s="9" t="n">
        <f aca="false">R18*12/T18</f>
        <v>0.0816831238779174</v>
      </c>
      <c r="T18" s="10" t="n">
        <v>222800</v>
      </c>
      <c r="U18" s="10" t="n">
        <v>0</v>
      </c>
      <c r="V18" s="10"/>
      <c r="W18" s="10"/>
      <c r="X18" s="10"/>
      <c r="Y18" s="23" t="n">
        <v>43997</v>
      </c>
      <c r="Z18" s="12" t="n">
        <f aca="true">NOW()-Y18</f>
        <v>263.739614912651</v>
      </c>
      <c r="AA18" s="17" t="n">
        <v>228500</v>
      </c>
      <c r="AB18" s="51" t="n">
        <f aca="false">AA18/T18</f>
        <v>1.02558348294434</v>
      </c>
      <c r="AC18" s="23" t="n">
        <v>43985</v>
      </c>
      <c r="AD18" s="27"/>
      <c r="AE18" s="24" t="n">
        <v>44012</v>
      </c>
      <c r="AF18" s="16"/>
      <c r="AG18" s="16"/>
      <c r="AH18" s="17" t="n">
        <v>245920</v>
      </c>
      <c r="AI18" s="26" t="n">
        <v>44196</v>
      </c>
      <c r="AJ18" s="17" t="n">
        <v>255200</v>
      </c>
      <c r="AK18" s="26" t="n">
        <v>44377</v>
      </c>
      <c r="AL18" s="26" t="n">
        <v>43962</v>
      </c>
      <c r="AM18" s="17" t="n">
        <v>2285</v>
      </c>
      <c r="AN18" s="23" t="n">
        <v>43980</v>
      </c>
      <c r="AO18" s="17" t="n">
        <v>7656</v>
      </c>
      <c r="AP18" s="17" t="n">
        <v>415</v>
      </c>
      <c r="AQ18" s="28" t="s">
        <v>60</v>
      </c>
      <c r="AR18" s="10" t="n">
        <v>7656</v>
      </c>
      <c r="AS18" s="23" t="n">
        <v>43980</v>
      </c>
      <c r="AT18" s="16"/>
      <c r="AU18" s="16"/>
      <c r="AV18" s="22" t="n">
        <v>0</v>
      </c>
      <c r="AW18" s="22" t="s">
        <v>61</v>
      </c>
      <c r="AX18" s="22"/>
      <c r="AY18" s="16" t="s">
        <v>79</v>
      </c>
      <c r="AZ18" s="16" t="s">
        <v>119</v>
      </c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customFormat="false" ht="16" hidden="false" customHeight="false" outlineLevel="0" collapsed="false">
      <c r="A19" s="1"/>
      <c r="B19" s="16" t="s">
        <v>176</v>
      </c>
      <c r="C19" s="16" t="s">
        <v>177</v>
      </c>
      <c r="D19" s="21" t="s">
        <v>178</v>
      </c>
      <c r="E19" s="22" t="s">
        <v>84</v>
      </c>
      <c r="F19" s="22" t="n">
        <v>34286</v>
      </c>
      <c r="G19" s="16" t="s">
        <v>179</v>
      </c>
      <c r="H19" s="21" t="s">
        <v>180</v>
      </c>
      <c r="I19" s="16"/>
      <c r="J19" s="23"/>
      <c r="K19" s="17" t="n">
        <v>1770</v>
      </c>
      <c r="L19" s="10" t="n">
        <v>1860</v>
      </c>
      <c r="M19" s="10" t="n">
        <f aca="false">L19/12</f>
        <v>155</v>
      </c>
      <c r="N19" s="10" t="n">
        <v>150</v>
      </c>
      <c r="O19" s="10" t="n">
        <v>0</v>
      </c>
      <c r="P19" s="8" t="n">
        <f aca="false">K19-M19-N19-O19</f>
        <v>1465</v>
      </c>
      <c r="Q19" s="8" t="n">
        <f aca="false">((-1%*T19)/12)</f>
        <v>-164.166666666667</v>
      </c>
      <c r="R19" s="8" t="n">
        <f aca="false">P19+Q19</f>
        <v>1300.83333333333</v>
      </c>
      <c r="S19" s="9" t="n">
        <f aca="false">R19*12/T19</f>
        <v>0.0792385786802031</v>
      </c>
      <c r="T19" s="10" t="n">
        <v>197000</v>
      </c>
      <c r="U19" s="10" t="n">
        <v>380</v>
      </c>
      <c r="V19" s="10"/>
      <c r="W19" s="10"/>
      <c r="X19" s="10"/>
      <c r="Y19" s="23" t="n">
        <v>44008</v>
      </c>
      <c r="Z19" s="12" t="n">
        <f aca="true">NOW()-Y19</f>
        <v>252.739614913567</v>
      </c>
      <c r="AA19" s="17" t="n">
        <v>202000</v>
      </c>
      <c r="AB19" s="51" t="n">
        <f aca="false">AA19/T19</f>
        <v>1.0253807106599</v>
      </c>
      <c r="AC19" s="23" t="n">
        <v>44005</v>
      </c>
      <c r="AD19" s="27"/>
      <c r="AE19" s="24" t="n">
        <v>44377</v>
      </c>
      <c r="AF19" s="16"/>
      <c r="AG19" s="16"/>
      <c r="AH19" s="17" t="n">
        <v>212530</v>
      </c>
      <c r="AI19" s="26" t="n">
        <v>44196</v>
      </c>
      <c r="AJ19" s="17" t="n">
        <v>220550</v>
      </c>
      <c r="AK19" s="26" t="n">
        <v>44377</v>
      </c>
      <c r="AL19" s="26" t="n">
        <v>43944</v>
      </c>
      <c r="AM19" s="17" t="n">
        <v>1770</v>
      </c>
      <c r="AN19" s="23" t="n">
        <v>43986</v>
      </c>
      <c r="AO19" s="17" t="n">
        <v>6617</v>
      </c>
      <c r="AP19" s="17" t="n">
        <v>305</v>
      </c>
      <c r="AQ19" s="28" t="s">
        <v>60</v>
      </c>
      <c r="AR19" s="10" t="n">
        <v>6617</v>
      </c>
      <c r="AS19" s="23" t="n">
        <v>43986</v>
      </c>
      <c r="AT19" s="16"/>
      <c r="AU19" s="16"/>
      <c r="AV19" s="22" t="n">
        <v>0</v>
      </c>
      <c r="AW19" s="22" t="s">
        <v>61</v>
      </c>
      <c r="AX19" s="22"/>
      <c r="AY19" s="16" t="s">
        <v>181</v>
      </c>
      <c r="AZ19" s="16" t="s">
        <v>119</v>
      </c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customFormat="false" ht="16" hidden="false" customHeight="false" outlineLevel="0" collapsed="false">
      <c r="A20" s="1"/>
      <c r="B20" s="16" t="s">
        <v>182</v>
      </c>
      <c r="C20" s="16" t="s">
        <v>183</v>
      </c>
      <c r="D20" s="21" t="s">
        <v>124</v>
      </c>
      <c r="E20" s="22" t="s">
        <v>57</v>
      </c>
      <c r="F20" s="22" t="n">
        <v>30291</v>
      </c>
      <c r="G20" s="16" t="s">
        <v>184</v>
      </c>
      <c r="H20" s="21" t="s">
        <v>185</v>
      </c>
      <c r="I20" s="16"/>
      <c r="J20" s="16"/>
      <c r="K20" s="17" t="n">
        <v>1540</v>
      </c>
      <c r="L20" s="10" t="n">
        <v>1800</v>
      </c>
      <c r="M20" s="10" t="n">
        <f aca="false">L20/12</f>
        <v>150</v>
      </c>
      <c r="N20" s="10" t="n">
        <v>150</v>
      </c>
      <c r="O20" s="10" t="n">
        <f aca="false">175/12</f>
        <v>14.5833333333333</v>
      </c>
      <c r="P20" s="8" t="n">
        <f aca="false">K20-M20-N20-O20</f>
        <v>1225.41666666667</v>
      </c>
      <c r="Q20" s="8" t="n">
        <f aca="false">((-1%*T20)/12)</f>
        <v>-137.5</v>
      </c>
      <c r="R20" s="8" t="n">
        <f aca="false">P20+Q20</f>
        <v>1087.91666666667</v>
      </c>
      <c r="S20" s="9" t="n">
        <f aca="false">R20*12/T20</f>
        <v>0.0791212121212121</v>
      </c>
      <c r="T20" s="10" t="n">
        <v>165000</v>
      </c>
      <c r="U20" s="10" t="n">
        <v>3500</v>
      </c>
      <c r="V20" s="10"/>
      <c r="W20" s="10"/>
      <c r="X20" s="10"/>
      <c r="Y20" s="23" t="n">
        <v>44013</v>
      </c>
      <c r="Z20" s="12" t="n">
        <f aca="true">NOW()-Y20</f>
        <v>247.739614914477</v>
      </c>
      <c r="AA20" s="17" t="n">
        <v>175000</v>
      </c>
      <c r="AB20" s="51" t="n">
        <f aca="false">AA20/T20</f>
        <v>1.06060606060606</v>
      </c>
      <c r="AC20" s="23" t="n">
        <v>43983</v>
      </c>
      <c r="AD20" s="27"/>
      <c r="AE20" s="24" t="n">
        <v>44377</v>
      </c>
      <c r="AF20" s="16"/>
      <c r="AG20" s="16"/>
      <c r="AH20" s="17" t="n">
        <v>177550</v>
      </c>
      <c r="AI20" s="26" t="n">
        <v>44196</v>
      </c>
      <c r="AJ20" s="17" t="n">
        <v>184250</v>
      </c>
      <c r="AK20" s="26" t="n">
        <v>44377</v>
      </c>
      <c r="AL20" s="26" t="n">
        <v>43979</v>
      </c>
      <c r="AM20" s="17" t="n">
        <v>1650</v>
      </c>
      <c r="AN20" s="23" t="n">
        <v>43977</v>
      </c>
      <c r="AO20" s="17" t="n">
        <v>5528</v>
      </c>
      <c r="AP20" s="17" t="n">
        <v>315</v>
      </c>
      <c r="AQ20" s="28" t="s">
        <v>60</v>
      </c>
      <c r="AR20" s="10" t="n">
        <v>5528</v>
      </c>
      <c r="AS20" s="23" t="n">
        <v>43977</v>
      </c>
      <c r="AT20" s="16"/>
      <c r="AU20" s="16"/>
      <c r="AV20" s="25" t="n">
        <v>250</v>
      </c>
      <c r="AW20" s="22" t="s">
        <v>61</v>
      </c>
      <c r="AX20" s="22" t="s">
        <v>111</v>
      </c>
      <c r="AY20" s="16" t="s">
        <v>186</v>
      </c>
      <c r="AZ20" s="16" t="s">
        <v>119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customFormat="false" ht="16" hidden="false" customHeight="false" outlineLevel="0" collapsed="false">
      <c r="A21" s="1" t="s">
        <v>187</v>
      </c>
      <c r="B21" s="16" t="s">
        <v>188</v>
      </c>
      <c r="C21" s="16" t="s">
        <v>173</v>
      </c>
      <c r="D21" s="21" t="s">
        <v>169</v>
      </c>
      <c r="E21" s="22" t="s">
        <v>57</v>
      </c>
      <c r="F21" s="22" t="n">
        <v>30252</v>
      </c>
      <c r="G21" s="16" t="s">
        <v>189</v>
      </c>
      <c r="H21" s="21" t="s">
        <v>190</v>
      </c>
      <c r="I21" s="16"/>
      <c r="J21" s="16"/>
      <c r="K21" s="17" t="n">
        <v>3570</v>
      </c>
      <c r="L21" s="10" t="n">
        <v>4906</v>
      </c>
      <c r="M21" s="10" t="n">
        <f aca="false">L21/12</f>
        <v>408.833333333333</v>
      </c>
      <c r="N21" s="10" t="n">
        <v>150</v>
      </c>
      <c r="O21" s="10" t="n">
        <f aca="false">385/12</f>
        <v>32.0833333333333</v>
      </c>
      <c r="P21" s="8" t="n">
        <f aca="false">K21-M21-N21-O21</f>
        <v>2979.08333333333</v>
      </c>
      <c r="Q21" s="8" t="n">
        <f aca="false">((-1%*T21)/12)</f>
        <v>-324.166666666667</v>
      </c>
      <c r="R21" s="8" t="n">
        <f aca="false">P21+Q21</f>
        <v>2654.91666666667</v>
      </c>
      <c r="S21" s="9" t="n">
        <f aca="false">R21*12/T21</f>
        <v>0.0818997429305913</v>
      </c>
      <c r="T21" s="10" t="n">
        <v>389000</v>
      </c>
      <c r="U21" s="10" t="n">
        <v>6800</v>
      </c>
      <c r="V21" s="10"/>
      <c r="W21" s="10"/>
      <c r="X21" s="10"/>
      <c r="Y21" s="26" t="n">
        <v>44013</v>
      </c>
      <c r="Z21" s="12" t="n">
        <f aca="true">NOW()-Y21</f>
        <v>247.739614915386</v>
      </c>
      <c r="AA21" s="17" t="n">
        <v>400000</v>
      </c>
      <c r="AB21" s="51" t="n">
        <f aca="false">AA21/T21</f>
        <v>1.02827763496144</v>
      </c>
      <c r="AC21" s="23" t="n">
        <v>44009</v>
      </c>
      <c r="AD21" s="27"/>
      <c r="AE21" s="24" t="n">
        <v>44377</v>
      </c>
      <c r="AF21" s="16"/>
      <c r="AG21" s="16"/>
      <c r="AH21" s="17" t="n">
        <v>416004</v>
      </c>
      <c r="AI21" s="26" t="n">
        <v>44196</v>
      </c>
      <c r="AJ21" s="17" t="n">
        <v>431740</v>
      </c>
      <c r="AK21" s="26" t="n">
        <v>44377</v>
      </c>
      <c r="AL21" s="26" t="s">
        <v>71</v>
      </c>
      <c r="AM21" s="17" t="n">
        <v>3899</v>
      </c>
      <c r="AN21" s="23" t="n">
        <v>44007</v>
      </c>
      <c r="AO21" s="17" t="n">
        <v>12982</v>
      </c>
      <c r="AP21" s="17" t="n">
        <v>590</v>
      </c>
      <c r="AQ21" s="28" t="s">
        <v>72</v>
      </c>
      <c r="AR21" s="10" t="n">
        <v>12982</v>
      </c>
      <c r="AS21" s="23" t="n">
        <v>44005</v>
      </c>
      <c r="AT21" s="16"/>
      <c r="AU21" s="16"/>
      <c r="AV21" s="22" t="n">
        <v>0</v>
      </c>
      <c r="AW21" s="22" t="s">
        <v>61</v>
      </c>
      <c r="AX21" s="22" t="s">
        <v>191</v>
      </c>
      <c r="AY21" s="16" t="s">
        <v>192</v>
      </c>
      <c r="AZ21" s="16" t="s">
        <v>193</v>
      </c>
      <c r="BA21" s="16"/>
      <c r="BB21" s="16"/>
      <c r="BC21" s="16" t="s">
        <v>194</v>
      </c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customFormat="false" ht="16" hidden="false" customHeight="false" outlineLevel="0" collapsed="false">
      <c r="A22" s="1"/>
      <c r="B22" s="4" t="s">
        <v>195</v>
      </c>
      <c r="C22" s="16" t="s">
        <v>75</v>
      </c>
      <c r="D22" s="21" t="s">
        <v>196</v>
      </c>
      <c r="E22" s="22" t="s">
        <v>57</v>
      </c>
      <c r="F22" s="22" t="n">
        <v>30349</v>
      </c>
      <c r="G22" s="16" t="s">
        <v>197</v>
      </c>
      <c r="H22" s="21" t="s">
        <v>198</v>
      </c>
      <c r="I22" s="16"/>
      <c r="J22" s="23"/>
      <c r="K22" s="17" t="n">
        <v>1690</v>
      </c>
      <c r="L22" s="10" t="n">
        <v>2256</v>
      </c>
      <c r="M22" s="10" t="n">
        <f aca="false">L22/12</f>
        <v>188</v>
      </c>
      <c r="N22" s="10" t="n">
        <v>150</v>
      </c>
      <c r="O22" s="10" t="n">
        <f aca="false">590/12</f>
        <v>49.1666666666667</v>
      </c>
      <c r="P22" s="8" t="n">
        <f aca="false">K22-M22-N22-O22</f>
        <v>1302.83333333333</v>
      </c>
      <c r="Q22" s="8" t="n">
        <f aca="false">((-1%*T22)/12)</f>
        <v>-145.833333333333</v>
      </c>
      <c r="R22" s="8" t="n">
        <f aca="false">P22+Q22</f>
        <v>1157</v>
      </c>
      <c r="S22" s="9" t="n">
        <f aca="false">R22*12/T22</f>
        <v>0.0793371428571429</v>
      </c>
      <c r="T22" s="10" t="n">
        <v>175000</v>
      </c>
      <c r="U22" s="10" t="n">
        <v>3500</v>
      </c>
      <c r="V22" s="10"/>
      <c r="W22" s="10"/>
      <c r="X22" s="10"/>
      <c r="Y22" s="26" t="n">
        <v>44029</v>
      </c>
      <c r="Z22" s="12" t="n">
        <f aca="true">NOW()-Y22</f>
        <v>231.739614916289</v>
      </c>
      <c r="AA22" s="17" t="n">
        <v>175000</v>
      </c>
      <c r="AB22" s="51" t="n">
        <f aca="false">AA22/T22</f>
        <v>1</v>
      </c>
      <c r="AC22" s="23" t="n">
        <v>44021</v>
      </c>
      <c r="AD22" s="26" t="n">
        <v>44014</v>
      </c>
      <c r="AE22" s="24" t="n">
        <v>44408</v>
      </c>
      <c r="AF22" s="17" t="n">
        <f aca="false">AG22+AH22</f>
        <v>186900</v>
      </c>
      <c r="AG22" s="17" t="n">
        <f aca="false">(AJ22-AH22)/6</f>
        <v>1190</v>
      </c>
      <c r="AH22" s="17" t="n">
        <f aca="false">189210-3500</f>
        <v>185710</v>
      </c>
      <c r="AI22" s="26" t="n">
        <v>44227</v>
      </c>
      <c r="AJ22" s="17" t="n">
        <f aca="false">196350-3500</f>
        <v>192850</v>
      </c>
      <c r="AK22" s="26" t="n">
        <v>44408</v>
      </c>
      <c r="AL22" s="26" t="n">
        <v>37431</v>
      </c>
      <c r="AM22" s="17" t="n">
        <v>1750</v>
      </c>
      <c r="AN22" s="23" t="n">
        <v>44011</v>
      </c>
      <c r="AO22" s="17" t="n">
        <v>5891</v>
      </c>
      <c r="AP22" s="17" t="n">
        <v>388</v>
      </c>
      <c r="AQ22" s="28" t="s">
        <v>60</v>
      </c>
      <c r="AR22" s="10" t="n">
        <v>5891</v>
      </c>
      <c r="AS22" s="23" t="n">
        <v>44011</v>
      </c>
      <c r="AT22" s="16"/>
      <c r="AU22" s="16"/>
      <c r="AV22" s="22" t="n">
        <v>0</v>
      </c>
      <c r="AW22" s="22" t="s">
        <v>61</v>
      </c>
      <c r="AX22" s="22" t="s">
        <v>199</v>
      </c>
      <c r="AY22" s="16" t="s">
        <v>200</v>
      </c>
      <c r="AZ22" s="16" t="s">
        <v>119</v>
      </c>
      <c r="BA22" s="16"/>
      <c r="BB22" s="30" t="n">
        <v>44197</v>
      </c>
      <c r="BC22" s="16" t="s">
        <v>201</v>
      </c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customFormat="false" ht="16" hidden="false" customHeight="false" outlineLevel="0" collapsed="false">
      <c r="A23" s="1"/>
      <c r="B23" s="16" t="s">
        <v>202</v>
      </c>
      <c r="C23" s="16" t="s">
        <v>203</v>
      </c>
      <c r="D23" s="21" t="s">
        <v>124</v>
      </c>
      <c r="E23" s="22" t="s">
        <v>57</v>
      </c>
      <c r="F23" s="22" t="n">
        <v>30337</v>
      </c>
      <c r="G23" s="16" t="s">
        <v>204</v>
      </c>
      <c r="H23" s="21"/>
      <c r="I23" s="16"/>
      <c r="J23" s="23"/>
      <c r="K23" s="17" t="n">
        <v>1450</v>
      </c>
      <c r="L23" s="10" t="n">
        <v>1660</v>
      </c>
      <c r="M23" s="10" t="n">
        <f aca="false">L23/12</f>
        <v>138.333333333333</v>
      </c>
      <c r="N23" s="10" t="n">
        <v>150</v>
      </c>
      <c r="O23" s="10" t="n">
        <v>0</v>
      </c>
      <c r="P23" s="8" t="n">
        <f aca="false">K23-M23-N23-O23</f>
        <v>1161.66666666667</v>
      </c>
      <c r="Q23" s="8" t="n">
        <f aca="false">((-1%*T23)/12)</f>
        <v>-125</v>
      </c>
      <c r="R23" s="8" t="n">
        <f aca="false">P23+Q23</f>
        <v>1036.66666666667</v>
      </c>
      <c r="S23" s="9" t="n">
        <f aca="false">R23*12/T23</f>
        <v>0.0829333333333333</v>
      </c>
      <c r="T23" s="10" t="n">
        <f aca="false">155000-5000</f>
        <v>150000</v>
      </c>
      <c r="U23" s="10" t="n">
        <v>0</v>
      </c>
      <c r="V23" s="10"/>
      <c r="W23" s="10"/>
      <c r="X23" s="10"/>
      <c r="Y23" s="26" t="n">
        <v>44055</v>
      </c>
      <c r="Z23" s="12" t="n">
        <f aca="true">NOW()-Y23</f>
        <v>205.739614917322</v>
      </c>
      <c r="AA23" s="17" t="n">
        <v>180000</v>
      </c>
      <c r="AB23" s="51" t="n">
        <f aca="false">AA23/T23</f>
        <v>1.2</v>
      </c>
      <c r="AC23" s="23" t="n">
        <v>44048</v>
      </c>
      <c r="AD23" s="27"/>
      <c r="AE23" s="24" t="n">
        <v>44439</v>
      </c>
      <c r="AF23" s="16"/>
      <c r="AG23" s="16"/>
      <c r="AH23" s="17" t="n">
        <v>177675</v>
      </c>
      <c r="AI23" s="23" t="n">
        <v>44255</v>
      </c>
      <c r="AJ23" s="17" t="n">
        <v>184047</v>
      </c>
      <c r="AK23" s="26" t="n">
        <v>44439</v>
      </c>
      <c r="AL23" s="26" t="n">
        <v>44031</v>
      </c>
      <c r="AM23" s="17" t="n">
        <v>1550</v>
      </c>
      <c r="AN23" s="23" t="n">
        <v>44042</v>
      </c>
      <c r="AO23" s="17" t="n">
        <v>5257</v>
      </c>
      <c r="AP23" s="17" t="n">
        <v>288</v>
      </c>
      <c r="AQ23" s="28" t="s">
        <v>60</v>
      </c>
      <c r="AR23" s="10" t="n">
        <v>5257</v>
      </c>
      <c r="AS23" s="23" t="n">
        <v>44049</v>
      </c>
      <c r="AT23" s="16"/>
      <c r="AU23" s="16"/>
      <c r="AV23" s="22" t="n">
        <v>0</v>
      </c>
      <c r="AW23" s="22" t="s">
        <v>205</v>
      </c>
      <c r="AX23" s="22" t="s">
        <v>206</v>
      </c>
      <c r="AY23" s="16" t="s">
        <v>207</v>
      </c>
      <c r="AZ23" s="16" t="s">
        <v>119</v>
      </c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customFormat="false" ht="16" hidden="false" customHeight="false" outlineLevel="0" collapsed="false">
      <c r="A24" s="1"/>
      <c r="B24" s="4" t="s">
        <v>208</v>
      </c>
      <c r="C24" s="16" t="s">
        <v>209</v>
      </c>
      <c r="D24" s="21" t="s">
        <v>196</v>
      </c>
      <c r="E24" s="22" t="s">
        <v>57</v>
      </c>
      <c r="F24" s="22" t="n">
        <v>30294</v>
      </c>
      <c r="G24" s="16" t="s">
        <v>210</v>
      </c>
      <c r="H24" s="21"/>
      <c r="I24" s="16"/>
      <c r="J24" s="23"/>
      <c r="K24" s="17" t="n">
        <v>2060</v>
      </c>
      <c r="L24" s="10" t="n">
        <v>1800</v>
      </c>
      <c r="M24" s="10" t="n">
        <f aca="false">L24/12</f>
        <v>150</v>
      </c>
      <c r="N24" s="10" t="n">
        <v>150</v>
      </c>
      <c r="O24" s="10" t="n">
        <f aca="false">175/12</f>
        <v>14.5833333333333</v>
      </c>
      <c r="P24" s="8" t="n">
        <f aca="false">K24-M24-N24-O24</f>
        <v>1745.41666666667</v>
      </c>
      <c r="Q24" s="8" t="n">
        <f aca="false">((-1%*T24)/12)</f>
        <v>-175</v>
      </c>
      <c r="R24" s="8" t="n">
        <f aca="false">P24+Q24</f>
        <v>1570.41666666667</v>
      </c>
      <c r="S24" s="9" t="n">
        <f aca="false">(R24-200)*12/T24</f>
        <v>0.0783095238095238</v>
      </c>
      <c r="T24" s="10" t="n">
        <v>210000</v>
      </c>
      <c r="U24" s="10" t="n">
        <v>2500</v>
      </c>
      <c r="V24" s="55" t="n">
        <v>0</v>
      </c>
      <c r="W24" s="10"/>
      <c r="X24" s="10"/>
      <c r="Y24" s="26" t="n">
        <v>44057</v>
      </c>
      <c r="Z24" s="12" t="n">
        <f aca="true">NOW()-Y24</f>
        <v>203.739614918246</v>
      </c>
      <c r="AA24" s="17" t="n">
        <v>212000</v>
      </c>
      <c r="AB24" s="51" t="n">
        <f aca="false">AA24/T24</f>
        <v>1.00952380952381</v>
      </c>
      <c r="AC24" s="23" t="n">
        <v>44046</v>
      </c>
      <c r="AD24" s="27"/>
      <c r="AE24" s="24" t="n">
        <v>44439</v>
      </c>
      <c r="AF24" s="16"/>
      <c r="AG24" s="16"/>
      <c r="AH24" s="17" t="n">
        <v>224418</v>
      </c>
      <c r="AI24" s="26" t="n">
        <v>44255</v>
      </c>
      <c r="AJ24" s="17" t="n">
        <v>232887</v>
      </c>
      <c r="AK24" s="26" t="n">
        <v>44439</v>
      </c>
      <c r="AL24" s="26" t="n">
        <v>44034</v>
      </c>
      <c r="AM24" s="17" t="n">
        <v>2100</v>
      </c>
      <c r="AN24" s="23" t="n">
        <v>44040</v>
      </c>
      <c r="AO24" s="17" t="n">
        <f aca="false">4830+2400</f>
        <v>7230</v>
      </c>
      <c r="AP24" s="17" t="n">
        <v>315</v>
      </c>
      <c r="AQ24" s="28" t="s">
        <v>60</v>
      </c>
      <c r="AR24" s="10" t="n">
        <v>4830</v>
      </c>
      <c r="AS24" s="23" t="n">
        <v>44040</v>
      </c>
      <c r="AT24" s="27" t="s">
        <v>211</v>
      </c>
      <c r="AU24" s="16"/>
      <c r="AV24" s="22" t="n">
        <v>0</v>
      </c>
      <c r="AW24" s="22" t="s">
        <v>205</v>
      </c>
      <c r="AX24" s="22" t="s">
        <v>212</v>
      </c>
      <c r="AY24" s="16" t="s">
        <v>213</v>
      </c>
      <c r="AZ24" s="16" t="s">
        <v>119</v>
      </c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customFormat="false" ht="16" hidden="false" customHeight="false" outlineLevel="0" collapsed="false">
      <c r="A25" s="1"/>
      <c r="B25" s="16" t="s">
        <v>214</v>
      </c>
      <c r="C25" s="16" t="s">
        <v>215</v>
      </c>
      <c r="D25" s="21" t="s">
        <v>169</v>
      </c>
      <c r="E25" s="22" t="s">
        <v>57</v>
      </c>
      <c r="F25" s="22" t="n">
        <v>30252</v>
      </c>
      <c r="G25" s="16" t="s">
        <v>216</v>
      </c>
      <c r="H25" s="21" t="s">
        <v>217</v>
      </c>
      <c r="I25" s="16"/>
      <c r="J25" s="23"/>
      <c r="K25" s="17" t="n">
        <v>2470</v>
      </c>
      <c r="L25" s="10" t="n">
        <v>3595</v>
      </c>
      <c r="M25" s="10" t="n">
        <f aca="false">L25/12</f>
        <v>299.583333333333</v>
      </c>
      <c r="N25" s="10" t="n">
        <v>150</v>
      </c>
      <c r="O25" s="10" t="n">
        <v>120</v>
      </c>
      <c r="P25" s="8" t="n">
        <f aca="false">K25-M25-N25-O25</f>
        <v>1900.41666666667</v>
      </c>
      <c r="Q25" s="8" t="n">
        <f aca="false">((-1%*T25)/12)</f>
        <v>-229.166666666667</v>
      </c>
      <c r="R25" s="8" t="n">
        <f aca="false">P25+Q25</f>
        <v>1671.25</v>
      </c>
      <c r="S25" s="9" t="n">
        <f aca="false">R25*12/T25</f>
        <v>0.0729272727272727</v>
      </c>
      <c r="T25" s="10" t="n">
        <v>275000</v>
      </c>
      <c r="U25" s="10" t="n">
        <v>7000</v>
      </c>
      <c r="V25" s="10"/>
      <c r="W25" s="10"/>
      <c r="X25" s="10"/>
      <c r="Y25" s="26" t="n">
        <v>44060</v>
      </c>
      <c r="Z25" s="12" t="n">
        <f aca="true">NOW()-Y25</f>
        <v>200.739614927064</v>
      </c>
      <c r="AA25" s="17" t="n">
        <v>275000</v>
      </c>
      <c r="AB25" s="51" t="n">
        <f aca="false">AA25/T25</f>
        <v>1</v>
      </c>
      <c r="AC25" s="23" t="n">
        <v>44035</v>
      </c>
      <c r="AD25" s="27"/>
      <c r="AE25" s="24" t="n">
        <v>44439</v>
      </c>
      <c r="AF25" s="16"/>
      <c r="AG25" s="16"/>
      <c r="AH25" s="13" t="n">
        <v>287790</v>
      </c>
      <c r="AI25" s="23" t="n">
        <v>44255</v>
      </c>
      <c r="AJ25" s="17" t="n">
        <v>298650</v>
      </c>
      <c r="AK25" s="26" t="n">
        <v>44439</v>
      </c>
      <c r="AL25" s="26"/>
      <c r="AM25" s="17" t="n">
        <v>2680</v>
      </c>
      <c r="AN25" s="23" t="n">
        <v>44033</v>
      </c>
      <c r="AO25" s="17" t="n">
        <v>8960</v>
      </c>
      <c r="AP25" s="17" t="n">
        <v>460</v>
      </c>
      <c r="AQ25" s="28" t="s">
        <v>60</v>
      </c>
      <c r="AR25" s="10" t="n">
        <v>8960</v>
      </c>
      <c r="AS25" s="23" t="n">
        <v>44033</v>
      </c>
      <c r="AT25" s="16"/>
      <c r="AU25" s="16"/>
      <c r="AV25" s="22" t="n">
        <v>0</v>
      </c>
      <c r="AW25" s="22" t="s">
        <v>61</v>
      </c>
      <c r="AX25" s="22" t="s">
        <v>111</v>
      </c>
      <c r="AY25" s="16" t="s">
        <v>218</v>
      </c>
      <c r="AZ25" s="16" t="s">
        <v>119</v>
      </c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customFormat="false" ht="16" hidden="false" customHeight="false" outlineLevel="0" collapsed="false">
      <c r="A26" s="1"/>
      <c r="B26" s="16" t="s">
        <v>219</v>
      </c>
      <c r="C26" s="16" t="s">
        <v>82</v>
      </c>
      <c r="D26" s="21" t="s">
        <v>83</v>
      </c>
      <c r="E26" s="22" t="s">
        <v>84</v>
      </c>
      <c r="F26" s="22" t="n">
        <v>32246</v>
      </c>
      <c r="G26" s="16" t="s">
        <v>220</v>
      </c>
      <c r="H26" s="21" t="s">
        <v>221</v>
      </c>
      <c r="I26" s="16"/>
      <c r="J26" s="23"/>
      <c r="K26" s="17" t="n">
        <v>2220</v>
      </c>
      <c r="L26" s="10" t="n">
        <v>3495</v>
      </c>
      <c r="M26" s="10" t="n">
        <f aca="false">L26/12</f>
        <v>291.25</v>
      </c>
      <c r="N26" s="10" t="n">
        <v>150</v>
      </c>
      <c r="O26" s="10" t="n">
        <f aca="false">315/12</f>
        <v>26.25</v>
      </c>
      <c r="P26" s="8" t="n">
        <f aca="false">K26-M26-N26-O26</f>
        <v>1752.5</v>
      </c>
      <c r="Q26" s="8" t="n">
        <f aca="false">((-1%*T26)/12)</f>
        <v>-195.833333333333</v>
      </c>
      <c r="R26" s="8" t="n">
        <f aca="false">P26+Q26</f>
        <v>1556.66666666667</v>
      </c>
      <c r="S26" s="9" t="n">
        <f aca="false">R26*12/T26</f>
        <v>0.0794893617021277</v>
      </c>
      <c r="T26" s="10" t="n">
        <v>235000</v>
      </c>
      <c r="U26" s="10" t="n">
        <v>0</v>
      </c>
      <c r="V26" s="10"/>
      <c r="W26" s="10"/>
      <c r="X26" s="10"/>
      <c r="Y26" s="26" t="n">
        <v>44082</v>
      </c>
      <c r="Z26" s="12" t="n">
        <f aca="true">NOW()-Y26</f>
        <v>178.739614928025</v>
      </c>
      <c r="AA26" s="17" t="n">
        <v>247000</v>
      </c>
      <c r="AB26" s="51" t="n">
        <f aca="false">AA26/T26</f>
        <v>1.05106382978723</v>
      </c>
      <c r="AC26" s="23" t="n">
        <v>44073</v>
      </c>
      <c r="AD26" s="27"/>
      <c r="AE26" s="24" t="n">
        <v>44439</v>
      </c>
      <c r="AF26" s="16"/>
      <c r="AG26" s="16"/>
      <c r="AH26" s="17" t="n">
        <v>255310</v>
      </c>
      <c r="AI26" s="26" t="n">
        <v>44255</v>
      </c>
      <c r="AJ26" s="17" t="n">
        <v>264850</v>
      </c>
      <c r="AK26" s="26" t="n">
        <v>44439</v>
      </c>
      <c r="AL26" s="26" t="n">
        <v>44029</v>
      </c>
      <c r="AM26" s="17" t="n">
        <v>2350</v>
      </c>
      <c r="AN26" s="23" t="n">
        <v>44069</v>
      </c>
      <c r="AO26" s="17" t="n">
        <v>7871</v>
      </c>
      <c r="AP26" s="17" t="n">
        <v>468</v>
      </c>
      <c r="AQ26" s="28"/>
      <c r="AR26" s="10" t="n">
        <v>7871</v>
      </c>
      <c r="AS26" s="23" t="n">
        <v>44069</v>
      </c>
      <c r="AT26" s="16"/>
      <c r="AU26" s="16"/>
      <c r="AV26" s="22" t="n">
        <v>0</v>
      </c>
      <c r="AW26" s="22" t="s">
        <v>61</v>
      </c>
      <c r="AX26" s="22" t="s">
        <v>222</v>
      </c>
      <c r="AY26" s="16" t="s">
        <v>223</v>
      </c>
      <c r="AZ26" s="16" t="s">
        <v>119</v>
      </c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customFormat="false" ht="16" hidden="false" customHeight="false" outlineLevel="0" collapsed="false">
      <c r="A27" s="1"/>
      <c r="B27" s="16" t="s">
        <v>224</v>
      </c>
      <c r="C27" s="16" t="s">
        <v>215</v>
      </c>
      <c r="D27" s="21" t="s">
        <v>169</v>
      </c>
      <c r="E27" s="22" t="s">
        <v>57</v>
      </c>
      <c r="F27" s="22" t="n">
        <v>30252</v>
      </c>
      <c r="G27" s="16" t="s">
        <v>225</v>
      </c>
      <c r="H27" s="21"/>
      <c r="I27" s="16"/>
      <c r="J27" s="23"/>
      <c r="K27" s="17" t="n">
        <v>1940</v>
      </c>
      <c r="L27" s="10" t="n">
        <v>2278</v>
      </c>
      <c r="M27" s="10" t="n">
        <f aca="false">L27/12</f>
        <v>189.833333333333</v>
      </c>
      <c r="N27" s="10" t="n">
        <v>150</v>
      </c>
      <c r="O27" s="10" t="n">
        <v>0</v>
      </c>
      <c r="P27" s="8" t="n">
        <f aca="false">K27-M27-N27-O27</f>
        <v>1600.16666666667</v>
      </c>
      <c r="Q27" s="8" t="n">
        <f aca="false">((-1%*T27)/12)</f>
        <v>-182.5</v>
      </c>
      <c r="R27" s="8" t="n">
        <f aca="false">P27+Q27</f>
        <v>1417.66666666667</v>
      </c>
      <c r="S27" s="9" t="n">
        <f aca="false">R27*12/T27</f>
        <v>0.0776803652968037</v>
      </c>
      <c r="T27" s="10" t="n">
        <v>219000</v>
      </c>
      <c r="U27" s="10" t="n">
        <v>3500</v>
      </c>
      <c r="V27" s="10"/>
      <c r="W27" s="10"/>
      <c r="X27" s="10"/>
      <c r="Y27" s="26" t="n">
        <v>44083</v>
      </c>
      <c r="Z27" s="12" t="n">
        <f aca="true">NOW()-Y27</f>
        <v>177.739614928891</v>
      </c>
      <c r="AA27" s="17" t="n">
        <v>220000</v>
      </c>
      <c r="AB27" s="51" t="n">
        <f aca="false">AA27/T27</f>
        <v>1.00456621004566</v>
      </c>
      <c r="AC27" s="23" t="n">
        <v>44078</v>
      </c>
      <c r="AD27" s="27"/>
      <c r="AE27" s="24" t="n">
        <v>44439</v>
      </c>
      <c r="AF27" s="16"/>
      <c r="AG27" s="16"/>
      <c r="AH27" s="17" t="n">
        <v>232140</v>
      </c>
      <c r="AI27" s="26" t="n">
        <v>44255</v>
      </c>
      <c r="AJ27" s="17" t="n">
        <v>240900</v>
      </c>
      <c r="AK27" s="26" t="n">
        <v>44439</v>
      </c>
      <c r="AL27" s="26" t="n">
        <v>44033</v>
      </c>
      <c r="AM27" s="17" t="n">
        <v>2190</v>
      </c>
      <c r="AN27" s="23" t="n">
        <v>44040</v>
      </c>
      <c r="AO27" s="17" t="n">
        <v>7227</v>
      </c>
      <c r="AP27" s="17" t="n">
        <v>340</v>
      </c>
      <c r="AQ27" s="28" t="s">
        <v>60</v>
      </c>
      <c r="AR27" s="10" t="n">
        <v>7227</v>
      </c>
      <c r="AS27" s="23" t="n">
        <v>44040</v>
      </c>
      <c r="AT27" s="16"/>
      <c r="AU27" s="16"/>
      <c r="AV27" s="22" t="n">
        <v>0</v>
      </c>
      <c r="AW27" s="22" t="s">
        <v>61</v>
      </c>
      <c r="AX27" s="22" t="s">
        <v>111</v>
      </c>
      <c r="AY27" s="16" t="s">
        <v>226</v>
      </c>
      <c r="AZ27" s="16" t="s">
        <v>119</v>
      </c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customFormat="false" ht="16" hidden="false" customHeight="false" outlineLevel="0" collapsed="false">
      <c r="A28" s="1"/>
      <c r="B28" s="16" t="s">
        <v>227</v>
      </c>
      <c r="C28" s="16" t="s">
        <v>149</v>
      </c>
      <c r="D28" s="21" t="s">
        <v>228</v>
      </c>
      <c r="E28" s="22" t="s">
        <v>57</v>
      </c>
      <c r="F28" s="22" t="n">
        <v>30519</v>
      </c>
      <c r="G28" s="16" t="s">
        <v>229</v>
      </c>
      <c r="H28" s="21" t="s">
        <v>230</v>
      </c>
      <c r="I28" s="16"/>
      <c r="J28" s="23"/>
      <c r="K28" s="17" t="n">
        <v>2500</v>
      </c>
      <c r="L28" s="10" t="n">
        <v>3133</v>
      </c>
      <c r="M28" s="10" t="n">
        <f aca="false">L28/12</f>
        <v>261.083333333333</v>
      </c>
      <c r="N28" s="10" t="n">
        <v>151</v>
      </c>
      <c r="O28" s="10" t="n">
        <f aca="false">2160/12</f>
        <v>180</v>
      </c>
      <c r="P28" s="8" t="n">
        <f aca="false">K28-M28-N28-O28</f>
        <v>1907.91666666667</v>
      </c>
      <c r="Q28" s="8" t="n">
        <f aca="false">((-1%*T28)/12)</f>
        <v>-212.5</v>
      </c>
      <c r="R28" s="8" t="n">
        <f aca="false">P28+Q28</f>
        <v>1695.41666666667</v>
      </c>
      <c r="S28" s="9" t="n">
        <f aca="false">R28*12/T28</f>
        <v>0.0797843137254902</v>
      </c>
      <c r="T28" s="10" t="n">
        <v>255000</v>
      </c>
      <c r="U28" s="10" t="n">
        <v>0</v>
      </c>
      <c r="V28" s="10" t="n">
        <v>300</v>
      </c>
      <c r="W28" s="10"/>
      <c r="X28" s="10"/>
      <c r="Y28" s="26" t="n">
        <v>44084</v>
      </c>
      <c r="Z28" s="12" t="n">
        <f aca="true">NOW()-Y28</f>
        <v>176.739614929793</v>
      </c>
      <c r="AA28" s="17" t="n">
        <v>258000</v>
      </c>
      <c r="AB28" s="51" t="n">
        <f aca="false">AA28/T28</f>
        <v>1.01176470588235</v>
      </c>
      <c r="AC28" s="23" t="n">
        <v>44074</v>
      </c>
      <c r="AD28" s="27"/>
      <c r="AE28" s="24" t="n">
        <v>44439</v>
      </c>
      <c r="AF28" s="16"/>
      <c r="AG28" s="16"/>
      <c r="AH28" s="17" t="n">
        <v>274010</v>
      </c>
      <c r="AI28" s="26" t="n">
        <v>44255</v>
      </c>
      <c r="AJ28" s="17" t="n">
        <v>284350</v>
      </c>
      <c r="AK28" s="26" t="n">
        <v>44439</v>
      </c>
      <c r="AL28" s="26" t="n">
        <v>44048</v>
      </c>
      <c r="AM28" s="17" t="n">
        <v>2550</v>
      </c>
      <c r="AN28" s="23" t="n">
        <v>44064</v>
      </c>
      <c r="AO28" s="17" t="n">
        <v>8531</v>
      </c>
      <c r="AP28" s="17" t="n">
        <v>590</v>
      </c>
      <c r="AQ28" s="28" t="s">
        <v>60</v>
      </c>
      <c r="AR28" s="10" t="n">
        <v>8531</v>
      </c>
      <c r="AS28" s="23" t="n">
        <v>44064</v>
      </c>
      <c r="AT28" s="16"/>
      <c r="AU28" s="16"/>
      <c r="AV28" s="22" t="n">
        <v>0</v>
      </c>
      <c r="AW28" s="22" t="s">
        <v>231</v>
      </c>
      <c r="AX28" s="22" t="s">
        <v>111</v>
      </c>
      <c r="AY28" s="16" t="s">
        <v>232</v>
      </c>
      <c r="AZ28" s="16" t="s">
        <v>119</v>
      </c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customFormat="false" ht="16" hidden="false" customHeight="false" outlineLevel="0" collapsed="false">
      <c r="A29" s="1"/>
      <c r="B29" s="16" t="s">
        <v>233</v>
      </c>
      <c r="C29" s="16" t="s">
        <v>234</v>
      </c>
      <c r="D29" s="21" t="s">
        <v>83</v>
      </c>
      <c r="E29" s="22" t="s">
        <v>84</v>
      </c>
      <c r="F29" s="22" t="n">
        <v>32073</v>
      </c>
      <c r="G29" s="16" t="s">
        <v>235</v>
      </c>
      <c r="H29" s="21"/>
      <c r="I29" s="16"/>
      <c r="J29" s="23"/>
      <c r="K29" s="17" t="n">
        <v>1490</v>
      </c>
      <c r="L29" s="10" t="n">
        <v>1550</v>
      </c>
      <c r="M29" s="10" t="n">
        <f aca="false">L29/12</f>
        <v>129.166666666667</v>
      </c>
      <c r="N29" s="10" t="n">
        <v>150</v>
      </c>
      <c r="O29" s="10" t="n">
        <v>0</v>
      </c>
      <c r="P29" s="8" t="n">
        <f aca="false">K29-M29-N29-O29</f>
        <v>1210.83333333333</v>
      </c>
      <c r="Q29" s="8" t="n">
        <f aca="false">((-1%*T29)/12)</f>
        <v>-137.5</v>
      </c>
      <c r="R29" s="8" t="n">
        <f aca="false">P29+Q29</f>
        <v>1073.33333333333</v>
      </c>
      <c r="S29" s="9" t="n">
        <f aca="false">R29*12/T29</f>
        <v>0.0780606060606061</v>
      </c>
      <c r="T29" s="10" t="n">
        <v>165000</v>
      </c>
      <c r="U29" s="10" t="n">
        <v>3500</v>
      </c>
      <c r="V29" s="10"/>
      <c r="W29" s="10"/>
      <c r="X29" s="10"/>
      <c r="Y29" s="26" t="n">
        <v>44092</v>
      </c>
      <c r="Z29" s="12" t="n">
        <f aca="true">NOW()-Y29</f>
        <v>168.739614930673</v>
      </c>
      <c r="AA29" s="17" t="n">
        <v>165000</v>
      </c>
      <c r="AB29" s="51" t="n">
        <f aca="false">AA29/T29</f>
        <v>1</v>
      </c>
      <c r="AC29" s="23" t="n">
        <v>44082</v>
      </c>
      <c r="AD29" s="27"/>
      <c r="AE29" s="24" t="n">
        <v>44439</v>
      </c>
      <c r="AF29" s="16"/>
      <c r="AG29" s="16"/>
      <c r="AH29" s="17" t="n">
        <v>174900</v>
      </c>
      <c r="AI29" s="26" t="n">
        <v>44286</v>
      </c>
      <c r="AJ29" s="17" t="n">
        <v>181500</v>
      </c>
      <c r="AK29" s="26" t="n">
        <v>44469</v>
      </c>
      <c r="AL29" s="26" t="n">
        <v>44069</v>
      </c>
      <c r="AM29" s="17" t="n">
        <v>1650</v>
      </c>
      <c r="AN29" s="23" t="n">
        <v>44077</v>
      </c>
      <c r="AO29" s="17" t="n">
        <v>5445</v>
      </c>
      <c r="AP29" s="17" t="n">
        <v>280</v>
      </c>
      <c r="AQ29" s="28" t="s">
        <v>60</v>
      </c>
      <c r="AR29" s="10" t="n">
        <v>5445</v>
      </c>
      <c r="AS29" s="23" t="n">
        <v>44077</v>
      </c>
      <c r="AT29" s="16"/>
      <c r="AU29" s="16"/>
      <c r="AV29" s="22" t="n">
        <v>0</v>
      </c>
      <c r="AW29" s="22" t="s">
        <v>236</v>
      </c>
      <c r="AX29" s="22" t="s">
        <v>86</v>
      </c>
      <c r="AY29" s="16" t="s">
        <v>237</v>
      </c>
      <c r="AZ29" s="16" t="s">
        <v>119</v>
      </c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customFormat="false" ht="16" hidden="false" customHeight="false" outlineLevel="0" collapsed="false">
      <c r="A30" s="1"/>
      <c r="B30" s="16" t="s">
        <v>238</v>
      </c>
      <c r="C30" s="16" t="s">
        <v>239</v>
      </c>
      <c r="D30" s="21" t="s">
        <v>240</v>
      </c>
      <c r="E30" s="22" t="s">
        <v>57</v>
      </c>
      <c r="F30" s="22" t="n">
        <v>30152</v>
      </c>
      <c r="G30" s="16" t="s">
        <v>241</v>
      </c>
      <c r="H30" s="21" t="s">
        <v>242</v>
      </c>
      <c r="I30" s="16"/>
      <c r="J30" s="23"/>
      <c r="K30" s="17" t="n">
        <v>2930</v>
      </c>
      <c r="L30" s="10" t="n">
        <v>3401</v>
      </c>
      <c r="M30" s="10" t="n">
        <f aca="false">L30/12</f>
        <v>283.416666666667</v>
      </c>
      <c r="N30" s="10" t="n">
        <v>150</v>
      </c>
      <c r="O30" s="10" t="n">
        <f aca="false">350/12</f>
        <v>29.1666666666667</v>
      </c>
      <c r="P30" s="8" t="n">
        <f aca="false">K30-M30-N30-O30</f>
        <v>2467.41666666667</v>
      </c>
      <c r="Q30" s="8" t="n">
        <f aca="false">((-1%*T30)/12)</f>
        <v>-273.333333333333</v>
      </c>
      <c r="R30" s="8" t="n">
        <f aca="false">P30+Q30</f>
        <v>2194.08333333333</v>
      </c>
      <c r="S30" s="9" t="n">
        <f aca="false">R30*12/T30</f>
        <v>0.0802713414634146</v>
      </c>
      <c r="T30" s="10" t="n">
        <v>328000</v>
      </c>
      <c r="U30" s="10" t="n">
        <v>3000</v>
      </c>
      <c r="V30" s="10" t="n">
        <v>6000</v>
      </c>
      <c r="W30" s="10"/>
      <c r="X30" s="10"/>
      <c r="Y30" s="26" t="n">
        <v>44104</v>
      </c>
      <c r="Z30" s="12" t="n">
        <f aca="true">NOW()-Y30</f>
        <v>156.739614931583</v>
      </c>
      <c r="AA30" s="17" t="n">
        <v>337000</v>
      </c>
      <c r="AB30" s="51" t="n">
        <f aca="false">AA30/T30</f>
        <v>1.02743902439024</v>
      </c>
      <c r="AC30" s="23" t="n">
        <v>44088</v>
      </c>
      <c r="AD30" s="27"/>
      <c r="AE30" s="24" t="n">
        <v>44469</v>
      </c>
      <c r="AF30" s="16"/>
      <c r="AG30" s="16"/>
      <c r="AH30" s="17" t="n">
        <v>348210</v>
      </c>
      <c r="AI30" s="26" t="n">
        <v>44286</v>
      </c>
      <c r="AJ30" s="17" t="n">
        <v>361350</v>
      </c>
      <c r="AK30" s="26" t="n">
        <v>44469</v>
      </c>
      <c r="AL30" s="26" t="n">
        <v>44082</v>
      </c>
      <c r="AM30" s="17" t="n">
        <v>3280</v>
      </c>
      <c r="AN30" s="23" t="n">
        <v>44085</v>
      </c>
      <c r="AO30" s="17" t="n">
        <v>18068</v>
      </c>
      <c r="AP30" s="17" t="n">
        <v>460</v>
      </c>
      <c r="AQ30" s="28" t="s">
        <v>60</v>
      </c>
      <c r="AR30" s="10" t="n">
        <v>18068</v>
      </c>
      <c r="AS30" s="23" t="n">
        <v>44085</v>
      </c>
      <c r="AT30" s="16"/>
      <c r="AU30" s="16"/>
      <c r="AV30" s="22" t="n">
        <v>250</v>
      </c>
      <c r="AW30" s="22" t="s">
        <v>243</v>
      </c>
      <c r="AX30" s="22" t="s">
        <v>244</v>
      </c>
      <c r="AY30" s="16" t="s">
        <v>245</v>
      </c>
      <c r="AZ30" s="16" t="s">
        <v>119</v>
      </c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customFormat="false" ht="16" hidden="false" customHeight="false" outlineLevel="0" collapsed="false">
      <c r="A31" s="1"/>
      <c r="B31" s="16" t="s">
        <v>246</v>
      </c>
      <c r="C31" s="16" t="s">
        <v>183</v>
      </c>
      <c r="D31" s="56" t="s">
        <v>124</v>
      </c>
      <c r="E31" s="22" t="s">
        <v>57</v>
      </c>
      <c r="F31" s="22" t="n">
        <v>30291</v>
      </c>
      <c r="G31" s="16" t="s">
        <v>247</v>
      </c>
      <c r="H31" s="21"/>
      <c r="I31" s="16"/>
      <c r="J31" s="16"/>
      <c r="K31" s="17" t="n">
        <v>1520</v>
      </c>
      <c r="L31" s="10" t="n">
        <v>1700</v>
      </c>
      <c r="M31" s="10" t="n">
        <f aca="false">L31/12</f>
        <v>141.666666666667</v>
      </c>
      <c r="N31" s="10" t="n">
        <v>150</v>
      </c>
      <c r="O31" s="10" t="n">
        <f aca="false">600/12</f>
        <v>50</v>
      </c>
      <c r="P31" s="8" t="n">
        <f aca="false">K31-M31-N31-O31</f>
        <v>1178.33333333333</v>
      </c>
      <c r="Q31" s="8" t="n">
        <f aca="false">((-1%*T31)/12)</f>
        <v>-132.416666666667</v>
      </c>
      <c r="R31" s="8" t="n">
        <f aca="false">P31+Q31</f>
        <v>1045.91666666667</v>
      </c>
      <c r="S31" s="9" t="n">
        <f aca="false">R31*12/T31</f>
        <v>0.0789867841409692</v>
      </c>
      <c r="T31" s="10" t="n">
        <v>158900</v>
      </c>
      <c r="U31" s="10" t="n">
        <v>2000</v>
      </c>
      <c r="V31" s="10"/>
      <c r="W31" s="10"/>
      <c r="X31" s="10"/>
      <c r="Y31" s="26" t="n">
        <v>44110</v>
      </c>
      <c r="Z31" s="12" t="n">
        <f aca="true">NOW()-Y31</f>
        <v>150.739614932485</v>
      </c>
      <c r="AA31" s="17" t="n">
        <v>161000</v>
      </c>
      <c r="AB31" s="51" t="n">
        <f aca="false">AA31/T31</f>
        <v>1.01321585903084</v>
      </c>
      <c r="AC31" s="23" t="n">
        <v>44102</v>
      </c>
      <c r="AD31" s="27"/>
      <c r="AE31" s="24" t="n">
        <v>44469</v>
      </c>
      <c r="AF31" s="16"/>
      <c r="AG31" s="16"/>
      <c r="AH31" s="17" t="n">
        <v>170024</v>
      </c>
      <c r="AI31" s="26" t="n">
        <v>44286</v>
      </c>
      <c r="AJ31" s="17" t="n">
        <v>176440</v>
      </c>
      <c r="AK31" s="26" t="n">
        <v>44469</v>
      </c>
      <c r="AL31" s="26" t="n">
        <v>43965</v>
      </c>
      <c r="AM31" s="17" t="n">
        <v>1589</v>
      </c>
      <c r="AN31" s="23" t="n">
        <v>43977</v>
      </c>
      <c r="AO31" s="17" t="n">
        <v>5293</v>
      </c>
      <c r="AP31" s="17" t="n">
        <v>315</v>
      </c>
      <c r="AQ31" s="28" t="s">
        <v>60</v>
      </c>
      <c r="AR31" s="10" t="n">
        <v>5293</v>
      </c>
      <c r="AS31" s="23" t="n">
        <v>43977</v>
      </c>
      <c r="AT31" s="16"/>
      <c r="AU31" s="16"/>
      <c r="AV31" s="22" t="n">
        <v>0</v>
      </c>
      <c r="AW31" s="22" t="s">
        <v>248</v>
      </c>
      <c r="AX31" s="22" t="s">
        <v>130</v>
      </c>
      <c r="AY31" s="16" t="s">
        <v>249</v>
      </c>
      <c r="AZ31" s="16" t="s">
        <v>119</v>
      </c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customFormat="false" ht="16" hidden="false" customHeight="false" outlineLevel="0" collapsed="false">
      <c r="A32" s="1"/>
      <c r="B32" s="16" t="s">
        <v>250</v>
      </c>
      <c r="C32" s="16" t="s">
        <v>123</v>
      </c>
      <c r="D32" s="56" t="s">
        <v>124</v>
      </c>
      <c r="E32" s="22" t="s">
        <v>57</v>
      </c>
      <c r="F32" s="22" t="n">
        <v>30213</v>
      </c>
      <c r="G32" s="16" t="s">
        <v>251</v>
      </c>
      <c r="H32" s="21"/>
      <c r="I32" s="16"/>
      <c r="J32" s="23"/>
      <c r="K32" s="17" t="n">
        <v>2110</v>
      </c>
      <c r="L32" s="10" t="n">
        <v>1746</v>
      </c>
      <c r="M32" s="10" t="n">
        <f aca="false">L32/12</f>
        <v>145.5</v>
      </c>
      <c r="N32" s="10" t="n">
        <v>150</v>
      </c>
      <c r="O32" s="10" t="n">
        <f aca="false">240/12</f>
        <v>20</v>
      </c>
      <c r="P32" s="8" t="n">
        <f aca="false">K32-M32-N32-O32</f>
        <v>1794.5</v>
      </c>
      <c r="Q32" s="8" t="n">
        <f aca="false">((-1%*T32)/12)</f>
        <v>-199.916666666667</v>
      </c>
      <c r="R32" s="8" t="n">
        <f aca="false">P32+Q32</f>
        <v>1594.58333333333</v>
      </c>
      <c r="S32" s="9" t="n">
        <f aca="false">R32*12/T32</f>
        <v>0.0797624010004168</v>
      </c>
      <c r="T32" s="10" t="n">
        <v>239900</v>
      </c>
      <c r="U32" s="10"/>
      <c r="V32" s="10" t="n">
        <v>750</v>
      </c>
      <c r="W32" s="10"/>
      <c r="X32" s="10"/>
      <c r="Y32" s="26" t="n">
        <v>44153</v>
      </c>
      <c r="Z32" s="12" t="n">
        <f aca="true">NOW()-Y32</f>
        <v>107.73961493338</v>
      </c>
      <c r="AA32" s="17" t="n">
        <v>240000</v>
      </c>
      <c r="AB32" s="51" t="n">
        <f aca="false">AA32/T32</f>
        <v>1.00041684035015</v>
      </c>
      <c r="AC32" s="23" t="n">
        <v>44137</v>
      </c>
      <c r="AD32" s="27"/>
      <c r="AE32" s="24" t="n">
        <v>44530</v>
      </c>
      <c r="AF32" s="16"/>
      <c r="AG32" s="16"/>
      <c r="AH32" s="17" t="n">
        <v>258004</v>
      </c>
      <c r="AI32" s="26" t="n">
        <v>44347</v>
      </c>
      <c r="AJ32" s="17" t="n">
        <v>267740</v>
      </c>
      <c r="AK32" s="26" t="n">
        <v>44530</v>
      </c>
      <c r="AL32" s="26" t="s">
        <v>252</v>
      </c>
      <c r="AM32" s="17" t="n">
        <v>2399</v>
      </c>
      <c r="AN32" s="23" t="n">
        <v>44134</v>
      </c>
      <c r="AO32" s="17" t="n">
        <v>8032</v>
      </c>
      <c r="AP32" s="17" t="n">
        <v>316</v>
      </c>
      <c r="AQ32" s="28" t="s">
        <v>60</v>
      </c>
      <c r="AR32" s="10" t="n">
        <v>8032</v>
      </c>
      <c r="AS32" s="23" t="n">
        <v>44134</v>
      </c>
      <c r="AT32" s="16"/>
      <c r="AU32" s="16"/>
      <c r="AV32" s="22" t="n">
        <v>0</v>
      </c>
      <c r="AW32" s="22" t="s">
        <v>243</v>
      </c>
      <c r="AX32" s="22" t="s">
        <v>111</v>
      </c>
      <c r="AY32" s="16" t="s">
        <v>79</v>
      </c>
      <c r="AZ32" s="16" t="s">
        <v>119</v>
      </c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customFormat="false" ht="16" hidden="false" customHeight="false" outlineLevel="0" collapsed="false">
      <c r="A33" s="1"/>
      <c r="B33" s="16" t="s">
        <v>253</v>
      </c>
      <c r="C33" s="16" t="s">
        <v>56</v>
      </c>
      <c r="D33" s="56" t="s">
        <v>150</v>
      </c>
      <c r="E33" s="22" t="s">
        <v>57</v>
      </c>
      <c r="F33" s="22" t="n">
        <v>30052</v>
      </c>
      <c r="G33" s="16" t="s">
        <v>254</v>
      </c>
      <c r="H33" s="21"/>
      <c r="I33" s="16"/>
      <c r="J33" s="16"/>
      <c r="K33" s="17" t="n">
        <v>2020</v>
      </c>
      <c r="L33" s="10" t="n">
        <v>2853</v>
      </c>
      <c r="M33" s="10" t="n">
        <f aca="false">L33/12</f>
        <v>237.75</v>
      </c>
      <c r="N33" s="10" t="n">
        <v>150</v>
      </c>
      <c r="O33" s="10" t="n">
        <f aca="false">460/12</f>
        <v>38.3333333333333</v>
      </c>
      <c r="P33" s="8" t="n">
        <f aca="false">K33-M33-N33-O33</f>
        <v>1593.91666666667</v>
      </c>
      <c r="Q33" s="8" t="n">
        <f aca="false">((-1%*T33)/12)</f>
        <v>-179.166666666667</v>
      </c>
      <c r="R33" s="8" t="n">
        <f aca="false">P33+Q33</f>
        <v>1414.75</v>
      </c>
      <c r="S33" s="9" t="n">
        <f aca="false">R33*12/T33</f>
        <v>0.0789627906976744</v>
      </c>
      <c r="T33" s="10" t="n">
        <v>215000</v>
      </c>
      <c r="U33" s="10"/>
      <c r="V33" s="10"/>
      <c r="W33" s="10"/>
      <c r="X33" s="10"/>
      <c r="Y33" s="26" t="n">
        <v>44165</v>
      </c>
      <c r="Z33" s="12" t="n">
        <f aca="true">NOW()-Y33</f>
        <v>95.7396149342749</v>
      </c>
      <c r="AA33" s="17" t="n">
        <v>237000</v>
      </c>
      <c r="AB33" s="51" t="n">
        <f aca="false">AA33/T33</f>
        <v>1.10232558139535</v>
      </c>
      <c r="AC33" s="23" t="n">
        <v>44156</v>
      </c>
      <c r="AD33" s="27"/>
      <c r="AE33" s="24" t="n">
        <v>44530</v>
      </c>
      <c r="AF33" s="16"/>
      <c r="AG33" s="16"/>
      <c r="AH33" s="17" t="n">
        <v>231610</v>
      </c>
      <c r="AI33" s="26" t="n">
        <v>44347</v>
      </c>
      <c r="AJ33" s="17" t="n">
        <v>240350</v>
      </c>
      <c r="AK33" s="26" t="n">
        <v>44530</v>
      </c>
      <c r="AL33" s="26" t="s">
        <v>118</v>
      </c>
      <c r="AM33" s="17" t="n">
        <v>2150</v>
      </c>
      <c r="AN33" s="23" t="n">
        <v>44148</v>
      </c>
      <c r="AO33" s="17" t="n">
        <v>7211</v>
      </c>
      <c r="AP33" s="17" t="n">
        <v>425</v>
      </c>
      <c r="AQ33" s="28" t="s">
        <v>60</v>
      </c>
      <c r="AR33" s="10" t="n">
        <v>7211</v>
      </c>
      <c r="AS33" s="23" t="n">
        <v>44148</v>
      </c>
      <c r="AT33" s="16"/>
      <c r="AU33" s="16"/>
      <c r="AV33" s="22" t="n">
        <v>0</v>
      </c>
      <c r="AW33" s="22" t="s">
        <v>236</v>
      </c>
      <c r="AX33" s="22" t="s">
        <v>255</v>
      </c>
      <c r="AY33" s="16" t="s">
        <v>118</v>
      </c>
      <c r="AZ33" s="16" t="s">
        <v>119</v>
      </c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customFormat="false" ht="16" hidden="false" customHeight="false" outlineLevel="0" collapsed="false">
      <c r="A34" s="1"/>
      <c r="B34" s="16" t="s">
        <v>256</v>
      </c>
      <c r="C34" s="16" t="s">
        <v>209</v>
      </c>
      <c r="D34" s="56" t="s">
        <v>196</v>
      </c>
      <c r="E34" s="22" t="s">
        <v>57</v>
      </c>
      <c r="F34" s="22" t="n">
        <v>30294</v>
      </c>
      <c r="G34" s="16" t="s">
        <v>257</v>
      </c>
      <c r="H34" s="21" t="s">
        <v>258</v>
      </c>
      <c r="I34" s="16"/>
      <c r="J34" s="23"/>
      <c r="K34" s="17" t="n">
        <v>1850</v>
      </c>
      <c r="L34" s="10" t="n">
        <v>3507</v>
      </c>
      <c r="M34" s="10" t="n">
        <f aca="false">L34/12</f>
        <v>292.25</v>
      </c>
      <c r="N34" s="10" t="n">
        <v>150</v>
      </c>
      <c r="O34" s="10" t="n">
        <v>0</v>
      </c>
      <c r="P34" s="8" t="n">
        <f aca="false">K34-M34-N34-O34</f>
        <v>1407.75</v>
      </c>
      <c r="Q34" s="8" t="n">
        <f aca="false">((-1%*T34)/12)</f>
        <v>-190.75</v>
      </c>
      <c r="R34" s="8" t="n">
        <f aca="false">P34+Q34</f>
        <v>1217</v>
      </c>
      <c r="S34" s="9" t="n">
        <f aca="false">R34*12/T34</f>
        <v>0.0638007863695937</v>
      </c>
      <c r="T34" s="10" t="n">
        <v>228900</v>
      </c>
      <c r="U34" s="10"/>
      <c r="V34" s="10"/>
      <c r="W34" s="10"/>
      <c r="X34" s="10"/>
      <c r="Y34" s="26" t="n">
        <v>44166</v>
      </c>
      <c r="Z34" s="12" t="n">
        <f aca="true">NOW()-Y34</f>
        <v>94.7396149351407</v>
      </c>
      <c r="AA34" s="17" t="n">
        <v>229000</v>
      </c>
      <c r="AB34" s="51" t="n">
        <f aca="false">AA34/T34</f>
        <v>1.00043687199651</v>
      </c>
      <c r="AC34" s="23" t="n">
        <v>44160</v>
      </c>
      <c r="AD34" s="27"/>
      <c r="AE34" s="24" t="n">
        <v>44530</v>
      </c>
      <c r="AF34" s="16"/>
      <c r="AG34" s="16"/>
      <c r="AH34" s="17" t="n">
        <v>246000</v>
      </c>
      <c r="AI34" s="26" t="n">
        <v>44347</v>
      </c>
      <c r="AJ34" s="17" t="n">
        <v>255000</v>
      </c>
      <c r="AK34" s="26" t="n">
        <v>44530</v>
      </c>
      <c r="AL34" s="26" t="s">
        <v>259</v>
      </c>
      <c r="AM34" s="17" t="n">
        <v>2289</v>
      </c>
      <c r="AN34" s="23" t="n">
        <v>44152</v>
      </c>
      <c r="AO34" s="17" t="n">
        <v>2411</v>
      </c>
      <c r="AP34" s="17" t="n">
        <v>360</v>
      </c>
      <c r="AQ34" s="28" t="s">
        <v>60</v>
      </c>
      <c r="AR34" s="10" t="n">
        <v>2411</v>
      </c>
      <c r="AS34" s="23" t="n">
        <v>44152</v>
      </c>
      <c r="AT34" s="16"/>
      <c r="AU34" s="16"/>
      <c r="AV34" s="22" t="n">
        <v>0</v>
      </c>
      <c r="AW34" s="22" t="s">
        <v>236</v>
      </c>
      <c r="AX34" s="22" t="s">
        <v>111</v>
      </c>
      <c r="AY34" s="16" t="s">
        <v>218</v>
      </c>
      <c r="AZ34" s="16" t="s">
        <v>119</v>
      </c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customFormat="false" ht="16" hidden="false" customHeight="false" outlineLevel="0" collapsed="false">
      <c r="A35" s="1"/>
      <c r="B35" s="16" t="s">
        <v>260</v>
      </c>
      <c r="C35" s="16" t="s">
        <v>261</v>
      </c>
      <c r="D35" s="56" t="s">
        <v>262</v>
      </c>
      <c r="E35" s="22" t="s">
        <v>57</v>
      </c>
      <c r="F35" s="22" t="n">
        <v>30115</v>
      </c>
      <c r="G35" s="16" t="s">
        <v>263</v>
      </c>
      <c r="H35" s="21"/>
      <c r="I35" s="16"/>
      <c r="J35" s="26"/>
      <c r="K35" s="17" t="n">
        <v>2840</v>
      </c>
      <c r="L35" s="10" t="n">
        <v>2739</v>
      </c>
      <c r="M35" s="10" t="n">
        <f aca="false">L35/12</f>
        <v>228.25</v>
      </c>
      <c r="N35" s="10" t="n">
        <v>150</v>
      </c>
      <c r="O35" s="10" t="n">
        <v>20</v>
      </c>
      <c r="P35" s="8" t="n">
        <f aca="false">K35-M35-N35-O35</f>
        <v>2441.75</v>
      </c>
      <c r="Q35" s="8" t="n">
        <f aca="false">((-1%*T35)/12)</f>
        <v>-267.916666666667</v>
      </c>
      <c r="R35" s="8" t="n">
        <f aca="false">P35+Q35</f>
        <v>2173.83333333333</v>
      </c>
      <c r="S35" s="9" t="n">
        <f aca="false">R35*12/T35</f>
        <v>0.0811384136858476</v>
      </c>
      <c r="T35" s="10" t="n">
        <v>321500</v>
      </c>
      <c r="U35" s="10"/>
      <c r="V35" s="10"/>
      <c r="W35" s="10"/>
      <c r="X35" s="10"/>
      <c r="Y35" s="26" t="n">
        <v>44176</v>
      </c>
      <c r="Z35" s="16"/>
      <c r="AA35" s="17" t="n">
        <v>320000</v>
      </c>
      <c r="AB35" s="51" t="n">
        <f aca="false">AA35/T35</f>
        <v>0.995334370139969</v>
      </c>
      <c r="AC35" s="16"/>
      <c r="AD35" s="27"/>
      <c r="AE35" s="24" t="n">
        <v>44561</v>
      </c>
      <c r="AF35" s="16"/>
      <c r="AG35" s="16"/>
      <c r="AH35" s="17" t="n">
        <v>344500</v>
      </c>
      <c r="AI35" s="26" t="n">
        <v>44377</v>
      </c>
      <c r="AJ35" s="17" t="n">
        <v>357500</v>
      </c>
      <c r="AK35" s="26" t="n">
        <v>44561</v>
      </c>
      <c r="AL35" s="26" t="s">
        <v>264</v>
      </c>
      <c r="AM35" s="17" t="n">
        <v>3215</v>
      </c>
      <c r="AN35" s="23" t="n">
        <v>44165</v>
      </c>
      <c r="AO35" s="17" t="n">
        <v>32225</v>
      </c>
      <c r="AP35" s="17" t="n">
        <v>400</v>
      </c>
      <c r="AQ35" s="28" t="s">
        <v>60</v>
      </c>
      <c r="AR35" s="10" t="n">
        <v>32225</v>
      </c>
      <c r="AS35" s="23" t="n">
        <v>44172</v>
      </c>
      <c r="AT35" s="16"/>
      <c r="AU35" s="16"/>
      <c r="AV35" s="22" t="n">
        <v>0</v>
      </c>
      <c r="AW35" s="22" t="s">
        <v>243</v>
      </c>
      <c r="AX35" s="22" t="s">
        <v>130</v>
      </c>
      <c r="AY35" s="16" t="s">
        <v>265</v>
      </c>
      <c r="AZ35" s="16" t="s">
        <v>119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customFormat="false" ht="16" hidden="false" customHeight="false" outlineLevel="0" collapsed="false">
      <c r="A36" s="1"/>
      <c r="B36" s="16" t="s">
        <v>266</v>
      </c>
      <c r="C36" s="16" t="s">
        <v>267</v>
      </c>
      <c r="D36" s="56" t="s">
        <v>268</v>
      </c>
      <c r="E36" s="22" t="s">
        <v>269</v>
      </c>
      <c r="F36" s="22" t="n">
        <v>76135</v>
      </c>
      <c r="G36" s="16" t="s">
        <v>270</v>
      </c>
      <c r="H36" s="21"/>
      <c r="I36" s="16"/>
      <c r="J36" s="23"/>
      <c r="K36" s="17" t="n">
        <v>2310</v>
      </c>
      <c r="L36" s="10" t="n">
        <v>5350</v>
      </c>
      <c r="M36" s="10" t="n">
        <f aca="false">L36/12</f>
        <v>445.833333333333</v>
      </c>
      <c r="N36" s="10" t="n">
        <v>150</v>
      </c>
      <c r="O36" s="10" t="n">
        <f aca="false">360/12</f>
        <v>30</v>
      </c>
      <c r="P36" s="8" t="n">
        <f aca="false">K36-M36-N36-O36</f>
        <v>1684.16666666667</v>
      </c>
      <c r="Q36" s="8" t="n">
        <f aca="false">((-1%*T36)/12)</f>
        <v>-189.166666666667</v>
      </c>
      <c r="R36" s="8" t="n">
        <f aca="false">P36+Q36</f>
        <v>1495</v>
      </c>
      <c r="S36" s="9" t="n">
        <f aca="false">R36*12/T36</f>
        <v>0.0790308370044053</v>
      </c>
      <c r="T36" s="10" t="n">
        <v>227000</v>
      </c>
      <c r="U36" s="10"/>
      <c r="V36" s="10"/>
      <c r="W36" s="10"/>
      <c r="X36" s="10"/>
      <c r="Y36" s="26" t="n">
        <v>44182</v>
      </c>
      <c r="Z36" s="16"/>
      <c r="AA36" s="17" t="n">
        <v>227000</v>
      </c>
      <c r="AB36" s="51" t="n">
        <f aca="false">AA36/T36</f>
        <v>1</v>
      </c>
      <c r="AC36" s="23" t="n">
        <v>44160</v>
      </c>
      <c r="AD36" s="27"/>
      <c r="AE36" s="24" t="n">
        <v>44561</v>
      </c>
      <c r="AF36" s="16"/>
      <c r="AG36" s="16"/>
      <c r="AH36" s="17" t="n">
        <v>244330</v>
      </c>
      <c r="AI36" s="26" t="n">
        <v>44377</v>
      </c>
      <c r="AJ36" s="17" t="n">
        <v>253550</v>
      </c>
      <c r="AK36" s="26" t="n">
        <v>44561</v>
      </c>
      <c r="AL36" s="26" t="s">
        <v>271</v>
      </c>
      <c r="AM36" s="17" t="n">
        <v>2270</v>
      </c>
      <c r="AN36" s="23" t="n">
        <v>44165</v>
      </c>
      <c r="AO36" s="17" t="n">
        <v>7607</v>
      </c>
      <c r="AP36" s="17" t="n">
        <v>625</v>
      </c>
      <c r="AQ36" s="28" t="s">
        <v>60</v>
      </c>
      <c r="AR36" s="17" t="n">
        <v>7607</v>
      </c>
      <c r="AS36" s="23" t="n">
        <v>44160</v>
      </c>
      <c r="AT36" s="16"/>
      <c r="AU36" s="16"/>
      <c r="AV36" s="22" t="n">
        <v>0</v>
      </c>
      <c r="AW36" s="22" t="s">
        <v>236</v>
      </c>
      <c r="AX36" s="22" t="s">
        <v>255</v>
      </c>
      <c r="AY36" s="16" t="s">
        <v>272</v>
      </c>
      <c r="AZ36" s="16" t="s">
        <v>119</v>
      </c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customFormat="false" ht="16" hidden="false" customHeight="false" outlineLevel="0" collapsed="false">
      <c r="A37" s="1"/>
      <c r="B37" s="16" t="s">
        <v>273</v>
      </c>
      <c r="C37" s="16" t="s">
        <v>173</v>
      </c>
      <c r="D37" s="56" t="s">
        <v>169</v>
      </c>
      <c r="E37" s="22" t="s">
        <v>57</v>
      </c>
      <c r="F37" s="22" t="n">
        <v>30253</v>
      </c>
      <c r="G37" s="16" t="s">
        <v>274</v>
      </c>
      <c r="H37" s="21"/>
      <c r="I37" s="16"/>
      <c r="J37" s="23"/>
      <c r="K37" s="17" t="n">
        <v>2550</v>
      </c>
      <c r="L37" s="10" t="n">
        <v>3331</v>
      </c>
      <c r="M37" s="10" t="n">
        <f aca="false">L37/12</f>
        <v>277.583333333333</v>
      </c>
      <c r="N37" s="10" t="n">
        <v>150</v>
      </c>
      <c r="O37" s="10" t="n">
        <v>25</v>
      </c>
      <c r="P37" s="8" t="n">
        <f aca="false">K37-M37-N37-O37</f>
        <v>2097.41666666667</v>
      </c>
      <c r="Q37" s="8" t="n">
        <f aca="false">((-1%*T37)/12)</f>
        <v>-231.666666666667</v>
      </c>
      <c r="R37" s="8" t="n">
        <f aca="false">P37+Q37</f>
        <v>1865.75</v>
      </c>
      <c r="S37" s="9" t="n">
        <f aca="false">R37*12/T37</f>
        <v>0.0805359712230216</v>
      </c>
      <c r="T37" s="10" t="n">
        <v>278000</v>
      </c>
      <c r="U37" s="10" t="n">
        <f aca="false">0.01*T37</f>
        <v>2780</v>
      </c>
      <c r="V37" s="10"/>
      <c r="W37" s="10"/>
      <c r="X37" s="10"/>
      <c r="Y37" s="26" t="n">
        <v>44183</v>
      </c>
      <c r="Z37" s="16"/>
      <c r="AA37" s="17" t="n">
        <v>278000</v>
      </c>
      <c r="AB37" s="51" t="n">
        <f aca="false">AA37/T37</f>
        <v>1</v>
      </c>
      <c r="AC37" s="23" t="n">
        <v>44160</v>
      </c>
      <c r="AD37" s="27"/>
      <c r="AE37" s="24" t="n">
        <v>44561</v>
      </c>
      <c r="AF37" s="16"/>
      <c r="AG37" s="16"/>
      <c r="AH37" s="17" t="n">
        <v>298390</v>
      </c>
      <c r="AI37" s="26" t="n">
        <v>44377</v>
      </c>
      <c r="AJ37" s="17" t="n">
        <v>309650</v>
      </c>
      <c r="AK37" s="26" t="n">
        <v>44561</v>
      </c>
      <c r="AL37" s="26" t="s">
        <v>275</v>
      </c>
      <c r="AM37" s="17" t="n">
        <v>2780</v>
      </c>
      <c r="AN37" s="23" t="n">
        <v>44134</v>
      </c>
      <c r="AO37" s="17" t="n">
        <v>9290</v>
      </c>
      <c r="AP37" s="17" t="n">
        <v>450</v>
      </c>
      <c r="AQ37" s="28" t="s">
        <v>60</v>
      </c>
      <c r="AR37" s="17" t="n">
        <v>9290</v>
      </c>
      <c r="AS37" s="23" t="n">
        <v>44134</v>
      </c>
      <c r="AT37" s="16"/>
      <c r="AU37" s="16"/>
      <c r="AV37" s="22" t="n">
        <v>0</v>
      </c>
      <c r="AW37" s="22" t="s">
        <v>243</v>
      </c>
      <c r="AX37" s="22" t="s">
        <v>130</v>
      </c>
      <c r="AY37" s="16" t="s">
        <v>276</v>
      </c>
      <c r="AZ37" s="16" t="s">
        <v>119</v>
      </c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customFormat="false" ht="16" hidden="false" customHeight="false" outlineLevel="0" collapsed="false">
      <c r="A38" s="1"/>
      <c r="B38" s="16" t="s">
        <v>277</v>
      </c>
      <c r="C38" s="16" t="s">
        <v>278</v>
      </c>
      <c r="D38" s="56" t="s">
        <v>279</v>
      </c>
      <c r="E38" s="22" t="s">
        <v>84</v>
      </c>
      <c r="F38" s="22" t="n">
        <v>34639</v>
      </c>
      <c r="G38" s="16" t="s">
        <v>280</v>
      </c>
      <c r="H38" s="21"/>
      <c r="I38" s="16"/>
      <c r="J38" s="23"/>
      <c r="K38" s="17" t="n">
        <v>2250</v>
      </c>
      <c r="L38" s="10" t="n">
        <v>2008</v>
      </c>
      <c r="M38" s="10" t="n">
        <f aca="false">L38/12</f>
        <v>167.333333333333</v>
      </c>
      <c r="N38" s="10" t="n">
        <v>150</v>
      </c>
      <c r="O38" s="10" t="n">
        <f aca="false">3820/12</f>
        <v>318.333333333333</v>
      </c>
      <c r="P38" s="8" t="n">
        <f aca="false">K38-M38-N38-O38</f>
        <v>1614.33333333333</v>
      </c>
      <c r="Q38" s="8" t="n">
        <f aca="false">((-1%*T38)/12)</f>
        <v>-181.583333333333</v>
      </c>
      <c r="R38" s="8" t="n">
        <f aca="false">P38+Q38</f>
        <v>1432.75</v>
      </c>
      <c r="S38" s="9" t="n">
        <f aca="false">R38*12/T38</f>
        <v>0.078903166590179</v>
      </c>
      <c r="T38" s="10" t="n">
        <v>217900</v>
      </c>
      <c r="U38" s="10"/>
      <c r="V38" s="10"/>
      <c r="W38" s="10"/>
      <c r="X38" s="10"/>
      <c r="Y38" s="26" t="n">
        <v>44186</v>
      </c>
      <c r="Z38" s="16"/>
      <c r="AA38" s="17" t="n">
        <v>218000</v>
      </c>
      <c r="AB38" s="51" t="n">
        <f aca="false">AA38/T38</f>
        <v>1.0004589261129</v>
      </c>
      <c r="AC38" s="23" t="n">
        <v>44160</v>
      </c>
      <c r="AD38" s="27"/>
      <c r="AE38" s="24" t="n">
        <v>44561</v>
      </c>
      <c r="AF38" s="16"/>
      <c r="AG38" s="16"/>
      <c r="AH38" s="17" t="n">
        <v>234684</v>
      </c>
      <c r="AI38" s="26" t="n">
        <v>44377</v>
      </c>
      <c r="AJ38" s="17" t="n">
        <v>243540</v>
      </c>
      <c r="AK38" s="26" t="n">
        <v>44561</v>
      </c>
      <c r="AL38" s="26" t="s">
        <v>281</v>
      </c>
      <c r="AM38" s="17" t="n">
        <v>2179</v>
      </c>
      <c r="AN38" s="23" t="n">
        <v>44159</v>
      </c>
      <c r="AO38" s="17" t="n">
        <v>7306</v>
      </c>
      <c r="AP38" s="17" t="n">
        <v>625</v>
      </c>
      <c r="AQ38" s="28" t="s">
        <v>60</v>
      </c>
      <c r="AR38" s="17" t="n">
        <v>7306</v>
      </c>
      <c r="AS38" s="23" t="n">
        <v>44159</v>
      </c>
      <c r="AT38" s="16"/>
      <c r="AU38" s="16"/>
      <c r="AV38" s="22"/>
      <c r="AW38" s="22" t="s">
        <v>236</v>
      </c>
      <c r="AX38" s="22" t="s">
        <v>206</v>
      </c>
      <c r="AY38" s="16" t="s">
        <v>181</v>
      </c>
      <c r="AZ38" s="16" t="s">
        <v>119</v>
      </c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customFormat="false" ht="16" hidden="false" customHeight="false" outlineLevel="0" collapsed="false">
      <c r="A39" s="1"/>
      <c r="B39" s="16" t="s">
        <v>282</v>
      </c>
      <c r="C39" s="16" t="s">
        <v>283</v>
      </c>
      <c r="D39" s="56" t="s">
        <v>284</v>
      </c>
      <c r="E39" s="22" t="s">
        <v>84</v>
      </c>
      <c r="F39" s="22" t="n">
        <v>32068</v>
      </c>
      <c r="G39" s="16" t="s">
        <v>285</v>
      </c>
      <c r="H39" s="21" t="s">
        <v>286</v>
      </c>
      <c r="I39" s="16"/>
      <c r="J39" s="26"/>
      <c r="K39" s="17" t="n">
        <v>1930</v>
      </c>
      <c r="L39" s="10" t="n">
        <v>3540</v>
      </c>
      <c r="M39" s="10" t="n">
        <f aca="false">L39/12</f>
        <v>295</v>
      </c>
      <c r="N39" s="10" t="n">
        <v>150</v>
      </c>
      <c r="O39" s="10" t="n">
        <v>20</v>
      </c>
      <c r="P39" s="8" t="n">
        <f aca="false">K39-M39-N39-O39</f>
        <v>1465</v>
      </c>
      <c r="Q39" s="8" t="n">
        <f aca="false">((-1%*T39)/12)</f>
        <v>-145</v>
      </c>
      <c r="R39" s="8" t="n">
        <f aca="false">P39+Q39</f>
        <v>1320</v>
      </c>
      <c r="S39" s="9" t="n">
        <f aca="false">R39*12/T39</f>
        <v>0.0910344827586207</v>
      </c>
      <c r="T39" s="10" t="n">
        <v>174000</v>
      </c>
      <c r="U39" s="10"/>
      <c r="V39" s="10"/>
      <c r="W39" s="10"/>
      <c r="X39" s="10"/>
      <c r="Y39" s="26" t="n">
        <v>44188</v>
      </c>
      <c r="Z39" s="16"/>
      <c r="AA39" s="17" t="n">
        <v>235000</v>
      </c>
      <c r="AB39" s="51" t="n">
        <f aca="false">AA39/T39</f>
        <v>1.35057471264368</v>
      </c>
      <c r="AC39" s="23" t="n">
        <v>44183</v>
      </c>
      <c r="AD39" s="27"/>
      <c r="AE39" s="24" t="n">
        <v>44561</v>
      </c>
      <c r="AF39" s="16"/>
      <c r="AG39" s="16"/>
      <c r="AH39" s="17" t="n">
        <v>212000</v>
      </c>
      <c r="AI39" s="26" t="n">
        <v>44377</v>
      </c>
      <c r="AJ39" s="17" t="n">
        <v>220000</v>
      </c>
      <c r="AK39" s="26" t="n">
        <v>44561</v>
      </c>
      <c r="AL39" s="26" t="s">
        <v>137</v>
      </c>
      <c r="AM39" s="17" t="n">
        <v>2000</v>
      </c>
      <c r="AN39" s="23" t="n">
        <v>44173</v>
      </c>
      <c r="AO39" s="17" t="n">
        <v>6600</v>
      </c>
      <c r="AP39" s="17" t="n">
        <v>465</v>
      </c>
      <c r="AQ39" s="28" t="s">
        <v>60</v>
      </c>
      <c r="AR39" s="10" t="n">
        <v>6600</v>
      </c>
      <c r="AS39" s="23" t="n">
        <v>44173</v>
      </c>
      <c r="AT39" s="16"/>
      <c r="AU39" s="16"/>
      <c r="AV39" s="22" t="n">
        <v>0</v>
      </c>
      <c r="AW39" s="22" t="s">
        <v>243</v>
      </c>
      <c r="AX39" s="22" t="s">
        <v>255</v>
      </c>
      <c r="AY39" s="16" t="s">
        <v>118</v>
      </c>
      <c r="AZ39" s="16" t="s">
        <v>119</v>
      </c>
      <c r="BA39" s="16"/>
      <c r="BB39" s="16"/>
      <c r="BC39" s="16" t="s">
        <v>287</v>
      </c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customFormat="false" ht="16" hidden="false" customHeight="false" outlineLevel="0" collapsed="false">
      <c r="A40" s="1"/>
      <c r="B40" s="16" t="s">
        <v>288</v>
      </c>
      <c r="C40" s="16" t="s">
        <v>289</v>
      </c>
      <c r="D40" s="56" t="s">
        <v>290</v>
      </c>
      <c r="E40" s="22" t="s">
        <v>84</v>
      </c>
      <c r="F40" s="22" t="n">
        <v>33830</v>
      </c>
      <c r="G40" s="16" t="s">
        <v>291</v>
      </c>
      <c r="H40" s="21"/>
      <c r="I40" s="16"/>
      <c r="J40" s="26"/>
      <c r="K40" s="17" t="n">
        <v>1340</v>
      </c>
      <c r="L40" s="10" t="n">
        <v>1262</v>
      </c>
      <c r="M40" s="10" t="n">
        <f aca="false">L40/12</f>
        <v>105.166666666667</v>
      </c>
      <c r="N40" s="10" t="n">
        <v>150</v>
      </c>
      <c r="O40" s="10" t="n">
        <v>0</v>
      </c>
      <c r="P40" s="8" t="n">
        <f aca="false">K40-M40-N40-O40</f>
        <v>1084.83333333333</v>
      </c>
      <c r="Q40" s="8" t="n">
        <f aca="false">((-1%*T40)/12)</f>
        <v>-120</v>
      </c>
      <c r="R40" s="8" t="n">
        <f aca="false">P40+Q40</f>
        <v>964.833333333333</v>
      </c>
      <c r="S40" s="9" t="n">
        <f aca="false">R40*12/T40</f>
        <v>0.0804027777777778</v>
      </c>
      <c r="T40" s="10" t="n">
        <v>144000</v>
      </c>
      <c r="U40" s="10"/>
      <c r="V40" s="10" t="n">
        <v>4640</v>
      </c>
      <c r="W40" s="10"/>
      <c r="X40" s="10"/>
      <c r="Y40" s="26" t="n">
        <v>44189</v>
      </c>
      <c r="Z40" s="16"/>
      <c r="AA40" s="17" t="n">
        <v>155000</v>
      </c>
      <c r="AB40" s="51" t="n">
        <f aca="false">AA40/T40</f>
        <v>1.07638888888889</v>
      </c>
      <c r="AC40" s="23" t="n">
        <v>44187</v>
      </c>
      <c r="AD40" s="27"/>
      <c r="AE40" s="24" t="n">
        <v>44561</v>
      </c>
      <c r="AF40" s="16"/>
      <c r="AG40" s="16"/>
      <c r="AH40" s="17" t="n">
        <v>156350</v>
      </c>
      <c r="AI40" s="26" t="n">
        <v>44377</v>
      </c>
      <c r="AJ40" s="17" t="n">
        <v>162250</v>
      </c>
      <c r="AK40" s="26" t="n">
        <v>44561</v>
      </c>
      <c r="AL40" s="26" t="s">
        <v>292</v>
      </c>
      <c r="AM40" s="17" t="n">
        <v>1440</v>
      </c>
      <c r="AN40" s="23" t="n">
        <v>44176</v>
      </c>
      <c r="AO40" s="17" t="n">
        <v>4868</v>
      </c>
      <c r="AP40" s="17" t="n">
        <v>255</v>
      </c>
      <c r="AQ40" s="28" t="s">
        <v>60</v>
      </c>
      <c r="AR40" s="10" t="n">
        <v>4868</v>
      </c>
      <c r="AS40" s="23" t="n">
        <v>44176</v>
      </c>
      <c r="AT40" s="16"/>
      <c r="AU40" s="16"/>
      <c r="AV40" s="22" t="n">
        <v>0</v>
      </c>
      <c r="AW40" s="22" t="s">
        <v>243</v>
      </c>
      <c r="AX40" s="22" t="s">
        <v>206</v>
      </c>
      <c r="AY40" s="16" t="s">
        <v>293</v>
      </c>
      <c r="AZ40" s="16" t="s">
        <v>119</v>
      </c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customFormat="false" ht="16" hidden="false" customHeight="false" outlineLevel="0" collapsed="false">
      <c r="A41" s="1"/>
      <c r="B41" s="16" t="s">
        <v>294</v>
      </c>
      <c r="C41" s="16" t="s">
        <v>168</v>
      </c>
      <c r="D41" s="56" t="s">
        <v>169</v>
      </c>
      <c r="E41" s="22" t="s">
        <v>57</v>
      </c>
      <c r="F41" s="22" t="n">
        <v>30281</v>
      </c>
      <c r="G41" s="16" t="s">
        <v>295</v>
      </c>
      <c r="H41" s="21" t="s">
        <v>296</v>
      </c>
      <c r="I41" s="16"/>
      <c r="J41" s="26"/>
      <c r="K41" s="17" t="n">
        <v>2060</v>
      </c>
      <c r="L41" s="10" t="n">
        <v>2495</v>
      </c>
      <c r="M41" s="10" t="n">
        <f aca="false">L41/12</f>
        <v>207.916666666667</v>
      </c>
      <c r="N41" s="10" t="n">
        <v>150</v>
      </c>
      <c r="O41" s="10" t="n">
        <f aca="false">372/12</f>
        <v>31</v>
      </c>
      <c r="P41" s="8" t="n">
        <f aca="false">K41-M41-N41-O41</f>
        <v>1671.08333333333</v>
      </c>
      <c r="Q41" s="8" t="n">
        <f aca="false">((-1%*T41)/12)</f>
        <v>-187.5</v>
      </c>
      <c r="R41" s="8" t="n">
        <f aca="false">P41+Q41</f>
        <v>1483.58333333333</v>
      </c>
      <c r="S41" s="9" t="n">
        <f aca="false">R41*12/T41</f>
        <v>0.0791244444444444</v>
      </c>
      <c r="T41" s="10" t="n">
        <v>225000</v>
      </c>
      <c r="U41" s="10"/>
      <c r="V41" s="10"/>
      <c r="W41" s="10"/>
      <c r="X41" s="10"/>
      <c r="Y41" s="26" t="n">
        <v>44224</v>
      </c>
      <c r="Z41" s="16"/>
      <c r="AA41" s="17" t="n">
        <v>226000</v>
      </c>
      <c r="AB41" s="51" t="n">
        <f aca="false">AA41/T41</f>
        <v>1.00444444444444</v>
      </c>
      <c r="AC41" s="23" t="n">
        <v>44216</v>
      </c>
      <c r="AD41" s="27"/>
      <c r="AE41" s="24" t="n">
        <v>44592</v>
      </c>
      <c r="AF41" s="16"/>
      <c r="AG41" s="16"/>
      <c r="AH41" s="17" t="n">
        <v>242210</v>
      </c>
      <c r="AI41" s="26" t="n">
        <v>44408</v>
      </c>
      <c r="AJ41" s="17" t="n">
        <v>251350</v>
      </c>
      <c r="AK41" s="26" t="n">
        <v>44592</v>
      </c>
      <c r="AL41" s="26" t="n">
        <v>44207</v>
      </c>
      <c r="AM41" s="17" t="n">
        <v>2250</v>
      </c>
      <c r="AN41" s="23" t="n">
        <v>44211</v>
      </c>
      <c r="AO41" s="17" t="n">
        <v>7541</v>
      </c>
      <c r="AP41" s="17" t="n">
        <v>390</v>
      </c>
      <c r="AQ41" s="28" t="s">
        <v>60</v>
      </c>
      <c r="AR41" s="10" t="n">
        <v>7541</v>
      </c>
      <c r="AS41" s="23" t="n">
        <v>44211</v>
      </c>
      <c r="AT41" s="16"/>
      <c r="AU41" s="16"/>
      <c r="AV41" s="22" t="n">
        <v>0</v>
      </c>
      <c r="AW41" s="22" t="s">
        <v>243</v>
      </c>
      <c r="AX41" s="22" t="s">
        <v>297</v>
      </c>
      <c r="AY41" s="16" t="s">
        <v>298</v>
      </c>
      <c r="AZ41" s="16" t="s">
        <v>119</v>
      </c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customFormat="false" ht="16" hidden="false" customHeight="false" outlineLevel="0" collapsed="false">
      <c r="A42" s="1"/>
      <c r="B42" s="16" t="s">
        <v>299</v>
      </c>
      <c r="C42" s="16" t="s">
        <v>183</v>
      </c>
      <c r="D42" s="56" t="s">
        <v>124</v>
      </c>
      <c r="E42" s="22" t="s">
        <v>57</v>
      </c>
      <c r="F42" s="22" t="n">
        <v>30291</v>
      </c>
      <c r="G42" s="16" t="s">
        <v>300</v>
      </c>
      <c r="H42" s="21"/>
      <c r="I42" s="16" t="s">
        <v>301</v>
      </c>
      <c r="J42" s="26"/>
      <c r="K42" s="17" t="n">
        <v>2080</v>
      </c>
      <c r="L42" s="10"/>
      <c r="M42" s="10" t="n">
        <f aca="false">L42/12</f>
        <v>0</v>
      </c>
      <c r="N42" s="10" t="n">
        <v>150</v>
      </c>
      <c r="O42" s="10" t="n">
        <v>0</v>
      </c>
      <c r="P42" s="8" t="n">
        <f aca="false">K42-M42-N42-O42</f>
        <v>1930</v>
      </c>
      <c r="Q42" s="8" t="n">
        <f aca="false">((-1%*T42)/12)</f>
        <v>-190.833333333333</v>
      </c>
      <c r="R42" s="8" t="n">
        <f aca="false">P42+Q42</f>
        <v>1739.16666666667</v>
      </c>
      <c r="S42" s="9" t="n">
        <f aca="false">R42*12/T42</f>
        <v>0.0911353711790393</v>
      </c>
      <c r="T42" s="10" t="n">
        <v>229000</v>
      </c>
      <c r="U42" s="10"/>
      <c r="V42" s="10"/>
      <c r="W42" s="10"/>
      <c r="X42" s="10"/>
      <c r="Y42" s="26" t="n">
        <v>44232</v>
      </c>
      <c r="Z42" s="16"/>
      <c r="AA42" s="17" t="n">
        <v>230000</v>
      </c>
      <c r="AB42" s="51" t="n">
        <f aca="false">AA42/T42</f>
        <v>1.00436681222707</v>
      </c>
      <c r="AC42" s="23" t="n">
        <v>44225</v>
      </c>
      <c r="AD42" s="27"/>
      <c r="AE42" s="24" t="n">
        <v>44620</v>
      </c>
      <c r="AF42" s="16"/>
      <c r="AG42" s="16"/>
      <c r="AH42" s="17" t="n">
        <v>246450</v>
      </c>
      <c r="AI42" s="26" t="n">
        <v>44778</v>
      </c>
      <c r="AJ42" s="17" t="n">
        <v>255750</v>
      </c>
      <c r="AK42" s="26" t="n">
        <v>44597</v>
      </c>
      <c r="AL42" s="26" t="s">
        <v>302</v>
      </c>
      <c r="AM42" s="17" t="n">
        <v>2290</v>
      </c>
      <c r="AN42" s="23" t="n">
        <v>44222</v>
      </c>
      <c r="AO42" s="17" t="n">
        <v>7673</v>
      </c>
      <c r="AP42" s="17" t="n">
        <v>380</v>
      </c>
      <c r="AQ42" s="28" t="s">
        <v>60</v>
      </c>
      <c r="AR42" s="10" t="n">
        <v>7673</v>
      </c>
      <c r="AS42" s="23" t="n">
        <v>44222</v>
      </c>
      <c r="AT42" s="16"/>
      <c r="AU42" s="16"/>
      <c r="AV42" s="22" t="n">
        <v>0</v>
      </c>
      <c r="AW42" s="22" t="s">
        <v>231</v>
      </c>
      <c r="AX42" s="22"/>
      <c r="AY42" s="16" t="s">
        <v>301</v>
      </c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</sheetData>
  <hyperlinks>
    <hyperlink ref="G38" r:id="rId2" display="Adekunle Osh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2021-02-08T21:58:19Z</dcterms:created>
  <dc:creator>Chris Innes</dc:creator>
  <dc:description/>
  <dc:language>en-US</dc:language>
  <cp:lastModifiedBy/>
  <dcterms:modified xsi:type="dcterms:W3CDTF">2021-03-05T17:45:02Z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